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drawings/drawing6.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14 (Raul Vasconcelos)/"/>
    </mc:Choice>
  </mc:AlternateContent>
  <xr:revisionPtr revIDLastSave="5311" documentId="11_55D72778B825561E5ED0854929EEAF8F78C439BA" xr6:coauthVersionLast="47" xr6:coauthVersionMax="47" xr10:uidLastSave="{2828B42F-BA1C-4E11-95AF-42543EA308B3}"/>
  <bookViews>
    <workbookView xWindow="-110" yWindow="-110" windowWidth="19420" windowHeight="10300" tabRatio="777" firstSheet="1" activeTab="3" xr2:uid="{00000000-000D-0000-FFFF-FFFF00000000}"/>
  </bookViews>
  <sheets>
    <sheet name="Summary" sheetId="19" r:id="rId1"/>
    <sheet name="Segments" sheetId="4" r:id="rId2"/>
    <sheet name="Industry" sheetId="3" r:id="rId3"/>
    <sheet name="Peers" sheetId="17" r:id="rId4"/>
    <sheet name="ESG" sheetId="2" r:id="rId5"/>
    <sheet name="ESG Inputs" sheetId="28" r:id="rId6"/>
    <sheet name="DCF" sheetId="8" r:id="rId7"/>
    <sheet name="Inputs" sheetId="9" r:id="rId8"/>
    <sheet name="WACC" sheetId="6" r:id="rId9"/>
    <sheet name="Ratios" sheetId="11" r:id="rId10"/>
    <sheet name="Sensitivity" sheetId="27" r:id="rId11"/>
    <sheet name="CORRELATION" sheetId="56" r:id="rId12"/>
    <sheet name="IMACRO" sheetId="60" r:id="rId13"/>
    <sheet name="IS" sheetId="33" r:id="rId14"/>
    <sheet name="BS" sheetId="34" r:id="rId15"/>
    <sheet name="CF" sheetId="35" r:id="rId16"/>
    <sheet name="DDIS" sheetId="36" r:id="rId17"/>
    <sheet name="SEG" sheetId="37" r:id="rId18"/>
    <sheet name="BOARD" sheetId="58" r:id="rId19"/>
    <sheet name="MICRON SEG" sheetId="54" r:id="rId20"/>
    <sheet name="KIOXIA SEG" sheetId="55" r:id="rId21"/>
    <sheet name="SAMSUNG SEG" sheetId="53" r:id="rId22"/>
    <sheet name="WDC SEG" sheetId="49" r:id="rId23"/>
    <sheet name="WDC IS" sheetId="52" r:id="rId24"/>
    <sheet name="WDC BS" sheetId="51" r:id="rId25"/>
    <sheet name="WDC CF" sheetId="50" r:id="rId26"/>
    <sheet name="Samsung IS" sheetId="46" r:id="rId27"/>
    <sheet name="Samsung BS" sheetId="47" r:id="rId28"/>
    <sheet name="Samsung CF" sheetId="48" r:id="rId29"/>
    <sheet name="Micron IS" sheetId="43" r:id="rId30"/>
    <sheet name="Micron BS" sheetId="44" r:id="rId31"/>
    <sheet name="Micron CF" sheetId="45" r:id="rId32"/>
    <sheet name="Kioxia IS" sheetId="40" r:id="rId33"/>
    <sheet name="Kioxia BS" sheetId="41" r:id="rId34"/>
    <sheet name="Kioxia CF" sheetId="42" r:id="rId35"/>
  </sheets>
  <definedNames>
    <definedName name="_xlchart.v1.0" hidden="1">Sensitivity!$B$56:$B$10054</definedName>
    <definedName name="COOLFUCNTION" comment="No description available" localSheetId="6">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6" hidden="1">{"'Sheet1'!$A$1:$H$145"}</definedName>
    <definedName name="HTML_Control" localSheetId="4" hidden="1">{"'Sheet1'!$A$1:$H$145"}</definedName>
    <definedName name="HTML_Control" localSheetId="2" hidden="1">{"'Sheet1'!$A$1:$H$145"}</definedName>
    <definedName name="HTML_Control" localSheetId="7" hidden="1">{"'Sheet1'!$A$1:$H$145"}</definedName>
    <definedName name="HTML_Control" localSheetId="3" hidden="1">{"'Sheet1'!$A$1:$H$145"}</definedName>
    <definedName name="HTML_Control" localSheetId="9" hidden="1">{"'Sheet1'!$A$1:$H$145"}</definedName>
    <definedName name="HTML_Control" localSheetId="1"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4">#REF!</definedName>
    <definedName name="Sectors" localSheetId="3">#REF!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8" i="17" l="1"/>
  <c r="AD546" i="56"/>
  <c r="AD555" i="56"/>
  <c r="AE546" i="56"/>
  <c r="AE547" i="56"/>
  <c r="AE555" i="56"/>
  <c r="AE556" i="56"/>
  <c r="AC556" i="56" l="1" a="1"/>
  <c r="AC556" i="56" s="1"/>
  <c r="AC547" i="56" a="1"/>
  <c r="AC547" i="56" s="1"/>
  <c r="AM555" i="56" l="1"/>
  <c r="AL555" i="56"/>
  <c r="AL546" i="56"/>
  <c r="AM546" i="56"/>
  <c r="AP294" i="8"/>
  <c r="P8" i="9"/>
  <c r="H45" i="8"/>
  <c r="G14" i="6" a="1"/>
  <c r="G14" i="6" s="1"/>
  <c r="L38" i="4"/>
  <c r="M38" i="4" s="1"/>
  <c r="N38" i="4" s="1"/>
  <c r="O38" i="4" s="1"/>
  <c r="P38" i="4" s="1"/>
  <c r="Q38" i="4" s="1"/>
  <c r="R38" i="4" s="1"/>
  <c r="S38" i="4" s="1"/>
  <c r="K38" i="4"/>
  <c r="J38" i="4"/>
  <c r="L46" i="4"/>
  <c r="M46" i="4" s="1"/>
  <c r="N46" i="4" s="1"/>
  <c r="O46" i="4" s="1"/>
  <c r="P46" i="4" s="1"/>
  <c r="Q46" i="4" s="1"/>
  <c r="R46" i="4" s="1"/>
  <c r="S46" i="4" s="1"/>
  <c r="K46" i="4"/>
  <c r="P41" i="11"/>
  <c r="O41" i="11"/>
  <c r="N41" i="11"/>
  <c r="M41" i="11"/>
  <c r="L41" i="11"/>
  <c r="K41" i="11"/>
  <c r="J41" i="11"/>
  <c r="I41" i="11"/>
  <c r="H41" i="11"/>
  <c r="G41" i="11"/>
  <c r="F41" i="11"/>
  <c r="P40" i="11"/>
  <c r="O40" i="11"/>
  <c r="N40" i="11"/>
  <c r="M40" i="11"/>
  <c r="L40" i="11"/>
  <c r="K40" i="11"/>
  <c r="J40" i="11"/>
  <c r="I40" i="11"/>
  <c r="H40" i="11"/>
  <c r="G40" i="11"/>
  <c r="F40" i="11"/>
  <c r="AI560" i="56"/>
  <c r="AQ560" i="56" s="1"/>
  <c r="AI559" i="56"/>
  <c r="AQ559" i="56" s="1"/>
  <c r="AH559" i="56"/>
  <c r="AP559" i="56" s="1"/>
  <c r="AI558" i="56"/>
  <c r="AQ558" i="56" s="1"/>
  <c r="AH558" i="56"/>
  <c r="AP558" i="56" s="1"/>
  <c r="AG558" i="56"/>
  <c r="AO558" i="56" s="1"/>
  <c r="AI557" i="56"/>
  <c r="AQ556" i="56" s="1"/>
  <c r="AH557" i="56"/>
  <c r="AP556" i="56" s="1"/>
  <c r="AG557" i="56"/>
  <c r="AO556" i="56" s="1"/>
  <c r="AF557" i="56"/>
  <c r="AI556" i="56"/>
  <c r="AQ557" i="56" s="1"/>
  <c r="AH556" i="56"/>
  <c r="AP557" i="56" s="1"/>
  <c r="AG556" i="56"/>
  <c r="AO557" i="56" s="1"/>
  <c r="AF556" i="56"/>
  <c r="AM556" i="56"/>
  <c r="BX523" i="56"/>
  <c r="BX522" i="56"/>
  <c r="BX521" i="56"/>
  <c r="BX520" i="56"/>
  <c r="BX519" i="56"/>
  <c r="BX518" i="56"/>
  <c r="BX517" i="56"/>
  <c r="BX516" i="56"/>
  <c r="BX515" i="56"/>
  <c r="BX514" i="56"/>
  <c r="BX513" i="56"/>
  <c r="BX512" i="56"/>
  <c r="BX511" i="56"/>
  <c r="BX510" i="56"/>
  <c r="BX509" i="56"/>
  <c r="BX508" i="56"/>
  <c r="BX507" i="56"/>
  <c r="BX506" i="56"/>
  <c r="BX505" i="56"/>
  <c r="BX504" i="56"/>
  <c r="BX503" i="56"/>
  <c r="BX502" i="56"/>
  <c r="BX501" i="56"/>
  <c r="BX500" i="56"/>
  <c r="BX499" i="56"/>
  <c r="BX498" i="56"/>
  <c r="BX497" i="56"/>
  <c r="BX496" i="56"/>
  <c r="BX495" i="56"/>
  <c r="BX494" i="56"/>
  <c r="BX493" i="56"/>
  <c r="BX492" i="56"/>
  <c r="BX491" i="56"/>
  <c r="BX490" i="56"/>
  <c r="BX489" i="56"/>
  <c r="BX488" i="56"/>
  <c r="BX487" i="56"/>
  <c r="BX486" i="56"/>
  <c r="BX485" i="56"/>
  <c r="BX484" i="56"/>
  <c r="BX483" i="56"/>
  <c r="BX482" i="56"/>
  <c r="BX481" i="56"/>
  <c r="BX480" i="56"/>
  <c r="BX479" i="56"/>
  <c r="BX478" i="56"/>
  <c r="BX477" i="56"/>
  <c r="BX476" i="56"/>
  <c r="BX475" i="56"/>
  <c r="BX474" i="56"/>
  <c r="BX473" i="56"/>
  <c r="BX472" i="56"/>
  <c r="BX471" i="56"/>
  <c r="BX470" i="56"/>
  <c r="BX469" i="56"/>
  <c r="BX468" i="56"/>
  <c r="BX467" i="56"/>
  <c r="BX466" i="56"/>
  <c r="BX465" i="56"/>
  <c r="BX464" i="56"/>
  <c r="BX463" i="56"/>
  <c r="BX462" i="56"/>
  <c r="BX461" i="56"/>
  <c r="BX460" i="56"/>
  <c r="BX459" i="56"/>
  <c r="BX458" i="56"/>
  <c r="BX457" i="56"/>
  <c r="BX456" i="56"/>
  <c r="BX455" i="56"/>
  <c r="BX454" i="56"/>
  <c r="BX453" i="56"/>
  <c r="BX452" i="56"/>
  <c r="BX451" i="56"/>
  <c r="BX450" i="56"/>
  <c r="BX449" i="56"/>
  <c r="BX448" i="56"/>
  <c r="BX447" i="56"/>
  <c r="BX446" i="56"/>
  <c r="BX445" i="56"/>
  <c r="BX444" i="56"/>
  <c r="BX443" i="56"/>
  <c r="BX442" i="56"/>
  <c r="BX441" i="56"/>
  <c r="BX440" i="56"/>
  <c r="BX439" i="56"/>
  <c r="BX438" i="56"/>
  <c r="BX437" i="56"/>
  <c r="BX436" i="56"/>
  <c r="BX435" i="56"/>
  <c r="BX434" i="56"/>
  <c r="BX433" i="56"/>
  <c r="BX432" i="56"/>
  <c r="BX431" i="56"/>
  <c r="BX430" i="56"/>
  <c r="BX429" i="56"/>
  <c r="BX428" i="56"/>
  <c r="BX427" i="56"/>
  <c r="BX426" i="56"/>
  <c r="BX425" i="56"/>
  <c r="BX424" i="56"/>
  <c r="BX423" i="56"/>
  <c r="BX422" i="56"/>
  <c r="BX421" i="56"/>
  <c r="BX420" i="56"/>
  <c r="BX419" i="56"/>
  <c r="BX418" i="56"/>
  <c r="BX417" i="56"/>
  <c r="BX416" i="56"/>
  <c r="BX415" i="56"/>
  <c r="BX414" i="56"/>
  <c r="BX413" i="56"/>
  <c r="BX412" i="56"/>
  <c r="BX411" i="56"/>
  <c r="BX410" i="56"/>
  <c r="BX409" i="56"/>
  <c r="BX408" i="56"/>
  <c r="BX407" i="56"/>
  <c r="BX406" i="56"/>
  <c r="BX405" i="56"/>
  <c r="BX404" i="56"/>
  <c r="BX403" i="56"/>
  <c r="BX402" i="56"/>
  <c r="BX401" i="56"/>
  <c r="BX400" i="56"/>
  <c r="BX399" i="56"/>
  <c r="BX398" i="56"/>
  <c r="BX397" i="56"/>
  <c r="BX396" i="56"/>
  <c r="BX395" i="56"/>
  <c r="BX394" i="56"/>
  <c r="BX393" i="56"/>
  <c r="BX392" i="56"/>
  <c r="BX391" i="56"/>
  <c r="BX390" i="56"/>
  <c r="BX389" i="56"/>
  <c r="BX388" i="56"/>
  <c r="BX387" i="56"/>
  <c r="BX386" i="56"/>
  <c r="BX385" i="56"/>
  <c r="BX384" i="56"/>
  <c r="BX383" i="56"/>
  <c r="BX382" i="56"/>
  <c r="BX381" i="56"/>
  <c r="BX380" i="56"/>
  <c r="BX379" i="56"/>
  <c r="BX378" i="56"/>
  <c r="BX377" i="56"/>
  <c r="BX376" i="56"/>
  <c r="BX375" i="56"/>
  <c r="BX374" i="56"/>
  <c r="BX373" i="56"/>
  <c r="BX372" i="56"/>
  <c r="BX371" i="56"/>
  <c r="BX370" i="56"/>
  <c r="BX369" i="56"/>
  <c r="BX368" i="56"/>
  <c r="BX367" i="56"/>
  <c r="BX366" i="56"/>
  <c r="BX365" i="56"/>
  <c r="BX364" i="56"/>
  <c r="BX363" i="56"/>
  <c r="BX362" i="56"/>
  <c r="BX361" i="56"/>
  <c r="BX360" i="56"/>
  <c r="BX359" i="56"/>
  <c r="BX358" i="56"/>
  <c r="BX357" i="56"/>
  <c r="BX356" i="56"/>
  <c r="BX355" i="56"/>
  <c r="BX354" i="56"/>
  <c r="BX353" i="56"/>
  <c r="BX352" i="56"/>
  <c r="BX351" i="56"/>
  <c r="BX350" i="56"/>
  <c r="BX349" i="56"/>
  <c r="BX348" i="56"/>
  <c r="BX347" i="56"/>
  <c r="BX346" i="56"/>
  <c r="BX345" i="56"/>
  <c r="BX344" i="56"/>
  <c r="BX343" i="56"/>
  <c r="BX342" i="56"/>
  <c r="BX341" i="56"/>
  <c r="BX340" i="56"/>
  <c r="BX339" i="56"/>
  <c r="BX338" i="56"/>
  <c r="BX337" i="56"/>
  <c r="BX336" i="56"/>
  <c r="BX335" i="56"/>
  <c r="BX334" i="56"/>
  <c r="BX333" i="56"/>
  <c r="BX332" i="56"/>
  <c r="BX331" i="56"/>
  <c r="BX330" i="56"/>
  <c r="BX329" i="56"/>
  <c r="BX328" i="56"/>
  <c r="BX327" i="56"/>
  <c r="BX326" i="56"/>
  <c r="BX325" i="56"/>
  <c r="BX324" i="56"/>
  <c r="BX323" i="56"/>
  <c r="BX322" i="56"/>
  <c r="BX321" i="56"/>
  <c r="BX320" i="56"/>
  <c r="BX319" i="56"/>
  <c r="BX318" i="56"/>
  <c r="BX317" i="56"/>
  <c r="BX316" i="56"/>
  <c r="BX315" i="56"/>
  <c r="BX314" i="56"/>
  <c r="BX313" i="56"/>
  <c r="BX312" i="56"/>
  <c r="BX311" i="56"/>
  <c r="BX310" i="56"/>
  <c r="BX309" i="56"/>
  <c r="BX308" i="56"/>
  <c r="BX307" i="56"/>
  <c r="BX306" i="56"/>
  <c r="BX305" i="56"/>
  <c r="BX304" i="56"/>
  <c r="BX303" i="56"/>
  <c r="BX302" i="56"/>
  <c r="BX301" i="56"/>
  <c r="BX300" i="56"/>
  <c r="BX299" i="56"/>
  <c r="BX298" i="56"/>
  <c r="BX297" i="56"/>
  <c r="BX296" i="56"/>
  <c r="BX295" i="56"/>
  <c r="BX294" i="56"/>
  <c r="BX293" i="56"/>
  <c r="BX292" i="56"/>
  <c r="BX291" i="56"/>
  <c r="BX290" i="56"/>
  <c r="BX289" i="56"/>
  <c r="BX288" i="56"/>
  <c r="BX287" i="56"/>
  <c r="BX286" i="56"/>
  <c r="BX285" i="56"/>
  <c r="BX284" i="56"/>
  <c r="BX283" i="56"/>
  <c r="BX282" i="56"/>
  <c r="BX281" i="56"/>
  <c r="BX280" i="56"/>
  <c r="BX279" i="56"/>
  <c r="BX278" i="56"/>
  <c r="BX277" i="56"/>
  <c r="BX276" i="56"/>
  <c r="BX275" i="56"/>
  <c r="BX274" i="56"/>
  <c r="BX273" i="56"/>
  <c r="BX272" i="56"/>
  <c r="BX271" i="56"/>
  <c r="BX270" i="56"/>
  <c r="BX269" i="56"/>
  <c r="BX268" i="56"/>
  <c r="BX267" i="56"/>
  <c r="BX266" i="56"/>
  <c r="BX265" i="56"/>
  <c r="BX264" i="56"/>
  <c r="BX263" i="56"/>
  <c r="BX262" i="56"/>
  <c r="BX261" i="56"/>
  <c r="BX260" i="56"/>
  <c r="BX259" i="56"/>
  <c r="BX258" i="56"/>
  <c r="BX257" i="56"/>
  <c r="BX256" i="56"/>
  <c r="BX255" i="56"/>
  <c r="BX254" i="56"/>
  <c r="BX253" i="56"/>
  <c r="BX252" i="56"/>
  <c r="BX251" i="56"/>
  <c r="BX250" i="56"/>
  <c r="BX249" i="56"/>
  <c r="BX248" i="56"/>
  <c r="BX247" i="56"/>
  <c r="BX246" i="56"/>
  <c r="BX245" i="56"/>
  <c r="BX244" i="56"/>
  <c r="BX243" i="56"/>
  <c r="BX242" i="56"/>
  <c r="BX241" i="56"/>
  <c r="BX240" i="56"/>
  <c r="BX239" i="56"/>
  <c r="BX238" i="56"/>
  <c r="BX237" i="56"/>
  <c r="BX236" i="56"/>
  <c r="BX235" i="56"/>
  <c r="BX234" i="56"/>
  <c r="BX233" i="56"/>
  <c r="BX232" i="56"/>
  <c r="BX231" i="56"/>
  <c r="BX230" i="56"/>
  <c r="BX229" i="56"/>
  <c r="BX228" i="56"/>
  <c r="BX227" i="56"/>
  <c r="BX226" i="56"/>
  <c r="BX225" i="56"/>
  <c r="BX224" i="56"/>
  <c r="BX223" i="56"/>
  <c r="BX222" i="56"/>
  <c r="BX221" i="56"/>
  <c r="BX220" i="56"/>
  <c r="BX219" i="56"/>
  <c r="BX218" i="56"/>
  <c r="BX217" i="56"/>
  <c r="BX216" i="56"/>
  <c r="BX215" i="56"/>
  <c r="BX214" i="56"/>
  <c r="BX213" i="56"/>
  <c r="BX212" i="56"/>
  <c r="BX211" i="56"/>
  <c r="BX210" i="56"/>
  <c r="BX209" i="56"/>
  <c r="BX208" i="56"/>
  <c r="BX207" i="56"/>
  <c r="BX206" i="56"/>
  <c r="BX205" i="56"/>
  <c r="BX204" i="56"/>
  <c r="BX203" i="56"/>
  <c r="BX202" i="56"/>
  <c r="BX201" i="56"/>
  <c r="BX200" i="56"/>
  <c r="BX199" i="56"/>
  <c r="BX198" i="56"/>
  <c r="BX197" i="56"/>
  <c r="BX196" i="56"/>
  <c r="BX195" i="56"/>
  <c r="BX194" i="56"/>
  <c r="BX193" i="56"/>
  <c r="BX192" i="56"/>
  <c r="BX191" i="56"/>
  <c r="BX190" i="56"/>
  <c r="BX189" i="56"/>
  <c r="BX188" i="56"/>
  <c r="BX187" i="56"/>
  <c r="BX186" i="56"/>
  <c r="BX185" i="56"/>
  <c r="BX184" i="56"/>
  <c r="BX183" i="56"/>
  <c r="BX182" i="56"/>
  <c r="BX181" i="56"/>
  <c r="BX180" i="56"/>
  <c r="BX179" i="56"/>
  <c r="BX178" i="56"/>
  <c r="BX177" i="56"/>
  <c r="BX176" i="56"/>
  <c r="BX175" i="56"/>
  <c r="BX174" i="56"/>
  <c r="BX173" i="56"/>
  <c r="BX172" i="56"/>
  <c r="BX171" i="56"/>
  <c r="BX170" i="56"/>
  <c r="BX169" i="56"/>
  <c r="BX168" i="56"/>
  <c r="BX167" i="56"/>
  <c r="BX166" i="56"/>
  <c r="BX165" i="56"/>
  <c r="BX164" i="56"/>
  <c r="BX163" i="56"/>
  <c r="BX162" i="56"/>
  <c r="BX161" i="56"/>
  <c r="BX160" i="56"/>
  <c r="BX159" i="56"/>
  <c r="BX158" i="56"/>
  <c r="BX157" i="56"/>
  <c r="BX156" i="56"/>
  <c r="BX155" i="56"/>
  <c r="BX154" i="56"/>
  <c r="BX153" i="56"/>
  <c r="BX152" i="56"/>
  <c r="BX151" i="56"/>
  <c r="BX150" i="56"/>
  <c r="BX149" i="56"/>
  <c r="BX148" i="56"/>
  <c r="BX147" i="56"/>
  <c r="BX146" i="56"/>
  <c r="BX145" i="56"/>
  <c r="BX144" i="56"/>
  <c r="BX143" i="56"/>
  <c r="BX142" i="56"/>
  <c r="BX141" i="56"/>
  <c r="BX140" i="56"/>
  <c r="BX139" i="56"/>
  <c r="BX138" i="56"/>
  <c r="BX137" i="56"/>
  <c r="BX136" i="56"/>
  <c r="BX135" i="56"/>
  <c r="BX134" i="56"/>
  <c r="BX133" i="56"/>
  <c r="BX132" i="56"/>
  <c r="BX131" i="56"/>
  <c r="BX130" i="56"/>
  <c r="BX129" i="56"/>
  <c r="BX128" i="56"/>
  <c r="BX127" i="56"/>
  <c r="BX126" i="56"/>
  <c r="BX125" i="56"/>
  <c r="BX124" i="56"/>
  <c r="BX123" i="56"/>
  <c r="BX122" i="56"/>
  <c r="BX121" i="56"/>
  <c r="BX120" i="56"/>
  <c r="BX119" i="56"/>
  <c r="BX118" i="56"/>
  <c r="BX117" i="56"/>
  <c r="BX116" i="56"/>
  <c r="BX115" i="56"/>
  <c r="BX114" i="56"/>
  <c r="BX113" i="56"/>
  <c r="BX112" i="56"/>
  <c r="BX111" i="56"/>
  <c r="BX110" i="56"/>
  <c r="BX109" i="56"/>
  <c r="BX108" i="56"/>
  <c r="BX107" i="56"/>
  <c r="BX106" i="56"/>
  <c r="BX105" i="56"/>
  <c r="BX104" i="56"/>
  <c r="BX103" i="56"/>
  <c r="BX102" i="56"/>
  <c r="BX101" i="56"/>
  <c r="BX100" i="56"/>
  <c r="BX99" i="56"/>
  <c r="BX98" i="56"/>
  <c r="BX97" i="56"/>
  <c r="BX96" i="56"/>
  <c r="BX95" i="56"/>
  <c r="BX94" i="56"/>
  <c r="BX93" i="56"/>
  <c r="BX92" i="56"/>
  <c r="BX91" i="56"/>
  <c r="BX90" i="56"/>
  <c r="BX89" i="56"/>
  <c r="BX88" i="56"/>
  <c r="BX87" i="56"/>
  <c r="BX86" i="56"/>
  <c r="BX85" i="56"/>
  <c r="BX84" i="56"/>
  <c r="BX83" i="56"/>
  <c r="BX82" i="56"/>
  <c r="BX81" i="56"/>
  <c r="BX80" i="56"/>
  <c r="BX79" i="56"/>
  <c r="BX78" i="56"/>
  <c r="BX77" i="56"/>
  <c r="BX76" i="56"/>
  <c r="BX75" i="56"/>
  <c r="BX74" i="56"/>
  <c r="BX73" i="56"/>
  <c r="BX72" i="56"/>
  <c r="BX71" i="56"/>
  <c r="BX70" i="56"/>
  <c r="BX69" i="56"/>
  <c r="BX68" i="56"/>
  <c r="BX67" i="56"/>
  <c r="BX66" i="56"/>
  <c r="BX65" i="56"/>
  <c r="BX64" i="56"/>
  <c r="BX63" i="56"/>
  <c r="BX62" i="56"/>
  <c r="BX61" i="56"/>
  <c r="BX60" i="56"/>
  <c r="BX59" i="56"/>
  <c r="BX58" i="56"/>
  <c r="BX57" i="56"/>
  <c r="BX56" i="56"/>
  <c r="BX55" i="56"/>
  <c r="BX54" i="56"/>
  <c r="BX53" i="56"/>
  <c r="BX52" i="56"/>
  <c r="BX51" i="56"/>
  <c r="BX50" i="56"/>
  <c r="BX49" i="56"/>
  <c r="BX48" i="56"/>
  <c r="BX47" i="56"/>
  <c r="BX46" i="56"/>
  <c r="BX45" i="56"/>
  <c r="BX44" i="56"/>
  <c r="BX43" i="56"/>
  <c r="BX42" i="56"/>
  <c r="BX41" i="56"/>
  <c r="BX40" i="56"/>
  <c r="BX39" i="56"/>
  <c r="BX38" i="56"/>
  <c r="BX37" i="56"/>
  <c r="BX36" i="56"/>
  <c r="BX35" i="56"/>
  <c r="BX34" i="56"/>
  <c r="BX33" i="56"/>
  <c r="BX32" i="56"/>
  <c r="BX31" i="56"/>
  <c r="BX30" i="56"/>
  <c r="BX29" i="56"/>
  <c r="BX28" i="56"/>
  <c r="BX27" i="56"/>
  <c r="BX26" i="56"/>
  <c r="BX25" i="56"/>
  <c r="BX24" i="56"/>
  <c r="BX23" i="56"/>
  <c r="BX22" i="56"/>
  <c r="BX21" i="56"/>
  <c r="BX20" i="56"/>
  <c r="BX19" i="56"/>
  <c r="BX18" i="56"/>
  <c r="BX17" i="56"/>
  <c r="BX16" i="56"/>
  <c r="BX15" i="56"/>
  <c r="BX14" i="56"/>
  <c r="BX13" i="56"/>
  <c r="BX12" i="56"/>
  <c r="BX11" i="56"/>
  <c r="BX10" i="56"/>
  <c r="BX9" i="56"/>
  <c r="BX8" i="56"/>
  <c r="BX7" i="56"/>
  <c r="BX6" i="56"/>
  <c r="BX5" i="56"/>
  <c r="BX4" i="56"/>
  <c r="BX3" i="56"/>
  <c r="BX524" i="56"/>
  <c r="BW523" i="56"/>
  <c r="BW522" i="56"/>
  <c r="BW521" i="56"/>
  <c r="BW520" i="56"/>
  <c r="BW519" i="56"/>
  <c r="BW518" i="56"/>
  <c r="BW517" i="56"/>
  <c r="BW516" i="56"/>
  <c r="BW515" i="56"/>
  <c r="BW514" i="56"/>
  <c r="BW513" i="56"/>
  <c r="BW512" i="56"/>
  <c r="BW511" i="56"/>
  <c r="BW510" i="56"/>
  <c r="BW509" i="56"/>
  <c r="BW508" i="56"/>
  <c r="BW507" i="56"/>
  <c r="BW506" i="56"/>
  <c r="BW505" i="56"/>
  <c r="BW504" i="56"/>
  <c r="BW503" i="56"/>
  <c r="BW502" i="56"/>
  <c r="BW501" i="56"/>
  <c r="BW500" i="56"/>
  <c r="BW499" i="56"/>
  <c r="BW498" i="56"/>
  <c r="BW497" i="56"/>
  <c r="BW496" i="56"/>
  <c r="BW495" i="56"/>
  <c r="BW494" i="56"/>
  <c r="BW493" i="56"/>
  <c r="BW492" i="56"/>
  <c r="BW491" i="56"/>
  <c r="BW490" i="56"/>
  <c r="BW489" i="56"/>
  <c r="BW488" i="56"/>
  <c r="BW487" i="56"/>
  <c r="BW486" i="56"/>
  <c r="BW485" i="56"/>
  <c r="BW484" i="56"/>
  <c r="BW483" i="56"/>
  <c r="BW482" i="56"/>
  <c r="BW481" i="56"/>
  <c r="BW480" i="56"/>
  <c r="BW479" i="56"/>
  <c r="BW478" i="56"/>
  <c r="BW477" i="56"/>
  <c r="BW476" i="56"/>
  <c r="BW475" i="56"/>
  <c r="BW474" i="56"/>
  <c r="BW473" i="56"/>
  <c r="BW472" i="56"/>
  <c r="BW471" i="56"/>
  <c r="BW470" i="56"/>
  <c r="BW469" i="56"/>
  <c r="BW468" i="56"/>
  <c r="BW467" i="56"/>
  <c r="BW466" i="56"/>
  <c r="BW465" i="56"/>
  <c r="BW464" i="56"/>
  <c r="BW463" i="56"/>
  <c r="BW462" i="56"/>
  <c r="BW461" i="56"/>
  <c r="BW460" i="56"/>
  <c r="BW459" i="56"/>
  <c r="BW458" i="56"/>
  <c r="BW457" i="56"/>
  <c r="BW456" i="56"/>
  <c r="BW455" i="56"/>
  <c r="BW454" i="56"/>
  <c r="BW453" i="56"/>
  <c r="BW452" i="56"/>
  <c r="BW451" i="56"/>
  <c r="BW450" i="56"/>
  <c r="BW449" i="56"/>
  <c r="BW448" i="56"/>
  <c r="BW447" i="56"/>
  <c r="BW446" i="56"/>
  <c r="BW445" i="56"/>
  <c r="BW444" i="56"/>
  <c r="BW443" i="56"/>
  <c r="BW442" i="56"/>
  <c r="BW441" i="56"/>
  <c r="BW440" i="56"/>
  <c r="BW439" i="56"/>
  <c r="BW438" i="56"/>
  <c r="BW437" i="56"/>
  <c r="BW436" i="56"/>
  <c r="BW435" i="56"/>
  <c r="BW434" i="56"/>
  <c r="BW433" i="56"/>
  <c r="BW432" i="56"/>
  <c r="BW431" i="56"/>
  <c r="BW430" i="56"/>
  <c r="BW429" i="56"/>
  <c r="BW428" i="56"/>
  <c r="BW427" i="56"/>
  <c r="BW426" i="56"/>
  <c r="BW425" i="56"/>
  <c r="BW424" i="56"/>
  <c r="BW423" i="56"/>
  <c r="BW422" i="56"/>
  <c r="BW421" i="56"/>
  <c r="BW420" i="56"/>
  <c r="BW419" i="56"/>
  <c r="BW418" i="56"/>
  <c r="BW417" i="56"/>
  <c r="BW416" i="56"/>
  <c r="BW415" i="56"/>
  <c r="BW414" i="56"/>
  <c r="BW413" i="56"/>
  <c r="BW412" i="56"/>
  <c r="BW411" i="56"/>
  <c r="BW410" i="56"/>
  <c r="BW409" i="56"/>
  <c r="BW408" i="56"/>
  <c r="BW407" i="56"/>
  <c r="BW406" i="56"/>
  <c r="BW405" i="56"/>
  <c r="BW404" i="56"/>
  <c r="BW403" i="56"/>
  <c r="BW402" i="56"/>
  <c r="BW401" i="56"/>
  <c r="BW400" i="56"/>
  <c r="BW399" i="56"/>
  <c r="BW398" i="56"/>
  <c r="BW397" i="56"/>
  <c r="BW396" i="56"/>
  <c r="BW395" i="56"/>
  <c r="BW394" i="56"/>
  <c r="BW393" i="56"/>
  <c r="BW392" i="56"/>
  <c r="BW391" i="56"/>
  <c r="BW390" i="56"/>
  <c r="BW389" i="56"/>
  <c r="BW388" i="56"/>
  <c r="BW387" i="56"/>
  <c r="BW386" i="56"/>
  <c r="BW385" i="56"/>
  <c r="BW384" i="56"/>
  <c r="BW383" i="56"/>
  <c r="BW382" i="56"/>
  <c r="BW381" i="56"/>
  <c r="BW380" i="56"/>
  <c r="BW379" i="56"/>
  <c r="BW378" i="56"/>
  <c r="BW377" i="56"/>
  <c r="BW376" i="56"/>
  <c r="BW375" i="56"/>
  <c r="BW374" i="56"/>
  <c r="BW373" i="56"/>
  <c r="BW372" i="56"/>
  <c r="BW371" i="56"/>
  <c r="BW370" i="56"/>
  <c r="BW369" i="56"/>
  <c r="BW368" i="56"/>
  <c r="BW367" i="56"/>
  <c r="BW366" i="56"/>
  <c r="BW365" i="56"/>
  <c r="BW364" i="56"/>
  <c r="BW363" i="56"/>
  <c r="BW362" i="56"/>
  <c r="BW361" i="56"/>
  <c r="BW360" i="56"/>
  <c r="BW359" i="56"/>
  <c r="BW358" i="56"/>
  <c r="BW357" i="56"/>
  <c r="BW356" i="56"/>
  <c r="BW355" i="56"/>
  <c r="BW354" i="56"/>
  <c r="BW353" i="56"/>
  <c r="BW352" i="56"/>
  <c r="BW351" i="56"/>
  <c r="BW350" i="56"/>
  <c r="BW349" i="56"/>
  <c r="BW348" i="56"/>
  <c r="BW347" i="56"/>
  <c r="BW346" i="56"/>
  <c r="BW345" i="56"/>
  <c r="BW344" i="56"/>
  <c r="BW343" i="56"/>
  <c r="BW342" i="56"/>
  <c r="BW341" i="56"/>
  <c r="BW340" i="56"/>
  <c r="BW339" i="56"/>
  <c r="BW338" i="56"/>
  <c r="BW337" i="56"/>
  <c r="BW336" i="56"/>
  <c r="BW335" i="56"/>
  <c r="BW334" i="56"/>
  <c r="BW333" i="56"/>
  <c r="BW332" i="56"/>
  <c r="BW331" i="56"/>
  <c r="BW330" i="56"/>
  <c r="BW329" i="56"/>
  <c r="BW328" i="56"/>
  <c r="BW327" i="56"/>
  <c r="BW326" i="56"/>
  <c r="BW325" i="56"/>
  <c r="BW324" i="56"/>
  <c r="BW323" i="56"/>
  <c r="BW322" i="56"/>
  <c r="BW321" i="56"/>
  <c r="BW320" i="56"/>
  <c r="BW319" i="56"/>
  <c r="BW318" i="56"/>
  <c r="BW317" i="56"/>
  <c r="BW316" i="56"/>
  <c r="BW315" i="56"/>
  <c r="BW314" i="56"/>
  <c r="BW313" i="56"/>
  <c r="BW312" i="56"/>
  <c r="BW311" i="56"/>
  <c r="BW310" i="56"/>
  <c r="BW309" i="56"/>
  <c r="BW308" i="56"/>
  <c r="BW307" i="56"/>
  <c r="BW306" i="56"/>
  <c r="BW305" i="56"/>
  <c r="BW304" i="56"/>
  <c r="BW303" i="56"/>
  <c r="BW302" i="56"/>
  <c r="BW301" i="56"/>
  <c r="BW300" i="56"/>
  <c r="BW299" i="56"/>
  <c r="BW298" i="56"/>
  <c r="BW297" i="56"/>
  <c r="BW296" i="56"/>
  <c r="BW295" i="56"/>
  <c r="BW294" i="56"/>
  <c r="BW293" i="56"/>
  <c r="BW292" i="56"/>
  <c r="BW291" i="56"/>
  <c r="BW290" i="56"/>
  <c r="BW289" i="56"/>
  <c r="BW288" i="56"/>
  <c r="BW287" i="56"/>
  <c r="BW286" i="56"/>
  <c r="BW285" i="56"/>
  <c r="BW284" i="56"/>
  <c r="BW283" i="56"/>
  <c r="BW282" i="56"/>
  <c r="BW281" i="56"/>
  <c r="BW280" i="56"/>
  <c r="BW279" i="56"/>
  <c r="BW278" i="56"/>
  <c r="BW277" i="56"/>
  <c r="BW276" i="56"/>
  <c r="BW275" i="56"/>
  <c r="BW274" i="56"/>
  <c r="BW273" i="56"/>
  <c r="BW272" i="56"/>
  <c r="BW271" i="56"/>
  <c r="BW270" i="56"/>
  <c r="BW269" i="56"/>
  <c r="BW268" i="56"/>
  <c r="BW267" i="56"/>
  <c r="BW266" i="56"/>
  <c r="BW265" i="56"/>
  <c r="BW264" i="56"/>
  <c r="BW263" i="56"/>
  <c r="BW262" i="56"/>
  <c r="BW261" i="56"/>
  <c r="BW260" i="56"/>
  <c r="BW259" i="56"/>
  <c r="BW258" i="56"/>
  <c r="BW257" i="56"/>
  <c r="BW256" i="56"/>
  <c r="BW255" i="56"/>
  <c r="BW254" i="56"/>
  <c r="BW253" i="56"/>
  <c r="BW252" i="56"/>
  <c r="BW251" i="56"/>
  <c r="BW250" i="56"/>
  <c r="BW249" i="56"/>
  <c r="BW248" i="56"/>
  <c r="BW247" i="56"/>
  <c r="BW246" i="56"/>
  <c r="BW245" i="56"/>
  <c r="BW244" i="56"/>
  <c r="BW243" i="56"/>
  <c r="BW242" i="56"/>
  <c r="BW241" i="56"/>
  <c r="BW240" i="56"/>
  <c r="BW239" i="56"/>
  <c r="BW238" i="56"/>
  <c r="BW237" i="56"/>
  <c r="BW236" i="56"/>
  <c r="BW235" i="56"/>
  <c r="BW234" i="56"/>
  <c r="BW233" i="56"/>
  <c r="BW232" i="56"/>
  <c r="BW231" i="56"/>
  <c r="BW230" i="56"/>
  <c r="BW229" i="56"/>
  <c r="BW228" i="56"/>
  <c r="BW227" i="56"/>
  <c r="BW226" i="56"/>
  <c r="BW225" i="56"/>
  <c r="BW224" i="56"/>
  <c r="BW223" i="56"/>
  <c r="BW222" i="56"/>
  <c r="BW221" i="56"/>
  <c r="BW220" i="56"/>
  <c r="BW219" i="56"/>
  <c r="BW218" i="56"/>
  <c r="BW217" i="56"/>
  <c r="BW216" i="56"/>
  <c r="BW215" i="56"/>
  <c r="BW214" i="56"/>
  <c r="BW213" i="56"/>
  <c r="BW212" i="56"/>
  <c r="BW211" i="56"/>
  <c r="BW210" i="56"/>
  <c r="BW209" i="56"/>
  <c r="BW208" i="56"/>
  <c r="BW207" i="56"/>
  <c r="BW206" i="56"/>
  <c r="BW205" i="56"/>
  <c r="BW204" i="56"/>
  <c r="BW203" i="56"/>
  <c r="BW202" i="56"/>
  <c r="BW201" i="56"/>
  <c r="BW200" i="56"/>
  <c r="BW199" i="56"/>
  <c r="BW198" i="56"/>
  <c r="BW197" i="56"/>
  <c r="BW196" i="56"/>
  <c r="BW195" i="56"/>
  <c r="BW194" i="56"/>
  <c r="BW193" i="56"/>
  <c r="BW192" i="56"/>
  <c r="BW191" i="56"/>
  <c r="BW190" i="56"/>
  <c r="BW189" i="56"/>
  <c r="BW188" i="56"/>
  <c r="BW187" i="56"/>
  <c r="BW186" i="56"/>
  <c r="BW185" i="56"/>
  <c r="BW184" i="56"/>
  <c r="BW183" i="56"/>
  <c r="BW182" i="56"/>
  <c r="BW181" i="56"/>
  <c r="BW180" i="56"/>
  <c r="BW179" i="56"/>
  <c r="BW178" i="56"/>
  <c r="BW177" i="56"/>
  <c r="BW176" i="56"/>
  <c r="BW175" i="56"/>
  <c r="BW174" i="56"/>
  <c r="BW173" i="56"/>
  <c r="BW172" i="56"/>
  <c r="BW171" i="56"/>
  <c r="BW170" i="56"/>
  <c r="BW169" i="56"/>
  <c r="BW168" i="56"/>
  <c r="BW167" i="56"/>
  <c r="BW166" i="56"/>
  <c r="BW165" i="56"/>
  <c r="BW164" i="56"/>
  <c r="BW163" i="56"/>
  <c r="BW162" i="56"/>
  <c r="BW161" i="56"/>
  <c r="BW160" i="56"/>
  <c r="BW159" i="56"/>
  <c r="BW158" i="56"/>
  <c r="BW157" i="56"/>
  <c r="BW156" i="56"/>
  <c r="BW155" i="56"/>
  <c r="BW154" i="56"/>
  <c r="BW153" i="56"/>
  <c r="BW152" i="56"/>
  <c r="BW151" i="56"/>
  <c r="BW150" i="56"/>
  <c r="BW149" i="56"/>
  <c r="BW148" i="56"/>
  <c r="BW147" i="56"/>
  <c r="BW146" i="56"/>
  <c r="BW145" i="56"/>
  <c r="BW144" i="56"/>
  <c r="BW143" i="56"/>
  <c r="BW142" i="56"/>
  <c r="BW141" i="56"/>
  <c r="BW140" i="56"/>
  <c r="BW139" i="56"/>
  <c r="BW138" i="56"/>
  <c r="BW137" i="56"/>
  <c r="BW136" i="56"/>
  <c r="BW135" i="56"/>
  <c r="BW134" i="56"/>
  <c r="BW133" i="56"/>
  <c r="BW132" i="56"/>
  <c r="BW131" i="56"/>
  <c r="BW130" i="56"/>
  <c r="BW129" i="56"/>
  <c r="BW128" i="56"/>
  <c r="BW127" i="56"/>
  <c r="BW126" i="56"/>
  <c r="BW125" i="56"/>
  <c r="BW124" i="56"/>
  <c r="BW123" i="56"/>
  <c r="BW122" i="56"/>
  <c r="BW121" i="56"/>
  <c r="BW120" i="56"/>
  <c r="BW119" i="56"/>
  <c r="BW118" i="56"/>
  <c r="BW117" i="56"/>
  <c r="BW116" i="56"/>
  <c r="BW115" i="56"/>
  <c r="BW114" i="56"/>
  <c r="BW113" i="56"/>
  <c r="BW112" i="56"/>
  <c r="BW111" i="56"/>
  <c r="BW110" i="56"/>
  <c r="BW109" i="56"/>
  <c r="BW108" i="56"/>
  <c r="BW107" i="56"/>
  <c r="BW106" i="56"/>
  <c r="BW105" i="56"/>
  <c r="BW104" i="56"/>
  <c r="BW103" i="56"/>
  <c r="BW102" i="56"/>
  <c r="BW101" i="56"/>
  <c r="BW100" i="56"/>
  <c r="BW99" i="56"/>
  <c r="BW98" i="56"/>
  <c r="BW97" i="56"/>
  <c r="BW96" i="56"/>
  <c r="BW95" i="56"/>
  <c r="BW94" i="56"/>
  <c r="BW93" i="56"/>
  <c r="BW92" i="56"/>
  <c r="BW91" i="56"/>
  <c r="BW90" i="56"/>
  <c r="BW89" i="56"/>
  <c r="BW88" i="56"/>
  <c r="BW87" i="56"/>
  <c r="BW86" i="56"/>
  <c r="BW85" i="56"/>
  <c r="BW84" i="56"/>
  <c r="BW83" i="56"/>
  <c r="BW82" i="56"/>
  <c r="BW81" i="56"/>
  <c r="BW80" i="56"/>
  <c r="BW79" i="56"/>
  <c r="BW78" i="56"/>
  <c r="BW77" i="56"/>
  <c r="BW76" i="56"/>
  <c r="BW75" i="56"/>
  <c r="BW74" i="56"/>
  <c r="BW73" i="56"/>
  <c r="BW72" i="56"/>
  <c r="BW71" i="56"/>
  <c r="BW70" i="56"/>
  <c r="BW69" i="56"/>
  <c r="BW68" i="56"/>
  <c r="BW67" i="56"/>
  <c r="BW66" i="56"/>
  <c r="BW65" i="56"/>
  <c r="BW64" i="56"/>
  <c r="BW63" i="56"/>
  <c r="BW62" i="56"/>
  <c r="BW61" i="56"/>
  <c r="BW60" i="56"/>
  <c r="BW59" i="56"/>
  <c r="BW58" i="56"/>
  <c r="BW57" i="56"/>
  <c r="BW56" i="56"/>
  <c r="BW55" i="56"/>
  <c r="BW54" i="56"/>
  <c r="BW53" i="56"/>
  <c r="BW52" i="56"/>
  <c r="BW51" i="56"/>
  <c r="BW50" i="56"/>
  <c r="BW49" i="56"/>
  <c r="BW48" i="56"/>
  <c r="BW47" i="56"/>
  <c r="BW46" i="56"/>
  <c r="BW45" i="56"/>
  <c r="BW44" i="56"/>
  <c r="BW43" i="56"/>
  <c r="BW42" i="56"/>
  <c r="BW41" i="56"/>
  <c r="BW40" i="56"/>
  <c r="BW39" i="56"/>
  <c r="BW38" i="56"/>
  <c r="BW37" i="56"/>
  <c r="BW36" i="56"/>
  <c r="BW35" i="56"/>
  <c r="BW34" i="56"/>
  <c r="BW33" i="56"/>
  <c r="BW32" i="56"/>
  <c r="BW31" i="56"/>
  <c r="BW30" i="56"/>
  <c r="BW29" i="56"/>
  <c r="BW28" i="56"/>
  <c r="BW27" i="56"/>
  <c r="BW26" i="56"/>
  <c r="BW25" i="56"/>
  <c r="BW24" i="56"/>
  <c r="BW23" i="56"/>
  <c r="BW22" i="56"/>
  <c r="BW21" i="56"/>
  <c r="BW20" i="56"/>
  <c r="BW19" i="56"/>
  <c r="BW18" i="56"/>
  <c r="BW17" i="56"/>
  <c r="BW16" i="56"/>
  <c r="BW15" i="56"/>
  <c r="BW14" i="56"/>
  <c r="BW13" i="56"/>
  <c r="BW12" i="56"/>
  <c r="BW11" i="56"/>
  <c r="BW10" i="56"/>
  <c r="BW9" i="56"/>
  <c r="BW8" i="56"/>
  <c r="BW7" i="56"/>
  <c r="BW6" i="56"/>
  <c r="BW5" i="56"/>
  <c r="BW4" i="56"/>
  <c r="BW3" i="56"/>
  <c r="BW524" i="56"/>
  <c r="AI551" i="56"/>
  <c r="AH552" i="56" s="1"/>
  <c r="AP552" i="56" s="1"/>
  <c r="AI549" i="56"/>
  <c r="AQ549" i="56" s="1"/>
  <c r="AH549" i="56"/>
  <c r="AP549" i="56" s="1"/>
  <c r="AI550" i="56"/>
  <c r="AQ550" i="56" s="1"/>
  <c r="AG549" i="56"/>
  <c r="AO549" i="56" s="1"/>
  <c r="AH550" i="56"/>
  <c r="AI548" i="56"/>
  <c r="AQ547" i="56" s="1"/>
  <c r="AH548" i="56"/>
  <c r="AP547" i="56" s="1"/>
  <c r="AG548" i="56"/>
  <c r="AO547" i="56" s="1"/>
  <c r="AF548" i="56"/>
  <c r="AI547" i="56"/>
  <c r="AQ548" i="56" s="1"/>
  <c r="AH547" i="56"/>
  <c r="AP548" i="56" s="1"/>
  <c r="AG547" i="56"/>
  <c r="AO548" i="56" s="1"/>
  <c r="AF547" i="56"/>
  <c r="AM547" i="56"/>
  <c r="AP295" i="8"/>
  <c r="H11" i="27"/>
  <c r="G11" i="27"/>
  <c r="F11" i="27"/>
  <c r="E11" i="27"/>
  <c r="D11" i="27"/>
  <c r="H10" i="27"/>
  <c r="G10" i="27"/>
  <c r="F10" i="27"/>
  <c r="E10" i="27"/>
  <c r="D10" i="27"/>
  <c r="H9" i="27"/>
  <c r="G9" i="27"/>
  <c r="F9" i="27"/>
  <c r="E9" i="27"/>
  <c r="D9" i="27"/>
  <c r="H8" i="27"/>
  <c r="G8" i="27"/>
  <c r="F8" i="27"/>
  <c r="E8" i="27"/>
  <c r="D8" i="27"/>
  <c r="H7" i="27"/>
  <c r="G7" i="27"/>
  <c r="F7" i="27"/>
  <c r="E7" i="27"/>
  <c r="D7" i="27"/>
  <c r="D8" i="19" a="1"/>
  <c r="D8" i="19" s="1"/>
  <c r="BT538" i="56"/>
  <c r="BS538" i="56"/>
  <c r="BR538" i="56"/>
  <c r="BQ538" i="56"/>
  <c r="BP538" i="56"/>
  <c r="BO538" i="56"/>
  <c r="BN538" i="56"/>
  <c r="BT537" i="56"/>
  <c r="BS537" i="56"/>
  <c r="BR537" i="56"/>
  <c r="BQ537" i="56"/>
  <c r="BP537" i="56"/>
  <c r="BO537" i="56"/>
  <c r="BN537" i="56"/>
  <c r="BT536" i="56"/>
  <c r="BS536" i="56"/>
  <c r="BR536" i="56"/>
  <c r="BQ536" i="56"/>
  <c r="BP536" i="56"/>
  <c r="BO536" i="56"/>
  <c r="BN536" i="56"/>
  <c r="BT535" i="56"/>
  <c r="BS535" i="56"/>
  <c r="BR535" i="56"/>
  <c r="BQ535" i="56"/>
  <c r="BP535" i="56"/>
  <c r="BO535" i="56"/>
  <c r="BN535" i="56"/>
  <c r="BT534" i="56"/>
  <c r="BS534" i="56"/>
  <c r="BR534" i="56"/>
  <c r="BQ534" i="56"/>
  <c r="BP534" i="56"/>
  <c r="BO534" i="56"/>
  <c r="BN534" i="56"/>
  <c r="BT533" i="56"/>
  <c r="BS533" i="56"/>
  <c r="BR533" i="56"/>
  <c r="BQ533" i="56"/>
  <c r="BP533" i="56"/>
  <c r="BO533" i="56"/>
  <c r="BN533" i="56"/>
  <c r="BT532" i="56"/>
  <c r="BS532" i="56"/>
  <c r="BR532" i="56"/>
  <c r="BQ532" i="56"/>
  <c r="BP532" i="56"/>
  <c r="BO532" i="56"/>
  <c r="BN532" i="56"/>
  <c r="BT531" i="56"/>
  <c r="BS531" i="56"/>
  <c r="BR531" i="56"/>
  <c r="BQ531" i="56"/>
  <c r="BP531" i="56"/>
  <c r="BO531" i="56"/>
  <c r="BN531" i="56"/>
  <c r="BT530" i="56"/>
  <c r="BS530" i="56"/>
  <c r="BR530" i="56"/>
  <c r="BQ530" i="56"/>
  <c r="BP530" i="56"/>
  <c r="BO530" i="56"/>
  <c r="BN530" i="56"/>
  <c r="BT529" i="56"/>
  <c r="BS529" i="56"/>
  <c r="BR529" i="56"/>
  <c r="BQ529" i="56"/>
  <c r="BP529" i="56"/>
  <c r="BO529" i="56"/>
  <c r="BN529" i="56"/>
  <c r="BT528" i="56"/>
  <c r="BS528" i="56"/>
  <c r="BR528" i="56"/>
  <c r="BQ528" i="56"/>
  <c r="BP528" i="56"/>
  <c r="BO528" i="56"/>
  <c r="BN528" i="56"/>
  <c r="BT527" i="56"/>
  <c r="BS527" i="56"/>
  <c r="BR527" i="56"/>
  <c r="BQ527" i="56"/>
  <c r="BP527" i="56"/>
  <c r="BO527" i="56"/>
  <c r="BN527" i="56"/>
  <c r="BT526" i="56"/>
  <c r="BS526" i="56"/>
  <c r="BR526" i="56"/>
  <c r="BQ526" i="56"/>
  <c r="BP526" i="56"/>
  <c r="BO526" i="56"/>
  <c r="BN526" i="56"/>
  <c r="BT525" i="56"/>
  <c r="BS525" i="56"/>
  <c r="BR525" i="56"/>
  <c r="BQ525" i="56"/>
  <c r="BP525" i="56"/>
  <c r="BO525" i="56"/>
  <c r="BN525" i="56"/>
  <c r="BT524" i="56"/>
  <c r="BS524" i="56"/>
  <c r="BR524" i="56"/>
  <c r="BQ524" i="56"/>
  <c r="BP524" i="56"/>
  <c r="BO524" i="56"/>
  <c r="BN524" i="56"/>
  <c r="BT523" i="56"/>
  <c r="BS523" i="56"/>
  <c r="BR523" i="56"/>
  <c r="BQ523" i="56"/>
  <c r="BP523" i="56"/>
  <c r="BO523" i="56"/>
  <c r="BN523" i="56"/>
  <c r="BT522" i="56"/>
  <c r="BS522" i="56"/>
  <c r="BR522" i="56"/>
  <c r="BQ522" i="56"/>
  <c r="BP522" i="56"/>
  <c r="BO522" i="56"/>
  <c r="BN522" i="56"/>
  <c r="BT521" i="56"/>
  <c r="BS521" i="56"/>
  <c r="BR521" i="56"/>
  <c r="BQ521" i="56"/>
  <c r="BP521" i="56"/>
  <c r="BO521" i="56"/>
  <c r="BN521" i="56"/>
  <c r="BT520" i="56"/>
  <c r="BS520" i="56"/>
  <c r="BR520" i="56"/>
  <c r="BQ520" i="56"/>
  <c r="BP520" i="56"/>
  <c r="BO520" i="56"/>
  <c r="BN520" i="56"/>
  <c r="BT519" i="56"/>
  <c r="BS519" i="56"/>
  <c r="BR519" i="56"/>
  <c r="BQ519" i="56"/>
  <c r="BP519" i="56"/>
  <c r="BO519" i="56"/>
  <c r="BN519" i="56"/>
  <c r="BT518" i="56"/>
  <c r="BS518" i="56"/>
  <c r="BR518" i="56"/>
  <c r="BQ518" i="56"/>
  <c r="BP518" i="56"/>
  <c r="BO518" i="56"/>
  <c r="BN518" i="56"/>
  <c r="BT517" i="56"/>
  <c r="BS517" i="56"/>
  <c r="BR517" i="56"/>
  <c r="BQ517" i="56"/>
  <c r="BP517" i="56"/>
  <c r="BO517" i="56"/>
  <c r="BN517" i="56"/>
  <c r="BT516" i="56"/>
  <c r="BS516" i="56"/>
  <c r="BR516" i="56"/>
  <c r="BQ516" i="56"/>
  <c r="BP516" i="56"/>
  <c r="BO516" i="56"/>
  <c r="BN516" i="56"/>
  <c r="BT515" i="56"/>
  <c r="BS515" i="56"/>
  <c r="BR515" i="56"/>
  <c r="BQ515" i="56"/>
  <c r="BP515" i="56"/>
  <c r="BO515" i="56"/>
  <c r="BN515" i="56"/>
  <c r="BT514" i="56"/>
  <c r="BS514" i="56"/>
  <c r="BR514" i="56"/>
  <c r="BQ514" i="56"/>
  <c r="BP514" i="56"/>
  <c r="BO514" i="56"/>
  <c r="BN514" i="56"/>
  <c r="BT513" i="56"/>
  <c r="BS513" i="56"/>
  <c r="BR513" i="56"/>
  <c r="BQ513" i="56"/>
  <c r="BP513" i="56"/>
  <c r="BO513" i="56"/>
  <c r="BN513" i="56"/>
  <c r="BT512" i="56"/>
  <c r="BS512" i="56"/>
  <c r="BR512" i="56"/>
  <c r="BQ512" i="56"/>
  <c r="BP512" i="56"/>
  <c r="BO512" i="56"/>
  <c r="BN512" i="56"/>
  <c r="BT511" i="56"/>
  <c r="BS511" i="56"/>
  <c r="BR511" i="56"/>
  <c r="BQ511" i="56"/>
  <c r="BP511" i="56"/>
  <c r="BO511" i="56"/>
  <c r="BN511" i="56"/>
  <c r="BT510" i="56"/>
  <c r="BS510" i="56"/>
  <c r="BR510" i="56"/>
  <c r="BQ510" i="56"/>
  <c r="BP510" i="56"/>
  <c r="BO510" i="56"/>
  <c r="BN510" i="56"/>
  <c r="BT509" i="56"/>
  <c r="BS509" i="56"/>
  <c r="BR509" i="56"/>
  <c r="BQ509" i="56"/>
  <c r="BP509" i="56"/>
  <c r="BO509" i="56"/>
  <c r="BN509" i="56"/>
  <c r="BT508" i="56"/>
  <c r="BS508" i="56"/>
  <c r="BR508" i="56"/>
  <c r="BQ508" i="56"/>
  <c r="BP508" i="56"/>
  <c r="BO508" i="56"/>
  <c r="BN508" i="56"/>
  <c r="BT507" i="56"/>
  <c r="BS507" i="56"/>
  <c r="BR507" i="56"/>
  <c r="BQ507" i="56"/>
  <c r="BP507" i="56"/>
  <c r="BO507" i="56"/>
  <c r="BN507" i="56"/>
  <c r="BT506" i="56"/>
  <c r="BS506" i="56"/>
  <c r="BR506" i="56"/>
  <c r="BQ506" i="56"/>
  <c r="BP506" i="56"/>
  <c r="BO506" i="56"/>
  <c r="BN506" i="56"/>
  <c r="BT505" i="56"/>
  <c r="BS505" i="56"/>
  <c r="BR505" i="56"/>
  <c r="BQ505" i="56"/>
  <c r="BP505" i="56"/>
  <c r="BO505" i="56"/>
  <c r="BN505" i="56"/>
  <c r="BT504" i="56"/>
  <c r="BS504" i="56"/>
  <c r="BR504" i="56"/>
  <c r="BQ504" i="56"/>
  <c r="BP504" i="56"/>
  <c r="BO504" i="56"/>
  <c r="BN504" i="56"/>
  <c r="BT503" i="56"/>
  <c r="BS503" i="56"/>
  <c r="BR503" i="56"/>
  <c r="BQ503" i="56"/>
  <c r="BP503" i="56"/>
  <c r="BO503" i="56"/>
  <c r="BN503" i="56"/>
  <c r="BT502" i="56"/>
  <c r="BS502" i="56"/>
  <c r="BR502" i="56"/>
  <c r="BQ502" i="56"/>
  <c r="BP502" i="56"/>
  <c r="BO502" i="56"/>
  <c r="BN502" i="56"/>
  <c r="BT501" i="56"/>
  <c r="BS501" i="56"/>
  <c r="BR501" i="56"/>
  <c r="BQ501" i="56"/>
  <c r="BP501" i="56"/>
  <c r="BO501" i="56"/>
  <c r="BN501" i="56"/>
  <c r="BT500" i="56"/>
  <c r="BS500" i="56"/>
  <c r="BR500" i="56"/>
  <c r="BQ500" i="56"/>
  <c r="BP500" i="56"/>
  <c r="BO500" i="56"/>
  <c r="BN500" i="56"/>
  <c r="BT499" i="56"/>
  <c r="BS499" i="56"/>
  <c r="BR499" i="56"/>
  <c r="BQ499" i="56"/>
  <c r="BP499" i="56"/>
  <c r="BO499" i="56"/>
  <c r="BN499" i="56"/>
  <c r="BT498" i="56"/>
  <c r="BS498" i="56"/>
  <c r="BR498" i="56"/>
  <c r="BQ498" i="56"/>
  <c r="BP498" i="56"/>
  <c r="BO498" i="56"/>
  <c r="BN498" i="56"/>
  <c r="BT497" i="56"/>
  <c r="BS497" i="56"/>
  <c r="BR497" i="56"/>
  <c r="BQ497" i="56"/>
  <c r="BP497" i="56"/>
  <c r="BO497" i="56"/>
  <c r="BN497" i="56"/>
  <c r="BT496" i="56"/>
  <c r="BS496" i="56"/>
  <c r="BR496" i="56"/>
  <c r="BQ496" i="56"/>
  <c r="BP496" i="56"/>
  <c r="BO496" i="56"/>
  <c r="BN496" i="56"/>
  <c r="BT495" i="56"/>
  <c r="BS495" i="56"/>
  <c r="BR495" i="56"/>
  <c r="BQ495" i="56"/>
  <c r="BP495" i="56"/>
  <c r="BO495" i="56"/>
  <c r="BN495" i="56"/>
  <c r="BT494" i="56"/>
  <c r="BS494" i="56"/>
  <c r="BR494" i="56"/>
  <c r="BQ494" i="56"/>
  <c r="BP494" i="56"/>
  <c r="BO494" i="56"/>
  <c r="BN494" i="56"/>
  <c r="BT493" i="56"/>
  <c r="BS493" i="56"/>
  <c r="BR493" i="56"/>
  <c r="BQ493" i="56"/>
  <c r="BP493" i="56"/>
  <c r="BO493" i="56"/>
  <c r="BN493" i="56"/>
  <c r="BT492" i="56"/>
  <c r="BS492" i="56"/>
  <c r="BR492" i="56"/>
  <c r="BQ492" i="56"/>
  <c r="BP492" i="56"/>
  <c r="BO492" i="56"/>
  <c r="BN492" i="56"/>
  <c r="BT491" i="56"/>
  <c r="BS491" i="56"/>
  <c r="BR491" i="56"/>
  <c r="BQ491" i="56"/>
  <c r="BP491" i="56"/>
  <c r="BO491" i="56"/>
  <c r="BN491" i="56"/>
  <c r="BT490" i="56"/>
  <c r="BS490" i="56"/>
  <c r="BR490" i="56"/>
  <c r="BQ490" i="56"/>
  <c r="BP490" i="56"/>
  <c r="BO490" i="56"/>
  <c r="BN490" i="56"/>
  <c r="BT489" i="56"/>
  <c r="BS489" i="56"/>
  <c r="BR489" i="56"/>
  <c r="BQ489" i="56"/>
  <c r="BP489" i="56"/>
  <c r="BO489" i="56"/>
  <c r="BN489" i="56"/>
  <c r="BT488" i="56"/>
  <c r="BS488" i="56"/>
  <c r="BR488" i="56"/>
  <c r="BQ488" i="56"/>
  <c r="BP488" i="56"/>
  <c r="BO488" i="56"/>
  <c r="BN488" i="56"/>
  <c r="BT487" i="56"/>
  <c r="BS487" i="56"/>
  <c r="BR487" i="56"/>
  <c r="BQ487" i="56"/>
  <c r="BP487" i="56"/>
  <c r="BO487" i="56"/>
  <c r="BN487" i="56"/>
  <c r="BT486" i="56"/>
  <c r="BS486" i="56"/>
  <c r="BR486" i="56"/>
  <c r="BQ486" i="56"/>
  <c r="BP486" i="56"/>
  <c r="BO486" i="56"/>
  <c r="BN486" i="56"/>
  <c r="BT485" i="56"/>
  <c r="BS485" i="56"/>
  <c r="BR485" i="56"/>
  <c r="BQ485" i="56"/>
  <c r="BP485" i="56"/>
  <c r="BO485" i="56"/>
  <c r="BN485" i="56"/>
  <c r="BT484" i="56"/>
  <c r="BS484" i="56"/>
  <c r="BR484" i="56"/>
  <c r="BQ484" i="56"/>
  <c r="BP484" i="56"/>
  <c r="BO484" i="56"/>
  <c r="BN484" i="56"/>
  <c r="BT483" i="56"/>
  <c r="BS483" i="56"/>
  <c r="BR483" i="56"/>
  <c r="BQ483" i="56"/>
  <c r="BP483" i="56"/>
  <c r="BO483" i="56"/>
  <c r="BN483" i="56"/>
  <c r="BT482" i="56"/>
  <c r="BS482" i="56"/>
  <c r="BR482" i="56"/>
  <c r="BQ482" i="56"/>
  <c r="BP482" i="56"/>
  <c r="BO482" i="56"/>
  <c r="BN482" i="56"/>
  <c r="BT481" i="56"/>
  <c r="BS481" i="56"/>
  <c r="BR481" i="56"/>
  <c r="BQ481" i="56"/>
  <c r="BP481" i="56"/>
  <c r="BO481" i="56"/>
  <c r="BN481" i="56"/>
  <c r="BT480" i="56"/>
  <c r="BS480" i="56"/>
  <c r="BR480" i="56"/>
  <c r="BQ480" i="56"/>
  <c r="BP480" i="56"/>
  <c r="BO480" i="56"/>
  <c r="BN480" i="56"/>
  <c r="BT479" i="56"/>
  <c r="BS479" i="56"/>
  <c r="BR479" i="56"/>
  <c r="BQ479" i="56"/>
  <c r="BP479" i="56"/>
  <c r="BO479" i="56"/>
  <c r="BN479" i="56"/>
  <c r="BT478" i="56"/>
  <c r="BS478" i="56"/>
  <c r="BR478" i="56"/>
  <c r="BQ478" i="56"/>
  <c r="BP478" i="56"/>
  <c r="BO478" i="56"/>
  <c r="BN478" i="56"/>
  <c r="BT477" i="56"/>
  <c r="BS477" i="56"/>
  <c r="BR477" i="56"/>
  <c r="BQ477" i="56"/>
  <c r="BP477" i="56"/>
  <c r="BO477" i="56"/>
  <c r="BN477" i="56"/>
  <c r="BT476" i="56"/>
  <c r="BS476" i="56"/>
  <c r="BR476" i="56"/>
  <c r="BQ476" i="56"/>
  <c r="BP476" i="56"/>
  <c r="BO476" i="56"/>
  <c r="BN476" i="56"/>
  <c r="BT475" i="56"/>
  <c r="BS475" i="56"/>
  <c r="BR475" i="56"/>
  <c r="BQ475" i="56"/>
  <c r="BP475" i="56"/>
  <c r="BO475" i="56"/>
  <c r="BN475" i="56"/>
  <c r="BT474" i="56"/>
  <c r="BS474" i="56"/>
  <c r="BR474" i="56"/>
  <c r="BQ474" i="56"/>
  <c r="BP474" i="56"/>
  <c r="BO474" i="56"/>
  <c r="BN474" i="56"/>
  <c r="BT473" i="56"/>
  <c r="BS473" i="56"/>
  <c r="BR473" i="56"/>
  <c r="BQ473" i="56"/>
  <c r="BP473" i="56"/>
  <c r="BO473" i="56"/>
  <c r="BN473" i="56"/>
  <c r="BT472" i="56"/>
  <c r="BS472" i="56"/>
  <c r="BR472" i="56"/>
  <c r="BQ472" i="56"/>
  <c r="BP472" i="56"/>
  <c r="BO472" i="56"/>
  <c r="BN472" i="56"/>
  <c r="BT471" i="56"/>
  <c r="BS471" i="56"/>
  <c r="BR471" i="56"/>
  <c r="BQ471" i="56"/>
  <c r="BP471" i="56"/>
  <c r="BO471" i="56"/>
  <c r="BN471" i="56"/>
  <c r="BT470" i="56"/>
  <c r="BS470" i="56"/>
  <c r="BR470" i="56"/>
  <c r="BQ470" i="56"/>
  <c r="BP470" i="56"/>
  <c r="BO470" i="56"/>
  <c r="BN470" i="56"/>
  <c r="BT469" i="56"/>
  <c r="BS469" i="56"/>
  <c r="BR469" i="56"/>
  <c r="BQ469" i="56"/>
  <c r="BP469" i="56"/>
  <c r="BO469" i="56"/>
  <c r="BN469" i="56"/>
  <c r="BT468" i="56"/>
  <c r="BS468" i="56"/>
  <c r="BR468" i="56"/>
  <c r="BQ468" i="56"/>
  <c r="BP468" i="56"/>
  <c r="BO468" i="56"/>
  <c r="BN468" i="56"/>
  <c r="BT467" i="56"/>
  <c r="BS467" i="56"/>
  <c r="BR467" i="56"/>
  <c r="BQ467" i="56"/>
  <c r="BP467" i="56"/>
  <c r="BO467" i="56"/>
  <c r="BN467" i="56"/>
  <c r="BT466" i="56"/>
  <c r="BS466" i="56"/>
  <c r="BR466" i="56"/>
  <c r="BQ466" i="56"/>
  <c r="BP466" i="56"/>
  <c r="BO466" i="56"/>
  <c r="BN466" i="56"/>
  <c r="BT465" i="56"/>
  <c r="BS465" i="56"/>
  <c r="BR465" i="56"/>
  <c r="BQ465" i="56"/>
  <c r="BP465" i="56"/>
  <c r="BO465" i="56"/>
  <c r="BN465" i="56"/>
  <c r="BT464" i="56"/>
  <c r="BS464" i="56"/>
  <c r="BR464" i="56"/>
  <c r="BQ464" i="56"/>
  <c r="BP464" i="56"/>
  <c r="BO464" i="56"/>
  <c r="BN464" i="56"/>
  <c r="BT463" i="56"/>
  <c r="BS463" i="56"/>
  <c r="BR463" i="56"/>
  <c r="BQ463" i="56"/>
  <c r="BP463" i="56"/>
  <c r="BO463" i="56"/>
  <c r="BN463" i="56"/>
  <c r="BT462" i="56"/>
  <c r="BS462" i="56"/>
  <c r="BR462" i="56"/>
  <c r="BQ462" i="56"/>
  <c r="BP462" i="56"/>
  <c r="BO462" i="56"/>
  <c r="BN462" i="56"/>
  <c r="BT461" i="56"/>
  <c r="BS461" i="56"/>
  <c r="BR461" i="56"/>
  <c r="BQ461" i="56"/>
  <c r="BP461" i="56"/>
  <c r="BO461" i="56"/>
  <c r="BN461" i="56"/>
  <c r="BT460" i="56"/>
  <c r="BS460" i="56"/>
  <c r="BR460" i="56"/>
  <c r="BQ460" i="56"/>
  <c r="BP460" i="56"/>
  <c r="BO460" i="56"/>
  <c r="BN460" i="56"/>
  <c r="BT459" i="56"/>
  <c r="BS459" i="56"/>
  <c r="BR459" i="56"/>
  <c r="BQ459" i="56"/>
  <c r="BP459" i="56"/>
  <c r="BO459" i="56"/>
  <c r="BN459" i="56"/>
  <c r="BT458" i="56"/>
  <c r="BS458" i="56"/>
  <c r="BR458" i="56"/>
  <c r="BQ458" i="56"/>
  <c r="BP458" i="56"/>
  <c r="BO458" i="56"/>
  <c r="BN458" i="56"/>
  <c r="BT457" i="56"/>
  <c r="BS457" i="56"/>
  <c r="BR457" i="56"/>
  <c r="BQ457" i="56"/>
  <c r="BP457" i="56"/>
  <c r="BO457" i="56"/>
  <c r="BN457" i="56"/>
  <c r="BT456" i="56"/>
  <c r="BS456" i="56"/>
  <c r="BR456" i="56"/>
  <c r="BQ456" i="56"/>
  <c r="BP456" i="56"/>
  <c r="BO456" i="56"/>
  <c r="BN456" i="56"/>
  <c r="BT455" i="56"/>
  <c r="BS455" i="56"/>
  <c r="BR455" i="56"/>
  <c r="BQ455" i="56"/>
  <c r="BP455" i="56"/>
  <c r="BO455" i="56"/>
  <c r="BN455" i="56"/>
  <c r="BT454" i="56"/>
  <c r="BS454" i="56"/>
  <c r="BR454" i="56"/>
  <c r="BQ454" i="56"/>
  <c r="BP454" i="56"/>
  <c r="BO454" i="56"/>
  <c r="BN454" i="56"/>
  <c r="BT453" i="56"/>
  <c r="BS453" i="56"/>
  <c r="BR453" i="56"/>
  <c r="BQ453" i="56"/>
  <c r="BP453" i="56"/>
  <c r="BO453" i="56"/>
  <c r="BN453" i="56"/>
  <c r="BT452" i="56"/>
  <c r="BS452" i="56"/>
  <c r="BR452" i="56"/>
  <c r="BQ452" i="56"/>
  <c r="BP452" i="56"/>
  <c r="BO452" i="56"/>
  <c r="BN452" i="56"/>
  <c r="BT451" i="56"/>
  <c r="BS451" i="56"/>
  <c r="BR451" i="56"/>
  <c r="BQ451" i="56"/>
  <c r="BP451" i="56"/>
  <c r="BO451" i="56"/>
  <c r="BN451" i="56"/>
  <c r="BT450" i="56"/>
  <c r="BS450" i="56"/>
  <c r="BR450" i="56"/>
  <c r="BQ450" i="56"/>
  <c r="BP450" i="56"/>
  <c r="BO450" i="56"/>
  <c r="BN450" i="56"/>
  <c r="BT449" i="56"/>
  <c r="BS449" i="56"/>
  <c r="BR449" i="56"/>
  <c r="BQ449" i="56"/>
  <c r="BP449" i="56"/>
  <c r="BO449" i="56"/>
  <c r="BN449" i="56"/>
  <c r="BT448" i="56"/>
  <c r="BS448" i="56"/>
  <c r="BR448" i="56"/>
  <c r="BQ448" i="56"/>
  <c r="BP448" i="56"/>
  <c r="BO448" i="56"/>
  <c r="BN448" i="56"/>
  <c r="BT447" i="56"/>
  <c r="BS447" i="56"/>
  <c r="BR447" i="56"/>
  <c r="BQ447" i="56"/>
  <c r="BP447" i="56"/>
  <c r="BO447" i="56"/>
  <c r="BN447" i="56"/>
  <c r="BT446" i="56"/>
  <c r="BS446" i="56"/>
  <c r="BR446" i="56"/>
  <c r="BQ446" i="56"/>
  <c r="BP446" i="56"/>
  <c r="BO446" i="56"/>
  <c r="BN446" i="56"/>
  <c r="BT445" i="56"/>
  <c r="BS445" i="56"/>
  <c r="BR445" i="56"/>
  <c r="BQ445" i="56"/>
  <c r="BP445" i="56"/>
  <c r="BO445" i="56"/>
  <c r="BN445" i="56"/>
  <c r="BT444" i="56"/>
  <c r="BS444" i="56"/>
  <c r="BR444" i="56"/>
  <c r="BQ444" i="56"/>
  <c r="BP444" i="56"/>
  <c r="BO444" i="56"/>
  <c r="BN444" i="56"/>
  <c r="BT443" i="56"/>
  <c r="BS443" i="56"/>
  <c r="BR443" i="56"/>
  <c r="BQ443" i="56"/>
  <c r="BP443" i="56"/>
  <c r="BO443" i="56"/>
  <c r="BN443" i="56"/>
  <c r="BT442" i="56"/>
  <c r="BS442" i="56"/>
  <c r="BR442" i="56"/>
  <c r="BQ442" i="56"/>
  <c r="BP442" i="56"/>
  <c r="BO442" i="56"/>
  <c r="BN442" i="56"/>
  <c r="BT441" i="56"/>
  <c r="BS441" i="56"/>
  <c r="BR441" i="56"/>
  <c r="BQ441" i="56"/>
  <c r="BP441" i="56"/>
  <c r="BO441" i="56"/>
  <c r="BN441" i="56"/>
  <c r="BT440" i="56"/>
  <c r="BS440" i="56"/>
  <c r="BR440" i="56"/>
  <c r="BQ440" i="56"/>
  <c r="BP440" i="56"/>
  <c r="BO440" i="56"/>
  <c r="BN440" i="56"/>
  <c r="BT439" i="56"/>
  <c r="BS439" i="56"/>
  <c r="BR439" i="56"/>
  <c r="BQ439" i="56"/>
  <c r="BP439" i="56"/>
  <c r="BO439" i="56"/>
  <c r="BN439" i="56"/>
  <c r="BT438" i="56"/>
  <c r="BS438" i="56"/>
  <c r="BR438" i="56"/>
  <c r="BQ438" i="56"/>
  <c r="BP438" i="56"/>
  <c r="BO438" i="56"/>
  <c r="BN438" i="56"/>
  <c r="BT437" i="56"/>
  <c r="BS437" i="56"/>
  <c r="BR437" i="56"/>
  <c r="BQ437" i="56"/>
  <c r="BP437" i="56"/>
  <c r="BO437" i="56"/>
  <c r="BN437" i="56"/>
  <c r="BT436" i="56"/>
  <c r="BS436" i="56"/>
  <c r="BR436" i="56"/>
  <c r="BQ436" i="56"/>
  <c r="BP436" i="56"/>
  <c r="BO436" i="56"/>
  <c r="BN436" i="56"/>
  <c r="BT435" i="56"/>
  <c r="BS435" i="56"/>
  <c r="BR435" i="56"/>
  <c r="BQ435" i="56"/>
  <c r="BP435" i="56"/>
  <c r="BO435" i="56"/>
  <c r="BN435" i="56"/>
  <c r="BT434" i="56"/>
  <c r="BS434" i="56"/>
  <c r="BR434" i="56"/>
  <c r="BQ434" i="56"/>
  <c r="BP434" i="56"/>
  <c r="BO434" i="56"/>
  <c r="BN434" i="56"/>
  <c r="BT433" i="56"/>
  <c r="BS433" i="56"/>
  <c r="BR433" i="56"/>
  <c r="BQ433" i="56"/>
  <c r="BP433" i="56"/>
  <c r="BO433" i="56"/>
  <c r="BN433" i="56"/>
  <c r="BT432" i="56"/>
  <c r="BS432" i="56"/>
  <c r="BR432" i="56"/>
  <c r="BQ432" i="56"/>
  <c r="BP432" i="56"/>
  <c r="BO432" i="56"/>
  <c r="BN432" i="56"/>
  <c r="BT431" i="56"/>
  <c r="BS431" i="56"/>
  <c r="BR431" i="56"/>
  <c r="BQ431" i="56"/>
  <c r="BP431" i="56"/>
  <c r="BO431" i="56"/>
  <c r="BN431" i="56"/>
  <c r="BT430" i="56"/>
  <c r="BS430" i="56"/>
  <c r="BR430" i="56"/>
  <c r="BQ430" i="56"/>
  <c r="BP430" i="56"/>
  <c r="BO430" i="56"/>
  <c r="BN430" i="56"/>
  <c r="BT429" i="56"/>
  <c r="BS429" i="56"/>
  <c r="BR429" i="56"/>
  <c r="BQ429" i="56"/>
  <c r="BP429" i="56"/>
  <c r="BO429" i="56"/>
  <c r="BN429" i="56"/>
  <c r="BT428" i="56"/>
  <c r="BS428" i="56"/>
  <c r="BR428" i="56"/>
  <c r="BQ428" i="56"/>
  <c r="BP428" i="56"/>
  <c r="BO428" i="56"/>
  <c r="BN428" i="56"/>
  <c r="BT427" i="56"/>
  <c r="BS427" i="56"/>
  <c r="BR427" i="56"/>
  <c r="BQ427" i="56"/>
  <c r="BP427" i="56"/>
  <c r="BO427" i="56"/>
  <c r="BN427" i="56"/>
  <c r="BT426" i="56"/>
  <c r="BS426" i="56"/>
  <c r="BR426" i="56"/>
  <c r="BQ426" i="56"/>
  <c r="BP426" i="56"/>
  <c r="BO426" i="56"/>
  <c r="BN426" i="56"/>
  <c r="BT425" i="56"/>
  <c r="BS425" i="56"/>
  <c r="BR425" i="56"/>
  <c r="BQ425" i="56"/>
  <c r="BP425" i="56"/>
  <c r="BO425" i="56"/>
  <c r="BN425" i="56"/>
  <c r="BT424" i="56"/>
  <c r="BS424" i="56"/>
  <c r="BR424" i="56"/>
  <c r="BQ424" i="56"/>
  <c r="BP424" i="56"/>
  <c r="BO424" i="56"/>
  <c r="BN424" i="56"/>
  <c r="BT423" i="56"/>
  <c r="BS423" i="56"/>
  <c r="BR423" i="56"/>
  <c r="BQ423" i="56"/>
  <c r="BP423" i="56"/>
  <c r="BO423" i="56"/>
  <c r="BN423" i="56"/>
  <c r="BT422" i="56"/>
  <c r="BS422" i="56"/>
  <c r="BR422" i="56"/>
  <c r="BQ422" i="56"/>
  <c r="BP422" i="56"/>
  <c r="BO422" i="56"/>
  <c r="BN422" i="56"/>
  <c r="BT421" i="56"/>
  <c r="BS421" i="56"/>
  <c r="BR421" i="56"/>
  <c r="BQ421" i="56"/>
  <c r="BP421" i="56"/>
  <c r="BO421" i="56"/>
  <c r="BN421" i="56"/>
  <c r="BT420" i="56"/>
  <c r="BS420" i="56"/>
  <c r="BR420" i="56"/>
  <c r="BQ420" i="56"/>
  <c r="BP420" i="56"/>
  <c r="BO420" i="56"/>
  <c r="BN420" i="56"/>
  <c r="BT419" i="56"/>
  <c r="BS419" i="56"/>
  <c r="BR419" i="56"/>
  <c r="BQ419" i="56"/>
  <c r="BP419" i="56"/>
  <c r="BO419" i="56"/>
  <c r="BN419" i="56"/>
  <c r="BT418" i="56"/>
  <c r="BS418" i="56"/>
  <c r="BR418" i="56"/>
  <c r="BQ418" i="56"/>
  <c r="BP418" i="56"/>
  <c r="BO418" i="56"/>
  <c r="BN418" i="56"/>
  <c r="BT417" i="56"/>
  <c r="BS417" i="56"/>
  <c r="BR417" i="56"/>
  <c r="BQ417" i="56"/>
  <c r="BP417" i="56"/>
  <c r="BO417" i="56"/>
  <c r="BN417" i="56"/>
  <c r="BT416" i="56"/>
  <c r="BS416" i="56"/>
  <c r="BR416" i="56"/>
  <c r="BQ416" i="56"/>
  <c r="BP416" i="56"/>
  <c r="BO416" i="56"/>
  <c r="BN416" i="56"/>
  <c r="BT415" i="56"/>
  <c r="BS415" i="56"/>
  <c r="BR415" i="56"/>
  <c r="BQ415" i="56"/>
  <c r="BP415" i="56"/>
  <c r="BO415" i="56"/>
  <c r="BN415" i="56"/>
  <c r="BT414" i="56"/>
  <c r="BS414" i="56"/>
  <c r="BR414" i="56"/>
  <c r="BQ414" i="56"/>
  <c r="BP414" i="56"/>
  <c r="BO414" i="56"/>
  <c r="BN414" i="56"/>
  <c r="BT413" i="56"/>
  <c r="BS413" i="56"/>
  <c r="BR413" i="56"/>
  <c r="BQ413" i="56"/>
  <c r="BP413" i="56"/>
  <c r="BO413" i="56"/>
  <c r="BN413" i="56"/>
  <c r="BT412" i="56"/>
  <c r="BS412" i="56"/>
  <c r="BR412" i="56"/>
  <c r="BQ412" i="56"/>
  <c r="BP412" i="56"/>
  <c r="BO412" i="56"/>
  <c r="BN412" i="56"/>
  <c r="BT411" i="56"/>
  <c r="BS411" i="56"/>
  <c r="BR411" i="56"/>
  <c r="BQ411" i="56"/>
  <c r="BP411" i="56"/>
  <c r="BO411" i="56"/>
  <c r="BN411" i="56"/>
  <c r="BT410" i="56"/>
  <c r="BS410" i="56"/>
  <c r="BR410" i="56"/>
  <c r="BQ410" i="56"/>
  <c r="BP410" i="56"/>
  <c r="BO410" i="56"/>
  <c r="BN410" i="56"/>
  <c r="BT409" i="56"/>
  <c r="BS409" i="56"/>
  <c r="BR409" i="56"/>
  <c r="BQ409" i="56"/>
  <c r="BP409" i="56"/>
  <c r="BO409" i="56"/>
  <c r="BN409" i="56"/>
  <c r="BT408" i="56"/>
  <c r="BS408" i="56"/>
  <c r="BR408" i="56"/>
  <c r="BQ408" i="56"/>
  <c r="BP408" i="56"/>
  <c r="BO408" i="56"/>
  <c r="BN408" i="56"/>
  <c r="BT407" i="56"/>
  <c r="BS407" i="56"/>
  <c r="BR407" i="56"/>
  <c r="BQ407" i="56"/>
  <c r="BP407" i="56"/>
  <c r="BO407" i="56"/>
  <c r="BN407" i="56"/>
  <c r="BT406" i="56"/>
  <c r="BS406" i="56"/>
  <c r="BR406" i="56"/>
  <c r="BQ406" i="56"/>
  <c r="BP406" i="56"/>
  <c r="BO406" i="56"/>
  <c r="BN406" i="56"/>
  <c r="BT405" i="56"/>
  <c r="BS405" i="56"/>
  <c r="BR405" i="56"/>
  <c r="BQ405" i="56"/>
  <c r="BP405" i="56"/>
  <c r="BO405" i="56"/>
  <c r="BN405" i="56"/>
  <c r="BT404" i="56"/>
  <c r="BS404" i="56"/>
  <c r="BR404" i="56"/>
  <c r="BQ404" i="56"/>
  <c r="BP404" i="56"/>
  <c r="BO404" i="56"/>
  <c r="BN404" i="56"/>
  <c r="BT403" i="56"/>
  <c r="BS403" i="56"/>
  <c r="BR403" i="56"/>
  <c r="BQ403" i="56"/>
  <c r="BP403" i="56"/>
  <c r="BO403" i="56"/>
  <c r="BN403" i="56"/>
  <c r="BT402" i="56"/>
  <c r="BS402" i="56"/>
  <c r="BR402" i="56"/>
  <c r="BQ402" i="56"/>
  <c r="BP402" i="56"/>
  <c r="BO402" i="56"/>
  <c r="BN402" i="56"/>
  <c r="BT401" i="56"/>
  <c r="BS401" i="56"/>
  <c r="BR401" i="56"/>
  <c r="BQ401" i="56"/>
  <c r="BP401" i="56"/>
  <c r="BO401" i="56"/>
  <c r="BN401" i="56"/>
  <c r="BT400" i="56"/>
  <c r="BS400" i="56"/>
  <c r="BR400" i="56"/>
  <c r="BQ400" i="56"/>
  <c r="BP400" i="56"/>
  <c r="BO400" i="56"/>
  <c r="BN400" i="56"/>
  <c r="BT399" i="56"/>
  <c r="BS399" i="56"/>
  <c r="BR399" i="56"/>
  <c r="BQ399" i="56"/>
  <c r="BP399" i="56"/>
  <c r="BO399" i="56"/>
  <c r="BN399" i="56"/>
  <c r="BT398" i="56"/>
  <c r="BS398" i="56"/>
  <c r="BR398" i="56"/>
  <c r="BQ398" i="56"/>
  <c r="BP398" i="56"/>
  <c r="BO398" i="56"/>
  <c r="BN398" i="56"/>
  <c r="BT397" i="56"/>
  <c r="BS397" i="56"/>
  <c r="BR397" i="56"/>
  <c r="BQ397" i="56"/>
  <c r="BP397" i="56"/>
  <c r="BO397" i="56"/>
  <c r="BN397" i="56"/>
  <c r="BT396" i="56"/>
  <c r="BS396" i="56"/>
  <c r="BR396" i="56"/>
  <c r="BQ396" i="56"/>
  <c r="BP396" i="56"/>
  <c r="BO396" i="56"/>
  <c r="BN396" i="56"/>
  <c r="BT395" i="56"/>
  <c r="BS395" i="56"/>
  <c r="BR395" i="56"/>
  <c r="BQ395" i="56"/>
  <c r="BP395" i="56"/>
  <c r="BO395" i="56"/>
  <c r="BN395" i="56"/>
  <c r="BT394" i="56"/>
  <c r="BS394" i="56"/>
  <c r="BR394" i="56"/>
  <c r="BQ394" i="56"/>
  <c r="BP394" i="56"/>
  <c r="BO394" i="56"/>
  <c r="BN394" i="56"/>
  <c r="BT393" i="56"/>
  <c r="BS393" i="56"/>
  <c r="BR393" i="56"/>
  <c r="BQ393" i="56"/>
  <c r="BP393" i="56"/>
  <c r="BO393" i="56"/>
  <c r="BN393" i="56"/>
  <c r="BT392" i="56"/>
  <c r="BS392" i="56"/>
  <c r="BR392" i="56"/>
  <c r="BQ392" i="56"/>
  <c r="BP392" i="56"/>
  <c r="BO392" i="56"/>
  <c r="BN392" i="56"/>
  <c r="BT391" i="56"/>
  <c r="BS391" i="56"/>
  <c r="BR391" i="56"/>
  <c r="BQ391" i="56"/>
  <c r="BP391" i="56"/>
  <c r="BO391" i="56"/>
  <c r="BN391" i="56"/>
  <c r="BT390" i="56"/>
  <c r="BS390" i="56"/>
  <c r="BR390" i="56"/>
  <c r="BQ390" i="56"/>
  <c r="BP390" i="56"/>
  <c r="BO390" i="56"/>
  <c r="BN390" i="56"/>
  <c r="BT389" i="56"/>
  <c r="BS389" i="56"/>
  <c r="BR389" i="56"/>
  <c r="BQ389" i="56"/>
  <c r="BP389" i="56"/>
  <c r="BO389" i="56"/>
  <c r="BN389" i="56"/>
  <c r="BT388" i="56"/>
  <c r="BS388" i="56"/>
  <c r="BR388" i="56"/>
  <c r="BQ388" i="56"/>
  <c r="BP388" i="56"/>
  <c r="BO388" i="56"/>
  <c r="BN388" i="56"/>
  <c r="BT387" i="56"/>
  <c r="BS387" i="56"/>
  <c r="BR387" i="56"/>
  <c r="BQ387" i="56"/>
  <c r="BP387" i="56"/>
  <c r="BO387" i="56"/>
  <c r="BN387" i="56"/>
  <c r="BT386" i="56"/>
  <c r="BS386" i="56"/>
  <c r="BR386" i="56"/>
  <c r="BQ386" i="56"/>
  <c r="BP386" i="56"/>
  <c r="BO386" i="56"/>
  <c r="BN386" i="56"/>
  <c r="BT385" i="56"/>
  <c r="BS385" i="56"/>
  <c r="BR385" i="56"/>
  <c r="BQ385" i="56"/>
  <c r="BP385" i="56"/>
  <c r="BO385" i="56"/>
  <c r="BN385" i="56"/>
  <c r="BT384" i="56"/>
  <c r="BS384" i="56"/>
  <c r="BR384" i="56"/>
  <c r="BQ384" i="56"/>
  <c r="BP384" i="56"/>
  <c r="BO384" i="56"/>
  <c r="BN384" i="56"/>
  <c r="BT383" i="56"/>
  <c r="BS383" i="56"/>
  <c r="BR383" i="56"/>
  <c r="BQ383" i="56"/>
  <c r="BP383" i="56"/>
  <c r="BO383" i="56"/>
  <c r="BN383" i="56"/>
  <c r="BT382" i="56"/>
  <c r="BS382" i="56"/>
  <c r="BR382" i="56"/>
  <c r="BQ382" i="56"/>
  <c r="BP382" i="56"/>
  <c r="BO382" i="56"/>
  <c r="BN382" i="56"/>
  <c r="BT381" i="56"/>
  <c r="BS381" i="56"/>
  <c r="BR381" i="56"/>
  <c r="BQ381" i="56"/>
  <c r="BP381" i="56"/>
  <c r="BO381" i="56"/>
  <c r="BN381" i="56"/>
  <c r="BT380" i="56"/>
  <c r="BS380" i="56"/>
  <c r="BR380" i="56"/>
  <c r="BQ380" i="56"/>
  <c r="BP380" i="56"/>
  <c r="BO380" i="56"/>
  <c r="BN380" i="56"/>
  <c r="BT379" i="56"/>
  <c r="BS379" i="56"/>
  <c r="BR379" i="56"/>
  <c r="BQ379" i="56"/>
  <c r="BP379" i="56"/>
  <c r="BO379" i="56"/>
  <c r="BN379" i="56"/>
  <c r="BT378" i="56"/>
  <c r="BS378" i="56"/>
  <c r="BR378" i="56"/>
  <c r="BQ378" i="56"/>
  <c r="BP378" i="56"/>
  <c r="BO378" i="56"/>
  <c r="BN378" i="56"/>
  <c r="BT377" i="56"/>
  <c r="BS377" i="56"/>
  <c r="BR377" i="56"/>
  <c r="BQ377" i="56"/>
  <c r="BP377" i="56"/>
  <c r="BO377" i="56"/>
  <c r="BN377" i="56"/>
  <c r="BT376" i="56"/>
  <c r="BS376" i="56"/>
  <c r="BR376" i="56"/>
  <c r="BQ376" i="56"/>
  <c r="BP376" i="56"/>
  <c r="BO376" i="56"/>
  <c r="BN376" i="56"/>
  <c r="BT375" i="56"/>
  <c r="BS375" i="56"/>
  <c r="BR375" i="56"/>
  <c r="BQ375" i="56"/>
  <c r="BP375" i="56"/>
  <c r="BO375" i="56"/>
  <c r="BN375" i="56"/>
  <c r="BT374" i="56"/>
  <c r="BS374" i="56"/>
  <c r="BR374" i="56"/>
  <c r="BQ374" i="56"/>
  <c r="BP374" i="56"/>
  <c r="BO374" i="56"/>
  <c r="BN374" i="56"/>
  <c r="BT373" i="56"/>
  <c r="BS373" i="56"/>
  <c r="BR373" i="56"/>
  <c r="BQ373" i="56"/>
  <c r="BP373" i="56"/>
  <c r="BO373" i="56"/>
  <c r="BN373" i="56"/>
  <c r="BT372" i="56"/>
  <c r="BS372" i="56"/>
  <c r="BR372" i="56"/>
  <c r="BQ372" i="56"/>
  <c r="BP372" i="56"/>
  <c r="BO372" i="56"/>
  <c r="BN372" i="56"/>
  <c r="BT371" i="56"/>
  <c r="BS371" i="56"/>
  <c r="BR371" i="56"/>
  <c r="BQ371" i="56"/>
  <c r="BP371" i="56"/>
  <c r="BO371" i="56"/>
  <c r="BN371" i="56"/>
  <c r="BT370" i="56"/>
  <c r="BS370" i="56"/>
  <c r="BR370" i="56"/>
  <c r="BQ370" i="56"/>
  <c r="BP370" i="56"/>
  <c r="BO370" i="56"/>
  <c r="BN370" i="56"/>
  <c r="BT369" i="56"/>
  <c r="BS369" i="56"/>
  <c r="BR369" i="56"/>
  <c r="BQ369" i="56"/>
  <c r="BP369" i="56"/>
  <c r="BO369" i="56"/>
  <c r="BN369" i="56"/>
  <c r="BT368" i="56"/>
  <c r="BS368" i="56"/>
  <c r="BR368" i="56"/>
  <c r="BQ368" i="56"/>
  <c r="BP368" i="56"/>
  <c r="BO368" i="56"/>
  <c r="BN368" i="56"/>
  <c r="BT367" i="56"/>
  <c r="BS367" i="56"/>
  <c r="BR367" i="56"/>
  <c r="BQ367" i="56"/>
  <c r="BP367" i="56"/>
  <c r="BO367" i="56"/>
  <c r="BN367" i="56"/>
  <c r="BT366" i="56"/>
  <c r="BS366" i="56"/>
  <c r="BR366" i="56"/>
  <c r="BQ366" i="56"/>
  <c r="BP366" i="56"/>
  <c r="BO366" i="56"/>
  <c r="BN366" i="56"/>
  <c r="BT365" i="56"/>
  <c r="BS365" i="56"/>
  <c r="BR365" i="56"/>
  <c r="BQ365" i="56"/>
  <c r="BP365" i="56"/>
  <c r="BO365" i="56"/>
  <c r="BN365" i="56"/>
  <c r="BT364" i="56"/>
  <c r="BS364" i="56"/>
  <c r="BR364" i="56"/>
  <c r="BQ364" i="56"/>
  <c r="BP364" i="56"/>
  <c r="BO364" i="56"/>
  <c r="BN364" i="56"/>
  <c r="BT363" i="56"/>
  <c r="BS363" i="56"/>
  <c r="BR363" i="56"/>
  <c r="BQ363" i="56"/>
  <c r="BP363" i="56"/>
  <c r="BO363" i="56"/>
  <c r="BN363" i="56"/>
  <c r="BT362" i="56"/>
  <c r="BS362" i="56"/>
  <c r="BR362" i="56"/>
  <c r="BQ362" i="56"/>
  <c r="BP362" i="56"/>
  <c r="BO362" i="56"/>
  <c r="BN362" i="56"/>
  <c r="BT361" i="56"/>
  <c r="BS361" i="56"/>
  <c r="BR361" i="56"/>
  <c r="BQ361" i="56"/>
  <c r="BP361" i="56"/>
  <c r="BO361" i="56"/>
  <c r="BN361" i="56"/>
  <c r="BT360" i="56"/>
  <c r="BS360" i="56"/>
  <c r="BR360" i="56"/>
  <c r="BQ360" i="56"/>
  <c r="BP360" i="56"/>
  <c r="BO360" i="56"/>
  <c r="BN360" i="56"/>
  <c r="BT359" i="56"/>
  <c r="BS359" i="56"/>
  <c r="BR359" i="56"/>
  <c r="BQ359" i="56"/>
  <c r="BP359" i="56"/>
  <c r="BO359" i="56"/>
  <c r="BN359" i="56"/>
  <c r="BT358" i="56"/>
  <c r="BS358" i="56"/>
  <c r="BR358" i="56"/>
  <c r="BQ358" i="56"/>
  <c r="BP358" i="56"/>
  <c r="BO358" i="56"/>
  <c r="BN358" i="56"/>
  <c r="BT357" i="56"/>
  <c r="BS357" i="56"/>
  <c r="BR357" i="56"/>
  <c r="BQ357" i="56"/>
  <c r="BP357" i="56"/>
  <c r="BO357" i="56"/>
  <c r="BN357" i="56"/>
  <c r="BT356" i="56"/>
  <c r="BS356" i="56"/>
  <c r="BR356" i="56"/>
  <c r="BQ356" i="56"/>
  <c r="BP356" i="56"/>
  <c r="BO356" i="56"/>
  <c r="BN356" i="56"/>
  <c r="BT355" i="56"/>
  <c r="BS355" i="56"/>
  <c r="BR355" i="56"/>
  <c r="BQ355" i="56"/>
  <c r="BP355" i="56"/>
  <c r="BO355" i="56"/>
  <c r="BN355" i="56"/>
  <c r="BT354" i="56"/>
  <c r="BS354" i="56"/>
  <c r="BR354" i="56"/>
  <c r="BQ354" i="56"/>
  <c r="BP354" i="56"/>
  <c r="BO354" i="56"/>
  <c r="BN354" i="56"/>
  <c r="BT353" i="56"/>
  <c r="BS353" i="56"/>
  <c r="BR353" i="56"/>
  <c r="BQ353" i="56"/>
  <c r="BP353" i="56"/>
  <c r="BO353" i="56"/>
  <c r="BN353" i="56"/>
  <c r="BT352" i="56"/>
  <c r="BS352" i="56"/>
  <c r="BR352" i="56"/>
  <c r="BQ352" i="56"/>
  <c r="BP352" i="56"/>
  <c r="BO352" i="56"/>
  <c r="BN352" i="56"/>
  <c r="BT351" i="56"/>
  <c r="BS351" i="56"/>
  <c r="BR351" i="56"/>
  <c r="BQ351" i="56"/>
  <c r="BP351" i="56"/>
  <c r="BO351" i="56"/>
  <c r="BN351" i="56"/>
  <c r="BT350" i="56"/>
  <c r="BS350" i="56"/>
  <c r="BR350" i="56"/>
  <c r="BQ350" i="56"/>
  <c r="BP350" i="56"/>
  <c r="BO350" i="56"/>
  <c r="BN350" i="56"/>
  <c r="BT349" i="56"/>
  <c r="BS349" i="56"/>
  <c r="BR349" i="56"/>
  <c r="BQ349" i="56"/>
  <c r="BP349" i="56"/>
  <c r="BO349" i="56"/>
  <c r="BN349" i="56"/>
  <c r="BT348" i="56"/>
  <c r="BS348" i="56"/>
  <c r="BR348" i="56"/>
  <c r="BQ348" i="56"/>
  <c r="BP348" i="56"/>
  <c r="BO348" i="56"/>
  <c r="BN348" i="56"/>
  <c r="BT347" i="56"/>
  <c r="BS347" i="56"/>
  <c r="BR347" i="56"/>
  <c r="BQ347" i="56"/>
  <c r="BP347" i="56"/>
  <c r="BO347" i="56"/>
  <c r="BN347" i="56"/>
  <c r="BT346" i="56"/>
  <c r="BS346" i="56"/>
  <c r="BR346" i="56"/>
  <c r="BQ346" i="56"/>
  <c r="BP346" i="56"/>
  <c r="BO346" i="56"/>
  <c r="BN346" i="56"/>
  <c r="BT345" i="56"/>
  <c r="BS345" i="56"/>
  <c r="BR345" i="56"/>
  <c r="BQ345" i="56"/>
  <c r="BP345" i="56"/>
  <c r="BO345" i="56"/>
  <c r="BN345" i="56"/>
  <c r="BT344" i="56"/>
  <c r="BS344" i="56"/>
  <c r="BR344" i="56"/>
  <c r="BQ344" i="56"/>
  <c r="BP344" i="56"/>
  <c r="BO344" i="56"/>
  <c r="BN344" i="56"/>
  <c r="BT343" i="56"/>
  <c r="BS343" i="56"/>
  <c r="BR343" i="56"/>
  <c r="BQ343" i="56"/>
  <c r="BP343" i="56"/>
  <c r="BO343" i="56"/>
  <c r="BN343" i="56"/>
  <c r="BT342" i="56"/>
  <c r="BS342" i="56"/>
  <c r="BR342" i="56"/>
  <c r="BQ342" i="56"/>
  <c r="BP342" i="56"/>
  <c r="BO342" i="56"/>
  <c r="BN342" i="56"/>
  <c r="BT341" i="56"/>
  <c r="BS341" i="56"/>
  <c r="BR341" i="56"/>
  <c r="BQ341" i="56"/>
  <c r="BP341" i="56"/>
  <c r="BO341" i="56"/>
  <c r="BN341" i="56"/>
  <c r="BT340" i="56"/>
  <c r="BS340" i="56"/>
  <c r="BR340" i="56"/>
  <c r="BQ340" i="56"/>
  <c r="BP340" i="56"/>
  <c r="BO340" i="56"/>
  <c r="BN340" i="56"/>
  <c r="BT339" i="56"/>
  <c r="BS339" i="56"/>
  <c r="BR339" i="56"/>
  <c r="BQ339" i="56"/>
  <c r="BP339" i="56"/>
  <c r="BO339" i="56"/>
  <c r="BN339" i="56"/>
  <c r="BT338" i="56"/>
  <c r="BS338" i="56"/>
  <c r="BR338" i="56"/>
  <c r="BQ338" i="56"/>
  <c r="BP338" i="56"/>
  <c r="BO338" i="56"/>
  <c r="BN338" i="56"/>
  <c r="BT337" i="56"/>
  <c r="BS337" i="56"/>
  <c r="BR337" i="56"/>
  <c r="BQ337" i="56"/>
  <c r="BP337" i="56"/>
  <c r="BO337" i="56"/>
  <c r="BN337" i="56"/>
  <c r="BT336" i="56"/>
  <c r="BS336" i="56"/>
  <c r="BR336" i="56"/>
  <c r="BQ336" i="56"/>
  <c r="BP336" i="56"/>
  <c r="BO336" i="56"/>
  <c r="BN336" i="56"/>
  <c r="BT335" i="56"/>
  <c r="BS335" i="56"/>
  <c r="BR335" i="56"/>
  <c r="BQ335" i="56"/>
  <c r="BP335" i="56"/>
  <c r="BO335" i="56"/>
  <c r="BN335" i="56"/>
  <c r="BT334" i="56"/>
  <c r="BS334" i="56"/>
  <c r="BR334" i="56"/>
  <c r="BQ334" i="56"/>
  <c r="BP334" i="56"/>
  <c r="BO334" i="56"/>
  <c r="BN334" i="56"/>
  <c r="BT333" i="56"/>
  <c r="BS333" i="56"/>
  <c r="BR333" i="56"/>
  <c r="BQ333" i="56"/>
  <c r="BP333" i="56"/>
  <c r="BO333" i="56"/>
  <c r="BN333" i="56"/>
  <c r="BT332" i="56"/>
  <c r="BS332" i="56"/>
  <c r="BR332" i="56"/>
  <c r="BQ332" i="56"/>
  <c r="BP332" i="56"/>
  <c r="BO332" i="56"/>
  <c r="BN332" i="56"/>
  <c r="BT331" i="56"/>
  <c r="BS331" i="56"/>
  <c r="BR331" i="56"/>
  <c r="BQ331" i="56"/>
  <c r="BP331" i="56"/>
  <c r="BO331" i="56"/>
  <c r="BN331" i="56"/>
  <c r="BT330" i="56"/>
  <c r="BS330" i="56"/>
  <c r="BR330" i="56"/>
  <c r="BQ330" i="56"/>
  <c r="BP330" i="56"/>
  <c r="BO330" i="56"/>
  <c r="BN330" i="56"/>
  <c r="BT329" i="56"/>
  <c r="BS329" i="56"/>
  <c r="BR329" i="56"/>
  <c r="BQ329" i="56"/>
  <c r="BP329" i="56"/>
  <c r="BO329" i="56"/>
  <c r="BN329" i="56"/>
  <c r="BT328" i="56"/>
  <c r="BS328" i="56"/>
  <c r="BR328" i="56"/>
  <c r="BQ328" i="56"/>
  <c r="BP328" i="56"/>
  <c r="BO328" i="56"/>
  <c r="BN328" i="56"/>
  <c r="BT327" i="56"/>
  <c r="BS327" i="56"/>
  <c r="BR327" i="56"/>
  <c r="BQ327" i="56"/>
  <c r="BP327" i="56"/>
  <c r="BO327" i="56"/>
  <c r="BN327" i="56"/>
  <c r="BT326" i="56"/>
  <c r="BS326" i="56"/>
  <c r="BR326" i="56"/>
  <c r="BQ326" i="56"/>
  <c r="BP326" i="56"/>
  <c r="BO326" i="56"/>
  <c r="BN326" i="56"/>
  <c r="BT325" i="56"/>
  <c r="BS325" i="56"/>
  <c r="BR325" i="56"/>
  <c r="BQ325" i="56"/>
  <c r="BP325" i="56"/>
  <c r="BO325" i="56"/>
  <c r="BN325" i="56"/>
  <c r="BT324" i="56"/>
  <c r="BS324" i="56"/>
  <c r="BR324" i="56"/>
  <c r="BQ324" i="56"/>
  <c r="BP324" i="56"/>
  <c r="BO324" i="56"/>
  <c r="BN324" i="56"/>
  <c r="BT323" i="56"/>
  <c r="BS323" i="56"/>
  <c r="BR323" i="56"/>
  <c r="BQ323" i="56"/>
  <c r="BP323" i="56"/>
  <c r="BO323" i="56"/>
  <c r="BN323" i="56"/>
  <c r="BT322" i="56"/>
  <c r="BS322" i="56"/>
  <c r="BR322" i="56"/>
  <c r="BQ322" i="56"/>
  <c r="BP322" i="56"/>
  <c r="BO322" i="56"/>
  <c r="BN322" i="56"/>
  <c r="BT321" i="56"/>
  <c r="BS321" i="56"/>
  <c r="BR321" i="56"/>
  <c r="BQ321" i="56"/>
  <c r="BP321" i="56"/>
  <c r="BO321" i="56"/>
  <c r="BN321" i="56"/>
  <c r="BT320" i="56"/>
  <c r="BS320" i="56"/>
  <c r="BR320" i="56"/>
  <c r="BQ320" i="56"/>
  <c r="BP320" i="56"/>
  <c r="BO320" i="56"/>
  <c r="BN320" i="56"/>
  <c r="BT319" i="56"/>
  <c r="BS319" i="56"/>
  <c r="BR319" i="56"/>
  <c r="BQ319" i="56"/>
  <c r="BP319" i="56"/>
  <c r="BO319" i="56"/>
  <c r="BN319" i="56"/>
  <c r="BT318" i="56"/>
  <c r="BS318" i="56"/>
  <c r="BR318" i="56"/>
  <c r="BQ318" i="56"/>
  <c r="BP318" i="56"/>
  <c r="BO318" i="56"/>
  <c r="BN318" i="56"/>
  <c r="BT317" i="56"/>
  <c r="BS317" i="56"/>
  <c r="BR317" i="56"/>
  <c r="BQ317" i="56"/>
  <c r="BP317" i="56"/>
  <c r="BO317" i="56"/>
  <c r="BN317" i="56"/>
  <c r="BT316" i="56"/>
  <c r="BS316" i="56"/>
  <c r="BR316" i="56"/>
  <c r="BQ316" i="56"/>
  <c r="BP316" i="56"/>
  <c r="BO316" i="56"/>
  <c r="BN316" i="56"/>
  <c r="BT315" i="56"/>
  <c r="BS315" i="56"/>
  <c r="BR315" i="56"/>
  <c r="BQ315" i="56"/>
  <c r="BP315" i="56"/>
  <c r="BO315" i="56"/>
  <c r="BN315" i="56"/>
  <c r="BT314" i="56"/>
  <c r="BS314" i="56"/>
  <c r="BR314" i="56"/>
  <c r="BQ314" i="56"/>
  <c r="BP314" i="56"/>
  <c r="BO314" i="56"/>
  <c r="BN314" i="56"/>
  <c r="BT313" i="56"/>
  <c r="BS313" i="56"/>
  <c r="BR313" i="56"/>
  <c r="BQ313" i="56"/>
  <c r="BP313" i="56"/>
  <c r="BO313" i="56"/>
  <c r="BN313" i="56"/>
  <c r="BT312" i="56"/>
  <c r="BS312" i="56"/>
  <c r="BR312" i="56"/>
  <c r="BQ312" i="56"/>
  <c r="BP312" i="56"/>
  <c r="BO312" i="56"/>
  <c r="BN312" i="56"/>
  <c r="BT311" i="56"/>
  <c r="BS311" i="56"/>
  <c r="BR311" i="56"/>
  <c r="BQ311" i="56"/>
  <c r="BP311" i="56"/>
  <c r="BO311" i="56"/>
  <c r="BN311" i="56"/>
  <c r="BT310" i="56"/>
  <c r="BS310" i="56"/>
  <c r="BR310" i="56"/>
  <c r="BQ310" i="56"/>
  <c r="BP310" i="56"/>
  <c r="BO310" i="56"/>
  <c r="BN310" i="56"/>
  <c r="BT309" i="56"/>
  <c r="BS309" i="56"/>
  <c r="BR309" i="56"/>
  <c r="BQ309" i="56"/>
  <c r="BP309" i="56"/>
  <c r="BO309" i="56"/>
  <c r="BN309" i="56"/>
  <c r="BT308" i="56"/>
  <c r="BS308" i="56"/>
  <c r="BR308" i="56"/>
  <c r="BQ308" i="56"/>
  <c r="BP308" i="56"/>
  <c r="BO308" i="56"/>
  <c r="BN308" i="56"/>
  <c r="BT307" i="56"/>
  <c r="BS307" i="56"/>
  <c r="BR307" i="56"/>
  <c r="BQ307" i="56"/>
  <c r="BP307" i="56"/>
  <c r="BO307" i="56"/>
  <c r="BN307" i="56"/>
  <c r="BT306" i="56"/>
  <c r="BS306" i="56"/>
  <c r="BR306" i="56"/>
  <c r="BQ306" i="56"/>
  <c r="BP306" i="56"/>
  <c r="BO306" i="56"/>
  <c r="BN306" i="56"/>
  <c r="BT305" i="56"/>
  <c r="BS305" i="56"/>
  <c r="BR305" i="56"/>
  <c r="BQ305" i="56"/>
  <c r="BP305" i="56"/>
  <c r="BO305" i="56"/>
  <c r="BN305" i="56"/>
  <c r="BT304" i="56"/>
  <c r="BS304" i="56"/>
  <c r="BR304" i="56"/>
  <c r="BQ304" i="56"/>
  <c r="BP304" i="56"/>
  <c r="BO304" i="56"/>
  <c r="BN304" i="56"/>
  <c r="BT303" i="56"/>
  <c r="BS303" i="56"/>
  <c r="BR303" i="56"/>
  <c r="BQ303" i="56"/>
  <c r="BP303" i="56"/>
  <c r="BO303" i="56"/>
  <c r="BN303" i="56"/>
  <c r="BT302" i="56"/>
  <c r="BS302" i="56"/>
  <c r="BR302" i="56"/>
  <c r="BQ302" i="56"/>
  <c r="BP302" i="56"/>
  <c r="BO302" i="56"/>
  <c r="BN302" i="56"/>
  <c r="BT301" i="56"/>
  <c r="BS301" i="56"/>
  <c r="BR301" i="56"/>
  <c r="BQ301" i="56"/>
  <c r="BP301" i="56"/>
  <c r="BO301" i="56"/>
  <c r="BN301" i="56"/>
  <c r="BT300" i="56"/>
  <c r="BS300" i="56"/>
  <c r="BR300" i="56"/>
  <c r="BQ300" i="56"/>
  <c r="BP300" i="56"/>
  <c r="BO300" i="56"/>
  <c r="BN300" i="56"/>
  <c r="BT299" i="56"/>
  <c r="BS299" i="56"/>
  <c r="BR299" i="56"/>
  <c r="BQ299" i="56"/>
  <c r="BP299" i="56"/>
  <c r="BO299" i="56"/>
  <c r="BN299" i="56"/>
  <c r="BT298" i="56"/>
  <c r="BS298" i="56"/>
  <c r="BR298" i="56"/>
  <c r="BQ298" i="56"/>
  <c r="BP298" i="56"/>
  <c r="BO298" i="56"/>
  <c r="BN298" i="56"/>
  <c r="BT297" i="56"/>
  <c r="BS297" i="56"/>
  <c r="BR297" i="56"/>
  <c r="BQ297" i="56"/>
  <c r="BP297" i="56"/>
  <c r="BO297" i="56"/>
  <c r="BN297" i="56"/>
  <c r="BT296" i="56"/>
  <c r="BS296" i="56"/>
  <c r="BR296" i="56"/>
  <c r="BQ296" i="56"/>
  <c r="BP296" i="56"/>
  <c r="BO296" i="56"/>
  <c r="BN296" i="56"/>
  <c r="BT295" i="56"/>
  <c r="BS295" i="56"/>
  <c r="BR295" i="56"/>
  <c r="BQ295" i="56"/>
  <c r="BP295" i="56"/>
  <c r="BO295" i="56"/>
  <c r="BN295" i="56"/>
  <c r="BT294" i="56"/>
  <c r="BS294" i="56"/>
  <c r="BR294" i="56"/>
  <c r="BQ294" i="56"/>
  <c r="BP294" i="56"/>
  <c r="BO294" i="56"/>
  <c r="BN294" i="56"/>
  <c r="BT293" i="56"/>
  <c r="BS293" i="56"/>
  <c r="BR293" i="56"/>
  <c r="BQ293" i="56"/>
  <c r="BP293" i="56"/>
  <c r="BO293" i="56"/>
  <c r="BN293" i="56"/>
  <c r="BT292" i="56"/>
  <c r="BS292" i="56"/>
  <c r="BR292" i="56"/>
  <c r="BQ292" i="56"/>
  <c r="BP292" i="56"/>
  <c r="BO292" i="56"/>
  <c r="BN292" i="56"/>
  <c r="BT291" i="56"/>
  <c r="BS291" i="56"/>
  <c r="BR291" i="56"/>
  <c r="BQ291" i="56"/>
  <c r="BP291" i="56"/>
  <c r="BO291" i="56"/>
  <c r="BN291" i="56"/>
  <c r="BT290" i="56"/>
  <c r="BS290" i="56"/>
  <c r="BR290" i="56"/>
  <c r="BQ290" i="56"/>
  <c r="BP290" i="56"/>
  <c r="BO290" i="56"/>
  <c r="BN290" i="56"/>
  <c r="BT289" i="56"/>
  <c r="BS289" i="56"/>
  <c r="BR289" i="56"/>
  <c r="BQ289" i="56"/>
  <c r="BP289" i="56"/>
  <c r="BO289" i="56"/>
  <c r="BN289" i="56"/>
  <c r="BT288" i="56"/>
  <c r="BS288" i="56"/>
  <c r="BR288" i="56"/>
  <c r="BQ288" i="56"/>
  <c r="BP288" i="56"/>
  <c r="BO288" i="56"/>
  <c r="BN288" i="56"/>
  <c r="BT287" i="56"/>
  <c r="BS287" i="56"/>
  <c r="BR287" i="56"/>
  <c r="BQ287" i="56"/>
  <c r="BP287" i="56"/>
  <c r="BO287" i="56"/>
  <c r="BN287" i="56"/>
  <c r="BT286" i="56"/>
  <c r="BS286" i="56"/>
  <c r="BR286" i="56"/>
  <c r="BQ286" i="56"/>
  <c r="BP286" i="56"/>
  <c r="BO286" i="56"/>
  <c r="BN286" i="56"/>
  <c r="BT285" i="56"/>
  <c r="BS285" i="56"/>
  <c r="BR285" i="56"/>
  <c r="BQ285" i="56"/>
  <c r="BP285" i="56"/>
  <c r="BO285" i="56"/>
  <c r="BN285" i="56"/>
  <c r="BT284" i="56"/>
  <c r="BS284" i="56"/>
  <c r="BR284" i="56"/>
  <c r="BQ284" i="56"/>
  <c r="BP284" i="56"/>
  <c r="BO284" i="56"/>
  <c r="BN284" i="56"/>
  <c r="BT283" i="56"/>
  <c r="BS283" i="56"/>
  <c r="BR283" i="56"/>
  <c r="BQ283" i="56"/>
  <c r="BP283" i="56"/>
  <c r="BO283" i="56"/>
  <c r="BN283" i="56"/>
  <c r="BT282" i="56"/>
  <c r="BS282" i="56"/>
  <c r="BR282" i="56"/>
  <c r="BQ282" i="56"/>
  <c r="BP282" i="56"/>
  <c r="BO282" i="56"/>
  <c r="BN282" i="56"/>
  <c r="BT281" i="56"/>
  <c r="BS281" i="56"/>
  <c r="BR281" i="56"/>
  <c r="BQ281" i="56"/>
  <c r="BP281" i="56"/>
  <c r="BO281" i="56"/>
  <c r="BN281" i="56"/>
  <c r="BT280" i="56"/>
  <c r="BS280" i="56"/>
  <c r="BR280" i="56"/>
  <c r="BQ280" i="56"/>
  <c r="BP280" i="56"/>
  <c r="BO280" i="56"/>
  <c r="BN280" i="56"/>
  <c r="BT279" i="56"/>
  <c r="BS279" i="56"/>
  <c r="BR279" i="56"/>
  <c r="BQ279" i="56"/>
  <c r="BP279" i="56"/>
  <c r="BO279" i="56"/>
  <c r="BN279" i="56"/>
  <c r="BT278" i="56"/>
  <c r="BS278" i="56"/>
  <c r="BR278" i="56"/>
  <c r="BQ278" i="56"/>
  <c r="BP278" i="56"/>
  <c r="BO278" i="56"/>
  <c r="BN278" i="56"/>
  <c r="BT277" i="56"/>
  <c r="BS277" i="56"/>
  <c r="BR277" i="56"/>
  <c r="BQ277" i="56"/>
  <c r="BP277" i="56"/>
  <c r="BO277" i="56"/>
  <c r="BN277" i="56"/>
  <c r="BT276" i="56"/>
  <c r="BS276" i="56"/>
  <c r="BR276" i="56"/>
  <c r="BQ276" i="56"/>
  <c r="BP276" i="56"/>
  <c r="BO276" i="56"/>
  <c r="BN276" i="56"/>
  <c r="BT275" i="56"/>
  <c r="BS275" i="56"/>
  <c r="BR275" i="56"/>
  <c r="BQ275" i="56"/>
  <c r="BP275" i="56"/>
  <c r="BO275" i="56"/>
  <c r="BN275" i="56"/>
  <c r="BT274" i="56"/>
  <c r="BS274" i="56"/>
  <c r="BR274" i="56"/>
  <c r="BQ274" i="56"/>
  <c r="BP274" i="56"/>
  <c r="BO274" i="56"/>
  <c r="BN274" i="56"/>
  <c r="BT273" i="56"/>
  <c r="BS273" i="56"/>
  <c r="BR273" i="56"/>
  <c r="BQ273" i="56"/>
  <c r="BP273" i="56"/>
  <c r="BO273" i="56"/>
  <c r="BN273" i="56"/>
  <c r="BT272" i="56"/>
  <c r="BS272" i="56"/>
  <c r="BR272" i="56"/>
  <c r="BQ272" i="56"/>
  <c r="BP272" i="56"/>
  <c r="BO272" i="56"/>
  <c r="BN272" i="56"/>
  <c r="BT271" i="56"/>
  <c r="BS271" i="56"/>
  <c r="BR271" i="56"/>
  <c r="BQ271" i="56"/>
  <c r="BP271" i="56"/>
  <c r="BO271" i="56"/>
  <c r="BN271" i="56"/>
  <c r="BT270" i="56"/>
  <c r="BS270" i="56"/>
  <c r="BR270" i="56"/>
  <c r="BQ270" i="56"/>
  <c r="BP270" i="56"/>
  <c r="BO270" i="56"/>
  <c r="BN270" i="56"/>
  <c r="BT269" i="56"/>
  <c r="BS269" i="56"/>
  <c r="BR269" i="56"/>
  <c r="BQ269" i="56"/>
  <c r="BP269" i="56"/>
  <c r="BO269" i="56"/>
  <c r="BN269" i="56"/>
  <c r="BT268" i="56"/>
  <c r="BS268" i="56"/>
  <c r="BR268" i="56"/>
  <c r="BQ268" i="56"/>
  <c r="BP268" i="56"/>
  <c r="BO268" i="56"/>
  <c r="BN268" i="56"/>
  <c r="BT267" i="56"/>
  <c r="BS267" i="56"/>
  <c r="BR267" i="56"/>
  <c r="BQ267" i="56"/>
  <c r="BP267" i="56"/>
  <c r="BO267" i="56"/>
  <c r="BN267" i="56"/>
  <c r="BT266" i="56"/>
  <c r="BS266" i="56"/>
  <c r="BR266" i="56"/>
  <c r="BQ266" i="56"/>
  <c r="BP266" i="56"/>
  <c r="BO266" i="56"/>
  <c r="BN266" i="56"/>
  <c r="BT265" i="56"/>
  <c r="BS265" i="56"/>
  <c r="BR265" i="56"/>
  <c r="BQ265" i="56"/>
  <c r="BP265" i="56"/>
  <c r="BO265" i="56"/>
  <c r="BN265" i="56"/>
  <c r="BT264" i="56"/>
  <c r="BS264" i="56"/>
  <c r="BR264" i="56"/>
  <c r="BQ264" i="56"/>
  <c r="BP264" i="56"/>
  <c r="BO264" i="56"/>
  <c r="BN264" i="56"/>
  <c r="BT263" i="56"/>
  <c r="BS263" i="56"/>
  <c r="BR263" i="56"/>
  <c r="BQ263" i="56"/>
  <c r="BP263" i="56"/>
  <c r="BO263" i="56"/>
  <c r="BN263" i="56"/>
  <c r="BT262" i="56"/>
  <c r="BS262" i="56"/>
  <c r="BR262" i="56"/>
  <c r="BQ262" i="56"/>
  <c r="BP262" i="56"/>
  <c r="BO262" i="56"/>
  <c r="BN262" i="56"/>
  <c r="BT261" i="56"/>
  <c r="BS261" i="56"/>
  <c r="BR261" i="56"/>
  <c r="BQ261" i="56"/>
  <c r="BP261" i="56"/>
  <c r="BO261" i="56"/>
  <c r="BN261" i="56"/>
  <c r="BT260" i="56"/>
  <c r="BS260" i="56"/>
  <c r="BR260" i="56"/>
  <c r="BQ260" i="56"/>
  <c r="BP260" i="56"/>
  <c r="BO260" i="56"/>
  <c r="BN260" i="56"/>
  <c r="BT259" i="56"/>
  <c r="BS259" i="56"/>
  <c r="BR259" i="56"/>
  <c r="BQ259" i="56"/>
  <c r="BP259" i="56"/>
  <c r="BO259" i="56"/>
  <c r="BN259" i="56"/>
  <c r="BT258" i="56"/>
  <c r="BS258" i="56"/>
  <c r="BR258" i="56"/>
  <c r="BQ258" i="56"/>
  <c r="BP258" i="56"/>
  <c r="BO258" i="56"/>
  <c r="BN258" i="56"/>
  <c r="BT257" i="56"/>
  <c r="BS257" i="56"/>
  <c r="BR257" i="56"/>
  <c r="BQ257" i="56"/>
  <c r="BP257" i="56"/>
  <c r="BO257" i="56"/>
  <c r="BN257" i="56"/>
  <c r="BT256" i="56"/>
  <c r="BS256" i="56"/>
  <c r="BR256" i="56"/>
  <c r="BQ256" i="56"/>
  <c r="BP256" i="56"/>
  <c r="BO256" i="56"/>
  <c r="BN256" i="56"/>
  <c r="BT255" i="56"/>
  <c r="BS255" i="56"/>
  <c r="BR255" i="56"/>
  <c r="BQ255" i="56"/>
  <c r="BP255" i="56"/>
  <c r="BO255" i="56"/>
  <c r="BN255" i="56"/>
  <c r="BT254" i="56"/>
  <c r="BS254" i="56"/>
  <c r="BR254" i="56"/>
  <c r="BQ254" i="56"/>
  <c r="BP254" i="56"/>
  <c r="BO254" i="56"/>
  <c r="BN254" i="56"/>
  <c r="BT253" i="56"/>
  <c r="BS253" i="56"/>
  <c r="BR253" i="56"/>
  <c r="BQ253" i="56"/>
  <c r="BP253" i="56"/>
  <c r="BO253" i="56"/>
  <c r="BN253" i="56"/>
  <c r="BT252" i="56"/>
  <c r="BS252" i="56"/>
  <c r="BR252" i="56"/>
  <c r="BQ252" i="56"/>
  <c r="BP252" i="56"/>
  <c r="BO252" i="56"/>
  <c r="BN252" i="56"/>
  <c r="BT251" i="56"/>
  <c r="BS251" i="56"/>
  <c r="BR251" i="56"/>
  <c r="BQ251" i="56"/>
  <c r="BP251" i="56"/>
  <c r="BO251" i="56"/>
  <c r="BN251" i="56"/>
  <c r="BT250" i="56"/>
  <c r="BS250" i="56"/>
  <c r="BR250" i="56"/>
  <c r="BQ250" i="56"/>
  <c r="BP250" i="56"/>
  <c r="BO250" i="56"/>
  <c r="BN250" i="56"/>
  <c r="BT249" i="56"/>
  <c r="BS249" i="56"/>
  <c r="BR249" i="56"/>
  <c r="BQ249" i="56"/>
  <c r="BP249" i="56"/>
  <c r="BO249" i="56"/>
  <c r="BN249" i="56"/>
  <c r="BT248" i="56"/>
  <c r="BS248" i="56"/>
  <c r="BR248" i="56"/>
  <c r="BQ248" i="56"/>
  <c r="BP248" i="56"/>
  <c r="BO248" i="56"/>
  <c r="BN248" i="56"/>
  <c r="BT247" i="56"/>
  <c r="BS247" i="56"/>
  <c r="BR247" i="56"/>
  <c r="BQ247" i="56"/>
  <c r="BP247" i="56"/>
  <c r="BO247" i="56"/>
  <c r="BN247" i="56"/>
  <c r="BT246" i="56"/>
  <c r="BS246" i="56"/>
  <c r="BR246" i="56"/>
  <c r="BQ246" i="56"/>
  <c r="BP246" i="56"/>
  <c r="BO246" i="56"/>
  <c r="BN246" i="56"/>
  <c r="BT245" i="56"/>
  <c r="BS245" i="56"/>
  <c r="BR245" i="56"/>
  <c r="BQ245" i="56"/>
  <c r="BP245" i="56"/>
  <c r="BO245" i="56"/>
  <c r="BN245" i="56"/>
  <c r="BT244" i="56"/>
  <c r="BS244" i="56"/>
  <c r="BR244" i="56"/>
  <c r="BQ244" i="56"/>
  <c r="BP244" i="56"/>
  <c r="BO244" i="56"/>
  <c r="BN244" i="56"/>
  <c r="BT243" i="56"/>
  <c r="BS243" i="56"/>
  <c r="BR243" i="56"/>
  <c r="BQ243" i="56"/>
  <c r="BP243" i="56"/>
  <c r="BO243" i="56"/>
  <c r="BN243" i="56"/>
  <c r="BT242" i="56"/>
  <c r="BS242" i="56"/>
  <c r="BR242" i="56"/>
  <c r="BQ242" i="56"/>
  <c r="BP242" i="56"/>
  <c r="BO242" i="56"/>
  <c r="BN242" i="56"/>
  <c r="BT241" i="56"/>
  <c r="BS241" i="56"/>
  <c r="BR241" i="56"/>
  <c r="BQ241" i="56"/>
  <c r="BP241" i="56"/>
  <c r="BO241" i="56"/>
  <c r="BN241" i="56"/>
  <c r="BT240" i="56"/>
  <c r="BS240" i="56"/>
  <c r="BR240" i="56"/>
  <c r="BQ240" i="56"/>
  <c r="BP240" i="56"/>
  <c r="BO240" i="56"/>
  <c r="BN240" i="56"/>
  <c r="BT239" i="56"/>
  <c r="BS239" i="56"/>
  <c r="BR239" i="56"/>
  <c r="BQ239" i="56"/>
  <c r="BP239" i="56"/>
  <c r="BO239" i="56"/>
  <c r="BN239" i="56"/>
  <c r="BT238" i="56"/>
  <c r="BS238" i="56"/>
  <c r="BR238" i="56"/>
  <c r="BQ238" i="56"/>
  <c r="BP238" i="56"/>
  <c r="BO238" i="56"/>
  <c r="BN238" i="56"/>
  <c r="BT237" i="56"/>
  <c r="BS237" i="56"/>
  <c r="BR237" i="56"/>
  <c r="BQ237" i="56"/>
  <c r="BP237" i="56"/>
  <c r="BO237" i="56"/>
  <c r="BN237" i="56"/>
  <c r="BT236" i="56"/>
  <c r="BS236" i="56"/>
  <c r="BR236" i="56"/>
  <c r="BQ236" i="56"/>
  <c r="BP236" i="56"/>
  <c r="BO236" i="56"/>
  <c r="BN236" i="56"/>
  <c r="BT235" i="56"/>
  <c r="BS235" i="56"/>
  <c r="BR235" i="56"/>
  <c r="BQ235" i="56"/>
  <c r="BP235" i="56"/>
  <c r="BO235" i="56"/>
  <c r="BN235" i="56"/>
  <c r="BT234" i="56"/>
  <c r="BS234" i="56"/>
  <c r="BR234" i="56"/>
  <c r="BQ234" i="56"/>
  <c r="BP234" i="56"/>
  <c r="BO234" i="56"/>
  <c r="BN234" i="56"/>
  <c r="BT233" i="56"/>
  <c r="BS233" i="56"/>
  <c r="BR233" i="56"/>
  <c r="BQ233" i="56"/>
  <c r="BP233" i="56"/>
  <c r="BO233" i="56"/>
  <c r="BN233" i="56"/>
  <c r="BT232" i="56"/>
  <c r="BS232" i="56"/>
  <c r="BR232" i="56"/>
  <c r="BQ232" i="56"/>
  <c r="BP232" i="56"/>
  <c r="BO232" i="56"/>
  <c r="BN232" i="56"/>
  <c r="BT231" i="56"/>
  <c r="BS231" i="56"/>
  <c r="BR231" i="56"/>
  <c r="BQ231" i="56"/>
  <c r="BP231" i="56"/>
  <c r="BO231" i="56"/>
  <c r="BN231" i="56"/>
  <c r="BT230" i="56"/>
  <c r="BS230" i="56"/>
  <c r="BR230" i="56"/>
  <c r="BQ230" i="56"/>
  <c r="BP230" i="56"/>
  <c r="BO230" i="56"/>
  <c r="BN230" i="56"/>
  <c r="BT229" i="56"/>
  <c r="BS229" i="56"/>
  <c r="BR229" i="56"/>
  <c r="BQ229" i="56"/>
  <c r="BP229" i="56"/>
  <c r="BO229" i="56"/>
  <c r="BN229" i="56"/>
  <c r="BT228" i="56"/>
  <c r="BS228" i="56"/>
  <c r="BR228" i="56"/>
  <c r="BQ228" i="56"/>
  <c r="BP228" i="56"/>
  <c r="BO228" i="56"/>
  <c r="BN228" i="56"/>
  <c r="BT227" i="56"/>
  <c r="BS227" i="56"/>
  <c r="BR227" i="56"/>
  <c r="BQ227" i="56"/>
  <c r="BP227" i="56"/>
  <c r="BO227" i="56"/>
  <c r="BN227" i="56"/>
  <c r="BT226" i="56"/>
  <c r="BS226" i="56"/>
  <c r="BR226" i="56"/>
  <c r="BQ226" i="56"/>
  <c r="BP226" i="56"/>
  <c r="BO226" i="56"/>
  <c r="BN226" i="56"/>
  <c r="BT225" i="56"/>
  <c r="BS225" i="56"/>
  <c r="BR225" i="56"/>
  <c r="BQ225" i="56"/>
  <c r="BP225" i="56"/>
  <c r="BO225" i="56"/>
  <c r="BN225" i="56"/>
  <c r="BT224" i="56"/>
  <c r="BS224" i="56"/>
  <c r="BR224" i="56"/>
  <c r="BQ224" i="56"/>
  <c r="BP224" i="56"/>
  <c r="BO224" i="56"/>
  <c r="BN224" i="56"/>
  <c r="BT223" i="56"/>
  <c r="BS223" i="56"/>
  <c r="BR223" i="56"/>
  <c r="BQ223" i="56"/>
  <c r="BP223" i="56"/>
  <c r="BO223" i="56"/>
  <c r="BN223" i="56"/>
  <c r="BT222" i="56"/>
  <c r="BS222" i="56"/>
  <c r="BR222" i="56"/>
  <c r="BQ222" i="56"/>
  <c r="BP222" i="56"/>
  <c r="BO222" i="56"/>
  <c r="BN222" i="56"/>
  <c r="BT221" i="56"/>
  <c r="BS221" i="56"/>
  <c r="BR221" i="56"/>
  <c r="BQ221" i="56"/>
  <c r="BP221" i="56"/>
  <c r="BO221" i="56"/>
  <c r="BN221" i="56"/>
  <c r="BT220" i="56"/>
  <c r="BS220" i="56"/>
  <c r="BR220" i="56"/>
  <c r="BQ220" i="56"/>
  <c r="BP220" i="56"/>
  <c r="BO220" i="56"/>
  <c r="BN220" i="56"/>
  <c r="BT219" i="56"/>
  <c r="BS219" i="56"/>
  <c r="BR219" i="56"/>
  <c r="BQ219" i="56"/>
  <c r="BP219" i="56"/>
  <c r="BO219" i="56"/>
  <c r="BN219" i="56"/>
  <c r="BT218" i="56"/>
  <c r="BS218" i="56"/>
  <c r="BR218" i="56"/>
  <c r="BQ218" i="56"/>
  <c r="BP218" i="56"/>
  <c r="BO218" i="56"/>
  <c r="BN218" i="56"/>
  <c r="BT217" i="56"/>
  <c r="BS217" i="56"/>
  <c r="BR217" i="56"/>
  <c r="BQ217" i="56"/>
  <c r="BP217" i="56"/>
  <c r="BO217" i="56"/>
  <c r="BN217" i="56"/>
  <c r="BT216" i="56"/>
  <c r="BS216" i="56"/>
  <c r="BR216" i="56"/>
  <c r="BQ216" i="56"/>
  <c r="BP216" i="56"/>
  <c r="BO216" i="56"/>
  <c r="BN216" i="56"/>
  <c r="BT215" i="56"/>
  <c r="BS215" i="56"/>
  <c r="BR215" i="56"/>
  <c r="BQ215" i="56"/>
  <c r="BP215" i="56"/>
  <c r="BO215" i="56"/>
  <c r="BN215" i="56"/>
  <c r="BT214" i="56"/>
  <c r="BS214" i="56"/>
  <c r="BR214" i="56"/>
  <c r="BQ214" i="56"/>
  <c r="BP214" i="56"/>
  <c r="BO214" i="56"/>
  <c r="BN214" i="56"/>
  <c r="BT213" i="56"/>
  <c r="BS213" i="56"/>
  <c r="BR213" i="56"/>
  <c r="BQ213" i="56"/>
  <c r="BP213" i="56"/>
  <c r="BO213" i="56"/>
  <c r="BN213" i="56"/>
  <c r="BT212" i="56"/>
  <c r="BS212" i="56"/>
  <c r="BR212" i="56"/>
  <c r="BQ212" i="56"/>
  <c r="BP212" i="56"/>
  <c r="BO212" i="56"/>
  <c r="BN212" i="56"/>
  <c r="BT211" i="56"/>
  <c r="BS211" i="56"/>
  <c r="BR211" i="56"/>
  <c r="BQ211" i="56"/>
  <c r="BP211" i="56"/>
  <c r="BO211" i="56"/>
  <c r="BN211" i="56"/>
  <c r="BT210" i="56"/>
  <c r="BS210" i="56"/>
  <c r="BR210" i="56"/>
  <c r="BQ210" i="56"/>
  <c r="BP210" i="56"/>
  <c r="BO210" i="56"/>
  <c r="BN210" i="56"/>
  <c r="BT209" i="56"/>
  <c r="BS209" i="56"/>
  <c r="BR209" i="56"/>
  <c r="BQ209" i="56"/>
  <c r="BP209" i="56"/>
  <c r="BO209" i="56"/>
  <c r="BN209" i="56"/>
  <c r="BT208" i="56"/>
  <c r="BS208" i="56"/>
  <c r="BR208" i="56"/>
  <c r="BQ208" i="56"/>
  <c r="BP208" i="56"/>
  <c r="BO208" i="56"/>
  <c r="BN208" i="56"/>
  <c r="BT207" i="56"/>
  <c r="BS207" i="56"/>
  <c r="BR207" i="56"/>
  <c r="BQ207" i="56"/>
  <c r="BP207" i="56"/>
  <c r="BO207" i="56"/>
  <c r="BN207" i="56"/>
  <c r="BT206" i="56"/>
  <c r="BS206" i="56"/>
  <c r="BR206" i="56"/>
  <c r="BQ206" i="56"/>
  <c r="BP206" i="56"/>
  <c r="BO206" i="56"/>
  <c r="BN206" i="56"/>
  <c r="BT205" i="56"/>
  <c r="BS205" i="56"/>
  <c r="BR205" i="56"/>
  <c r="BQ205" i="56"/>
  <c r="BP205" i="56"/>
  <c r="BO205" i="56"/>
  <c r="BN205" i="56"/>
  <c r="BT204" i="56"/>
  <c r="BS204" i="56"/>
  <c r="BR204" i="56"/>
  <c r="BQ204" i="56"/>
  <c r="BP204" i="56"/>
  <c r="BO204" i="56"/>
  <c r="BN204" i="56"/>
  <c r="BT203" i="56"/>
  <c r="BS203" i="56"/>
  <c r="BR203" i="56"/>
  <c r="BQ203" i="56"/>
  <c r="BP203" i="56"/>
  <c r="BO203" i="56"/>
  <c r="BN203" i="56"/>
  <c r="BT202" i="56"/>
  <c r="BS202" i="56"/>
  <c r="BR202" i="56"/>
  <c r="BQ202" i="56"/>
  <c r="BP202" i="56"/>
  <c r="BO202" i="56"/>
  <c r="BN202" i="56"/>
  <c r="BT201" i="56"/>
  <c r="BS201" i="56"/>
  <c r="BR201" i="56"/>
  <c r="BQ201" i="56"/>
  <c r="BP201" i="56"/>
  <c r="BO201" i="56"/>
  <c r="BN201" i="56"/>
  <c r="BT200" i="56"/>
  <c r="BS200" i="56"/>
  <c r="BR200" i="56"/>
  <c r="BQ200" i="56"/>
  <c r="BP200" i="56"/>
  <c r="BO200" i="56"/>
  <c r="BN200" i="56"/>
  <c r="BT199" i="56"/>
  <c r="BS199" i="56"/>
  <c r="BR199" i="56"/>
  <c r="BQ199" i="56"/>
  <c r="BP199" i="56"/>
  <c r="BO199" i="56"/>
  <c r="BN199" i="56"/>
  <c r="BT198" i="56"/>
  <c r="BS198" i="56"/>
  <c r="BR198" i="56"/>
  <c r="BQ198" i="56"/>
  <c r="BP198" i="56"/>
  <c r="BO198" i="56"/>
  <c r="BN198" i="56"/>
  <c r="BT197" i="56"/>
  <c r="BS197" i="56"/>
  <c r="BR197" i="56"/>
  <c r="BQ197" i="56"/>
  <c r="BP197" i="56"/>
  <c r="BO197" i="56"/>
  <c r="BN197" i="56"/>
  <c r="BT196" i="56"/>
  <c r="BS196" i="56"/>
  <c r="BR196" i="56"/>
  <c r="BQ196" i="56"/>
  <c r="BP196" i="56"/>
  <c r="BO196" i="56"/>
  <c r="BN196" i="56"/>
  <c r="BT195" i="56"/>
  <c r="BS195" i="56"/>
  <c r="BR195" i="56"/>
  <c r="BQ195" i="56"/>
  <c r="BP195" i="56"/>
  <c r="BO195" i="56"/>
  <c r="BN195" i="56"/>
  <c r="BT194" i="56"/>
  <c r="BS194" i="56"/>
  <c r="BR194" i="56"/>
  <c r="BQ194" i="56"/>
  <c r="BP194" i="56"/>
  <c r="BO194" i="56"/>
  <c r="BN194" i="56"/>
  <c r="BT193" i="56"/>
  <c r="BS193" i="56"/>
  <c r="BR193" i="56"/>
  <c r="BQ193" i="56"/>
  <c r="BP193" i="56"/>
  <c r="BO193" i="56"/>
  <c r="BN193" i="56"/>
  <c r="BT192" i="56"/>
  <c r="BS192" i="56"/>
  <c r="BR192" i="56"/>
  <c r="BQ192" i="56"/>
  <c r="BP192" i="56"/>
  <c r="BO192" i="56"/>
  <c r="BN192" i="56"/>
  <c r="BT191" i="56"/>
  <c r="BS191" i="56"/>
  <c r="BR191" i="56"/>
  <c r="BQ191" i="56"/>
  <c r="BP191" i="56"/>
  <c r="BO191" i="56"/>
  <c r="BN191" i="56"/>
  <c r="BT190" i="56"/>
  <c r="BS190" i="56"/>
  <c r="BR190" i="56"/>
  <c r="BQ190" i="56"/>
  <c r="BP190" i="56"/>
  <c r="BO190" i="56"/>
  <c r="BN190" i="56"/>
  <c r="BT189" i="56"/>
  <c r="BS189" i="56"/>
  <c r="BR189" i="56"/>
  <c r="BQ189" i="56"/>
  <c r="BP189" i="56"/>
  <c r="BO189" i="56"/>
  <c r="BN189" i="56"/>
  <c r="BT188" i="56"/>
  <c r="BS188" i="56"/>
  <c r="BR188" i="56"/>
  <c r="BQ188" i="56"/>
  <c r="BP188" i="56"/>
  <c r="BO188" i="56"/>
  <c r="BN188" i="56"/>
  <c r="BT187" i="56"/>
  <c r="BS187" i="56"/>
  <c r="BR187" i="56"/>
  <c r="BQ187" i="56"/>
  <c r="BP187" i="56"/>
  <c r="BO187" i="56"/>
  <c r="BN187" i="56"/>
  <c r="BT186" i="56"/>
  <c r="BS186" i="56"/>
  <c r="BR186" i="56"/>
  <c r="BQ186" i="56"/>
  <c r="BP186" i="56"/>
  <c r="BO186" i="56"/>
  <c r="BN186" i="56"/>
  <c r="BT185" i="56"/>
  <c r="BS185" i="56"/>
  <c r="BR185" i="56"/>
  <c r="BQ185" i="56"/>
  <c r="BP185" i="56"/>
  <c r="BO185" i="56"/>
  <c r="BN185" i="56"/>
  <c r="BT184" i="56"/>
  <c r="BS184" i="56"/>
  <c r="BR184" i="56"/>
  <c r="BQ184" i="56"/>
  <c r="BP184" i="56"/>
  <c r="BO184" i="56"/>
  <c r="BN184" i="56"/>
  <c r="BT183" i="56"/>
  <c r="BS183" i="56"/>
  <c r="BR183" i="56"/>
  <c r="BQ183" i="56"/>
  <c r="BP183" i="56"/>
  <c r="BO183" i="56"/>
  <c r="BN183" i="56"/>
  <c r="BT182" i="56"/>
  <c r="BS182" i="56"/>
  <c r="BR182" i="56"/>
  <c r="BQ182" i="56"/>
  <c r="BP182" i="56"/>
  <c r="BO182" i="56"/>
  <c r="BN182" i="56"/>
  <c r="BT181" i="56"/>
  <c r="BS181" i="56"/>
  <c r="BR181" i="56"/>
  <c r="BQ181" i="56"/>
  <c r="BP181" i="56"/>
  <c r="BO181" i="56"/>
  <c r="BN181" i="56"/>
  <c r="BT180" i="56"/>
  <c r="BS180" i="56"/>
  <c r="BR180" i="56"/>
  <c r="BQ180" i="56"/>
  <c r="BP180" i="56"/>
  <c r="BO180" i="56"/>
  <c r="BN180" i="56"/>
  <c r="BT179" i="56"/>
  <c r="BS179" i="56"/>
  <c r="BR179" i="56"/>
  <c r="BQ179" i="56"/>
  <c r="BP179" i="56"/>
  <c r="BO179" i="56"/>
  <c r="BN179" i="56"/>
  <c r="BT178" i="56"/>
  <c r="BS178" i="56"/>
  <c r="BR178" i="56"/>
  <c r="BQ178" i="56"/>
  <c r="BP178" i="56"/>
  <c r="BO178" i="56"/>
  <c r="BN178" i="56"/>
  <c r="BT177" i="56"/>
  <c r="BS177" i="56"/>
  <c r="BR177" i="56"/>
  <c r="BQ177" i="56"/>
  <c r="BP177" i="56"/>
  <c r="BO177" i="56"/>
  <c r="BN177" i="56"/>
  <c r="BT176" i="56"/>
  <c r="BS176" i="56"/>
  <c r="BR176" i="56"/>
  <c r="BQ176" i="56"/>
  <c r="BP176" i="56"/>
  <c r="BO176" i="56"/>
  <c r="BN176" i="56"/>
  <c r="BT175" i="56"/>
  <c r="BS175" i="56"/>
  <c r="BR175" i="56"/>
  <c r="BQ175" i="56"/>
  <c r="BP175" i="56"/>
  <c r="BO175" i="56"/>
  <c r="BN175" i="56"/>
  <c r="BT174" i="56"/>
  <c r="BS174" i="56"/>
  <c r="BR174" i="56"/>
  <c r="BQ174" i="56"/>
  <c r="BP174" i="56"/>
  <c r="BO174" i="56"/>
  <c r="BN174" i="56"/>
  <c r="BT173" i="56"/>
  <c r="BS173" i="56"/>
  <c r="BR173" i="56"/>
  <c r="BQ173" i="56"/>
  <c r="BP173" i="56"/>
  <c r="BO173" i="56"/>
  <c r="BN173" i="56"/>
  <c r="BT172" i="56"/>
  <c r="BS172" i="56"/>
  <c r="BR172" i="56"/>
  <c r="BQ172" i="56"/>
  <c r="BP172" i="56"/>
  <c r="BO172" i="56"/>
  <c r="BN172" i="56"/>
  <c r="BT171" i="56"/>
  <c r="BS171" i="56"/>
  <c r="BR171" i="56"/>
  <c r="BQ171" i="56"/>
  <c r="BP171" i="56"/>
  <c r="BO171" i="56"/>
  <c r="BN171" i="56"/>
  <c r="BT170" i="56"/>
  <c r="BS170" i="56"/>
  <c r="BR170" i="56"/>
  <c r="BQ170" i="56"/>
  <c r="BP170" i="56"/>
  <c r="BO170" i="56"/>
  <c r="BN170" i="56"/>
  <c r="BT169" i="56"/>
  <c r="BS169" i="56"/>
  <c r="BR169" i="56"/>
  <c r="BQ169" i="56"/>
  <c r="BP169" i="56"/>
  <c r="BO169" i="56"/>
  <c r="BN169" i="56"/>
  <c r="BT168" i="56"/>
  <c r="BS168" i="56"/>
  <c r="BR168" i="56"/>
  <c r="BQ168" i="56"/>
  <c r="BP168" i="56"/>
  <c r="BO168" i="56"/>
  <c r="BN168" i="56"/>
  <c r="BT167" i="56"/>
  <c r="BS167" i="56"/>
  <c r="BR167" i="56"/>
  <c r="BQ167" i="56"/>
  <c r="BP167" i="56"/>
  <c r="BO167" i="56"/>
  <c r="BN167" i="56"/>
  <c r="BT166" i="56"/>
  <c r="BS166" i="56"/>
  <c r="BR166" i="56"/>
  <c r="BQ166" i="56"/>
  <c r="BP166" i="56"/>
  <c r="BO166" i="56"/>
  <c r="BN166" i="56"/>
  <c r="BT165" i="56"/>
  <c r="BS165" i="56"/>
  <c r="BR165" i="56"/>
  <c r="BQ165" i="56"/>
  <c r="BP165" i="56"/>
  <c r="BO165" i="56"/>
  <c r="BN165" i="56"/>
  <c r="BT164" i="56"/>
  <c r="BS164" i="56"/>
  <c r="BR164" i="56"/>
  <c r="BQ164" i="56"/>
  <c r="BP164" i="56"/>
  <c r="BO164" i="56"/>
  <c r="BN164" i="56"/>
  <c r="BT163" i="56"/>
  <c r="BS163" i="56"/>
  <c r="BR163" i="56"/>
  <c r="BQ163" i="56"/>
  <c r="BP163" i="56"/>
  <c r="BO163" i="56"/>
  <c r="BN163" i="56"/>
  <c r="BT162" i="56"/>
  <c r="BS162" i="56"/>
  <c r="BR162" i="56"/>
  <c r="BQ162" i="56"/>
  <c r="BP162" i="56"/>
  <c r="BO162" i="56"/>
  <c r="BN162" i="56"/>
  <c r="BT161" i="56"/>
  <c r="BS161" i="56"/>
  <c r="BR161" i="56"/>
  <c r="BQ161" i="56"/>
  <c r="BP161" i="56"/>
  <c r="BO161" i="56"/>
  <c r="BN161" i="56"/>
  <c r="BT160" i="56"/>
  <c r="BS160" i="56"/>
  <c r="BR160" i="56"/>
  <c r="BQ160" i="56"/>
  <c r="BP160" i="56"/>
  <c r="BO160" i="56"/>
  <c r="BN160" i="56"/>
  <c r="BT159" i="56"/>
  <c r="BS159" i="56"/>
  <c r="BR159" i="56"/>
  <c r="BQ159" i="56"/>
  <c r="BP159" i="56"/>
  <c r="BO159" i="56"/>
  <c r="BN159" i="56"/>
  <c r="BT158" i="56"/>
  <c r="BS158" i="56"/>
  <c r="BR158" i="56"/>
  <c r="BQ158" i="56"/>
  <c r="BP158" i="56"/>
  <c r="BO158" i="56"/>
  <c r="BN158" i="56"/>
  <c r="BT157" i="56"/>
  <c r="BS157" i="56"/>
  <c r="BR157" i="56"/>
  <c r="BQ157" i="56"/>
  <c r="BP157" i="56"/>
  <c r="BO157" i="56"/>
  <c r="BN157" i="56"/>
  <c r="BT156" i="56"/>
  <c r="BS156" i="56"/>
  <c r="BR156" i="56"/>
  <c r="BQ156" i="56"/>
  <c r="BP156" i="56"/>
  <c r="BO156" i="56"/>
  <c r="BN156" i="56"/>
  <c r="BT155" i="56"/>
  <c r="BS155" i="56"/>
  <c r="BR155" i="56"/>
  <c r="BQ155" i="56"/>
  <c r="BP155" i="56"/>
  <c r="BO155" i="56"/>
  <c r="BN155" i="56"/>
  <c r="BT154" i="56"/>
  <c r="BS154" i="56"/>
  <c r="BR154" i="56"/>
  <c r="BQ154" i="56"/>
  <c r="BP154" i="56"/>
  <c r="BO154" i="56"/>
  <c r="BN154" i="56"/>
  <c r="BT153" i="56"/>
  <c r="BS153" i="56"/>
  <c r="BR153" i="56"/>
  <c r="BQ153" i="56"/>
  <c r="BP153" i="56"/>
  <c r="BO153" i="56"/>
  <c r="BN153" i="56"/>
  <c r="BT152" i="56"/>
  <c r="BS152" i="56"/>
  <c r="BR152" i="56"/>
  <c r="BQ152" i="56"/>
  <c r="BP152" i="56"/>
  <c r="BO152" i="56"/>
  <c r="BN152" i="56"/>
  <c r="BT151" i="56"/>
  <c r="BS151" i="56"/>
  <c r="BR151" i="56"/>
  <c r="BQ151" i="56"/>
  <c r="BP151" i="56"/>
  <c r="BO151" i="56"/>
  <c r="BN151" i="56"/>
  <c r="BT150" i="56"/>
  <c r="BS150" i="56"/>
  <c r="BR150" i="56"/>
  <c r="BQ150" i="56"/>
  <c r="BP150" i="56"/>
  <c r="BO150" i="56"/>
  <c r="BN150" i="56"/>
  <c r="BT149" i="56"/>
  <c r="BS149" i="56"/>
  <c r="BR149" i="56"/>
  <c r="BQ149" i="56"/>
  <c r="BP149" i="56"/>
  <c r="BO149" i="56"/>
  <c r="BN149" i="56"/>
  <c r="BT148" i="56"/>
  <c r="BS148" i="56"/>
  <c r="BR148" i="56"/>
  <c r="BQ148" i="56"/>
  <c r="BP148" i="56"/>
  <c r="BO148" i="56"/>
  <c r="BN148" i="56"/>
  <c r="BT147" i="56"/>
  <c r="BS147" i="56"/>
  <c r="BR147" i="56"/>
  <c r="BQ147" i="56"/>
  <c r="BP147" i="56"/>
  <c r="BO147" i="56"/>
  <c r="BN147" i="56"/>
  <c r="BT146" i="56"/>
  <c r="BS146" i="56"/>
  <c r="BR146" i="56"/>
  <c r="BQ146" i="56"/>
  <c r="BP146" i="56"/>
  <c r="BO146" i="56"/>
  <c r="BN146" i="56"/>
  <c r="BT145" i="56"/>
  <c r="BS145" i="56"/>
  <c r="BR145" i="56"/>
  <c r="BQ145" i="56"/>
  <c r="BP145" i="56"/>
  <c r="BO145" i="56"/>
  <c r="BN145" i="56"/>
  <c r="BT144" i="56"/>
  <c r="BS144" i="56"/>
  <c r="BR144" i="56"/>
  <c r="BQ144" i="56"/>
  <c r="BP144" i="56"/>
  <c r="BO144" i="56"/>
  <c r="BN144" i="56"/>
  <c r="BT143" i="56"/>
  <c r="BS143" i="56"/>
  <c r="BR143" i="56"/>
  <c r="BQ143" i="56"/>
  <c r="BP143" i="56"/>
  <c r="BO143" i="56"/>
  <c r="BN143" i="56"/>
  <c r="BT142" i="56"/>
  <c r="BS142" i="56"/>
  <c r="BR142" i="56"/>
  <c r="BQ142" i="56"/>
  <c r="BP142" i="56"/>
  <c r="BO142" i="56"/>
  <c r="BN142" i="56"/>
  <c r="BT141" i="56"/>
  <c r="BS141" i="56"/>
  <c r="BR141" i="56"/>
  <c r="BQ141" i="56"/>
  <c r="BP141" i="56"/>
  <c r="BO141" i="56"/>
  <c r="BN141" i="56"/>
  <c r="BT140" i="56"/>
  <c r="BS140" i="56"/>
  <c r="BR140" i="56"/>
  <c r="BQ140" i="56"/>
  <c r="BP140" i="56"/>
  <c r="BO140" i="56"/>
  <c r="BN140" i="56"/>
  <c r="BT139" i="56"/>
  <c r="BS139" i="56"/>
  <c r="BR139" i="56"/>
  <c r="BQ139" i="56"/>
  <c r="BP139" i="56"/>
  <c r="BO139" i="56"/>
  <c r="BN139" i="56"/>
  <c r="BT138" i="56"/>
  <c r="BS138" i="56"/>
  <c r="BR138" i="56"/>
  <c r="BQ138" i="56"/>
  <c r="BP138" i="56"/>
  <c r="BO138" i="56"/>
  <c r="BN138" i="56"/>
  <c r="BT137" i="56"/>
  <c r="BS137" i="56"/>
  <c r="BR137" i="56"/>
  <c r="BQ137" i="56"/>
  <c r="BP137" i="56"/>
  <c r="BO137" i="56"/>
  <c r="BN137" i="56"/>
  <c r="BT136" i="56"/>
  <c r="BS136" i="56"/>
  <c r="BR136" i="56"/>
  <c r="BQ136" i="56"/>
  <c r="BP136" i="56"/>
  <c r="BO136" i="56"/>
  <c r="BN136" i="56"/>
  <c r="BT135" i="56"/>
  <c r="BS135" i="56"/>
  <c r="BR135" i="56"/>
  <c r="BQ135" i="56"/>
  <c r="BP135" i="56"/>
  <c r="BO135" i="56"/>
  <c r="BN135" i="56"/>
  <c r="BT134" i="56"/>
  <c r="BS134" i="56"/>
  <c r="BR134" i="56"/>
  <c r="BQ134" i="56"/>
  <c r="BP134" i="56"/>
  <c r="BO134" i="56"/>
  <c r="BN134" i="56"/>
  <c r="BT133" i="56"/>
  <c r="BS133" i="56"/>
  <c r="BR133" i="56"/>
  <c r="BQ133" i="56"/>
  <c r="BP133" i="56"/>
  <c r="BO133" i="56"/>
  <c r="BN133" i="56"/>
  <c r="BT132" i="56"/>
  <c r="BS132" i="56"/>
  <c r="BR132" i="56"/>
  <c r="BQ132" i="56"/>
  <c r="BP132" i="56"/>
  <c r="BO132" i="56"/>
  <c r="BN132" i="56"/>
  <c r="BT131" i="56"/>
  <c r="BS131" i="56"/>
  <c r="BR131" i="56"/>
  <c r="BQ131" i="56"/>
  <c r="BP131" i="56"/>
  <c r="BO131" i="56"/>
  <c r="BN131" i="56"/>
  <c r="BT130" i="56"/>
  <c r="BS130" i="56"/>
  <c r="BR130" i="56"/>
  <c r="BQ130" i="56"/>
  <c r="BP130" i="56"/>
  <c r="BO130" i="56"/>
  <c r="BN130" i="56"/>
  <c r="BT129" i="56"/>
  <c r="BS129" i="56"/>
  <c r="BR129" i="56"/>
  <c r="BQ129" i="56"/>
  <c r="BP129" i="56"/>
  <c r="BO129" i="56"/>
  <c r="BN129" i="56"/>
  <c r="BT128" i="56"/>
  <c r="BS128" i="56"/>
  <c r="BR128" i="56"/>
  <c r="BQ128" i="56"/>
  <c r="BP128" i="56"/>
  <c r="BO128" i="56"/>
  <c r="BN128" i="56"/>
  <c r="BT127" i="56"/>
  <c r="BS127" i="56"/>
  <c r="BR127" i="56"/>
  <c r="BQ127" i="56"/>
  <c r="BP127" i="56"/>
  <c r="BO127" i="56"/>
  <c r="BN127" i="56"/>
  <c r="BT126" i="56"/>
  <c r="BS126" i="56"/>
  <c r="BR126" i="56"/>
  <c r="BQ126" i="56"/>
  <c r="BP126" i="56"/>
  <c r="BO126" i="56"/>
  <c r="BN126" i="56"/>
  <c r="BT125" i="56"/>
  <c r="BS125" i="56"/>
  <c r="BR125" i="56"/>
  <c r="BQ125" i="56"/>
  <c r="BP125" i="56"/>
  <c r="BO125" i="56"/>
  <c r="BN125" i="56"/>
  <c r="BT124" i="56"/>
  <c r="BS124" i="56"/>
  <c r="BR124" i="56"/>
  <c r="BQ124" i="56"/>
  <c r="BP124" i="56"/>
  <c r="BO124" i="56"/>
  <c r="BN124" i="56"/>
  <c r="BT123" i="56"/>
  <c r="BS123" i="56"/>
  <c r="BR123" i="56"/>
  <c r="BQ123" i="56"/>
  <c r="BP123" i="56"/>
  <c r="BO123" i="56"/>
  <c r="BN123" i="56"/>
  <c r="BT122" i="56"/>
  <c r="BS122" i="56"/>
  <c r="BR122" i="56"/>
  <c r="BQ122" i="56"/>
  <c r="BP122" i="56"/>
  <c r="BO122" i="56"/>
  <c r="BN122" i="56"/>
  <c r="BT121" i="56"/>
  <c r="BS121" i="56"/>
  <c r="BR121" i="56"/>
  <c r="BQ121" i="56"/>
  <c r="BP121" i="56"/>
  <c r="BO121" i="56"/>
  <c r="BN121" i="56"/>
  <c r="BT120" i="56"/>
  <c r="BS120" i="56"/>
  <c r="BR120" i="56"/>
  <c r="BQ120" i="56"/>
  <c r="BP120" i="56"/>
  <c r="BO120" i="56"/>
  <c r="BN120" i="56"/>
  <c r="BT119" i="56"/>
  <c r="BS119" i="56"/>
  <c r="BR119" i="56"/>
  <c r="BQ119" i="56"/>
  <c r="BP119" i="56"/>
  <c r="BO119" i="56"/>
  <c r="BN119" i="56"/>
  <c r="BT118" i="56"/>
  <c r="BS118" i="56"/>
  <c r="BR118" i="56"/>
  <c r="BQ118" i="56"/>
  <c r="BP118" i="56"/>
  <c r="BO118" i="56"/>
  <c r="BN118" i="56"/>
  <c r="BT117" i="56"/>
  <c r="BS117" i="56"/>
  <c r="BR117" i="56"/>
  <c r="BQ117" i="56"/>
  <c r="BP117" i="56"/>
  <c r="BO117" i="56"/>
  <c r="BN117" i="56"/>
  <c r="BT116" i="56"/>
  <c r="BS116" i="56"/>
  <c r="BR116" i="56"/>
  <c r="BQ116" i="56"/>
  <c r="BP116" i="56"/>
  <c r="BO116" i="56"/>
  <c r="BN116" i="56"/>
  <c r="BT115" i="56"/>
  <c r="BS115" i="56"/>
  <c r="BR115" i="56"/>
  <c r="BQ115" i="56"/>
  <c r="BP115" i="56"/>
  <c r="BO115" i="56"/>
  <c r="BN115" i="56"/>
  <c r="BT114" i="56"/>
  <c r="BS114" i="56"/>
  <c r="BR114" i="56"/>
  <c r="BQ114" i="56"/>
  <c r="BP114" i="56"/>
  <c r="BO114" i="56"/>
  <c r="BN114" i="56"/>
  <c r="BT113" i="56"/>
  <c r="BS113" i="56"/>
  <c r="BR113" i="56"/>
  <c r="BQ113" i="56"/>
  <c r="BP113" i="56"/>
  <c r="BO113" i="56"/>
  <c r="BN113" i="56"/>
  <c r="BT112" i="56"/>
  <c r="BS112" i="56"/>
  <c r="BR112" i="56"/>
  <c r="BQ112" i="56"/>
  <c r="BP112" i="56"/>
  <c r="BO112" i="56"/>
  <c r="BN112" i="56"/>
  <c r="BT111" i="56"/>
  <c r="BS111" i="56"/>
  <c r="BR111" i="56"/>
  <c r="BQ111" i="56"/>
  <c r="BP111" i="56"/>
  <c r="BO111" i="56"/>
  <c r="BN111" i="56"/>
  <c r="BT110" i="56"/>
  <c r="BS110" i="56"/>
  <c r="BR110" i="56"/>
  <c r="BQ110" i="56"/>
  <c r="BP110" i="56"/>
  <c r="BO110" i="56"/>
  <c r="BN110" i="56"/>
  <c r="BT109" i="56"/>
  <c r="BS109" i="56"/>
  <c r="BR109" i="56"/>
  <c r="BQ109" i="56"/>
  <c r="BP109" i="56"/>
  <c r="BO109" i="56"/>
  <c r="BN109" i="56"/>
  <c r="BT108" i="56"/>
  <c r="BS108" i="56"/>
  <c r="BR108" i="56"/>
  <c r="BQ108" i="56"/>
  <c r="BP108" i="56"/>
  <c r="BO108" i="56"/>
  <c r="BN108" i="56"/>
  <c r="BT107" i="56"/>
  <c r="BS107" i="56"/>
  <c r="BR107" i="56"/>
  <c r="BQ107" i="56"/>
  <c r="BP107" i="56"/>
  <c r="BO107" i="56"/>
  <c r="BN107" i="56"/>
  <c r="BT106" i="56"/>
  <c r="BS106" i="56"/>
  <c r="BR106" i="56"/>
  <c r="BQ106" i="56"/>
  <c r="BP106" i="56"/>
  <c r="BO106" i="56"/>
  <c r="BN106" i="56"/>
  <c r="BT105" i="56"/>
  <c r="BS105" i="56"/>
  <c r="BR105" i="56"/>
  <c r="BQ105" i="56"/>
  <c r="BP105" i="56"/>
  <c r="BO105" i="56"/>
  <c r="BN105" i="56"/>
  <c r="BT104" i="56"/>
  <c r="BS104" i="56"/>
  <c r="BR104" i="56"/>
  <c r="BQ104" i="56"/>
  <c r="BP104" i="56"/>
  <c r="BO104" i="56"/>
  <c r="BN104" i="56"/>
  <c r="BT103" i="56"/>
  <c r="BS103" i="56"/>
  <c r="BR103" i="56"/>
  <c r="BQ103" i="56"/>
  <c r="BP103" i="56"/>
  <c r="BO103" i="56"/>
  <c r="BN103" i="56"/>
  <c r="BT102" i="56"/>
  <c r="BS102" i="56"/>
  <c r="BR102" i="56"/>
  <c r="BQ102" i="56"/>
  <c r="BP102" i="56"/>
  <c r="BO102" i="56"/>
  <c r="BN102" i="56"/>
  <c r="BT101" i="56"/>
  <c r="BS101" i="56"/>
  <c r="BR101" i="56"/>
  <c r="BQ101" i="56"/>
  <c r="BP101" i="56"/>
  <c r="BO101" i="56"/>
  <c r="BN101" i="56"/>
  <c r="BT100" i="56"/>
  <c r="BS100" i="56"/>
  <c r="BR100" i="56"/>
  <c r="BQ100" i="56"/>
  <c r="BP100" i="56"/>
  <c r="BO100" i="56"/>
  <c r="BN100" i="56"/>
  <c r="BT99" i="56"/>
  <c r="BS99" i="56"/>
  <c r="BR99" i="56"/>
  <c r="BQ99" i="56"/>
  <c r="BP99" i="56"/>
  <c r="BO99" i="56"/>
  <c r="BN99" i="56"/>
  <c r="BT98" i="56"/>
  <c r="BS98" i="56"/>
  <c r="BR98" i="56"/>
  <c r="BQ98" i="56"/>
  <c r="BP98" i="56"/>
  <c r="BO98" i="56"/>
  <c r="BN98" i="56"/>
  <c r="BT97" i="56"/>
  <c r="BS97" i="56"/>
  <c r="BR97" i="56"/>
  <c r="BQ97" i="56"/>
  <c r="BP97" i="56"/>
  <c r="BO97" i="56"/>
  <c r="BN97" i="56"/>
  <c r="BT96" i="56"/>
  <c r="BS96" i="56"/>
  <c r="BR96" i="56"/>
  <c r="BQ96" i="56"/>
  <c r="BP96" i="56"/>
  <c r="BO96" i="56"/>
  <c r="BN96" i="56"/>
  <c r="BT95" i="56"/>
  <c r="BS95" i="56"/>
  <c r="BR95" i="56"/>
  <c r="BQ95" i="56"/>
  <c r="BP95" i="56"/>
  <c r="BO95" i="56"/>
  <c r="BN95" i="56"/>
  <c r="BT94" i="56"/>
  <c r="BS94" i="56"/>
  <c r="BR94" i="56"/>
  <c r="BQ94" i="56"/>
  <c r="BP94" i="56"/>
  <c r="BO94" i="56"/>
  <c r="BN94" i="56"/>
  <c r="BT93" i="56"/>
  <c r="BS93" i="56"/>
  <c r="BR93" i="56"/>
  <c r="BQ93" i="56"/>
  <c r="BP93" i="56"/>
  <c r="BO93" i="56"/>
  <c r="BN93" i="56"/>
  <c r="BT92" i="56"/>
  <c r="BS92" i="56"/>
  <c r="BR92" i="56"/>
  <c r="BQ92" i="56"/>
  <c r="BP92" i="56"/>
  <c r="BO92" i="56"/>
  <c r="BN92" i="56"/>
  <c r="BT91" i="56"/>
  <c r="BS91" i="56"/>
  <c r="BR91" i="56"/>
  <c r="BQ91" i="56"/>
  <c r="BP91" i="56"/>
  <c r="BO91" i="56"/>
  <c r="BN91" i="56"/>
  <c r="BT90" i="56"/>
  <c r="BS90" i="56"/>
  <c r="BR90" i="56"/>
  <c r="BQ90" i="56"/>
  <c r="BP90" i="56"/>
  <c r="BO90" i="56"/>
  <c r="BN90" i="56"/>
  <c r="BT89" i="56"/>
  <c r="BS89" i="56"/>
  <c r="BR89" i="56"/>
  <c r="BQ89" i="56"/>
  <c r="BP89" i="56"/>
  <c r="BO89" i="56"/>
  <c r="BN89" i="56"/>
  <c r="BT88" i="56"/>
  <c r="BS88" i="56"/>
  <c r="BR88" i="56"/>
  <c r="BQ88" i="56"/>
  <c r="BP88" i="56"/>
  <c r="BO88" i="56"/>
  <c r="BN88" i="56"/>
  <c r="BT87" i="56"/>
  <c r="BS87" i="56"/>
  <c r="BR87" i="56"/>
  <c r="BQ87" i="56"/>
  <c r="BP87" i="56"/>
  <c r="BO87" i="56"/>
  <c r="BN87" i="56"/>
  <c r="BT86" i="56"/>
  <c r="BS86" i="56"/>
  <c r="BR86" i="56"/>
  <c r="BQ86" i="56"/>
  <c r="BP86" i="56"/>
  <c r="BO86" i="56"/>
  <c r="BN86" i="56"/>
  <c r="BT85" i="56"/>
  <c r="BS85" i="56"/>
  <c r="BR85" i="56"/>
  <c r="BQ85" i="56"/>
  <c r="BP85" i="56"/>
  <c r="BO85" i="56"/>
  <c r="BN85" i="56"/>
  <c r="BT84" i="56"/>
  <c r="BS84" i="56"/>
  <c r="BR84" i="56"/>
  <c r="BQ84" i="56"/>
  <c r="BP84" i="56"/>
  <c r="BO84" i="56"/>
  <c r="BN84" i="56"/>
  <c r="BT83" i="56"/>
  <c r="BS83" i="56"/>
  <c r="BR83" i="56"/>
  <c r="BQ83" i="56"/>
  <c r="BP83" i="56"/>
  <c r="BO83" i="56"/>
  <c r="BN83" i="56"/>
  <c r="BT82" i="56"/>
  <c r="BS82" i="56"/>
  <c r="BR82" i="56"/>
  <c r="BQ82" i="56"/>
  <c r="BP82" i="56"/>
  <c r="BO82" i="56"/>
  <c r="BN82" i="56"/>
  <c r="BT81" i="56"/>
  <c r="BS81" i="56"/>
  <c r="BR81" i="56"/>
  <c r="BQ81" i="56"/>
  <c r="BP81" i="56"/>
  <c r="BO81" i="56"/>
  <c r="BN81" i="56"/>
  <c r="BT80" i="56"/>
  <c r="BS80" i="56"/>
  <c r="BR80" i="56"/>
  <c r="BQ80" i="56"/>
  <c r="BP80" i="56"/>
  <c r="BO80" i="56"/>
  <c r="BN80" i="56"/>
  <c r="BT79" i="56"/>
  <c r="BS79" i="56"/>
  <c r="BR79" i="56"/>
  <c r="BQ79" i="56"/>
  <c r="BP79" i="56"/>
  <c r="BO79" i="56"/>
  <c r="BN79" i="56"/>
  <c r="BT78" i="56"/>
  <c r="BS78" i="56"/>
  <c r="BR78" i="56"/>
  <c r="BQ78" i="56"/>
  <c r="BP78" i="56"/>
  <c r="BO78" i="56"/>
  <c r="BN78" i="56"/>
  <c r="BT77" i="56"/>
  <c r="BS77" i="56"/>
  <c r="BR77" i="56"/>
  <c r="BQ77" i="56"/>
  <c r="BP77" i="56"/>
  <c r="BO77" i="56"/>
  <c r="BN77" i="56"/>
  <c r="BT76" i="56"/>
  <c r="BS76" i="56"/>
  <c r="BR76" i="56"/>
  <c r="BQ76" i="56"/>
  <c r="BP76" i="56"/>
  <c r="BO76" i="56"/>
  <c r="BN76" i="56"/>
  <c r="BT75" i="56"/>
  <c r="BS75" i="56"/>
  <c r="BR75" i="56"/>
  <c r="BQ75" i="56"/>
  <c r="BP75" i="56"/>
  <c r="BO75" i="56"/>
  <c r="BN75" i="56"/>
  <c r="BT74" i="56"/>
  <c r="BS74" i="56"/>
  <c r="BR74" i="56"/>
  <c r="BQ74" i="56"/>
  <c r="BP74" i="56"/>
  <c r="BO74" i="56"/>
  <c r="BN74" i="56"/>
  <c r="BT73" i="56"/>
  <c r="BS73" i="56"/>
  <c r="BR73" i="56"/>
  <c r="BQ73" i="56"/>
  <c r="BP73" i="56"/>
  <c r="BO73" i="56"/>
  <c r="BN73" i="56"/>
  <c r="BT72" i="56"/>
  <c r="BS72" i="56"/>
  <c r="BR72" i="56"/>
  <c r="BQ72" i="56"/>
  <c r="BP72" i="56"/>
  <c r="BO72" i="56"/>
  <c r="BN72" i="56"/>
  <c r="BT71" i="56"/>
  <c r="BS71" i="56"/>
  <c r="BR71" i="56"/>
  <c r="BQ71" i="56"/>
  <c r="BP71" i="56"/>
  <c r="BO71" i="56"/>
  <c r="BN71" i="56"/>
  <c r="BT70" i="56"/>
  <c r="BS70" i="56"/>
  <c r="BR70" i="56"/>
  <c r="BQ70" i="56"/>
  <c r="BP70" i="56"/>
  <c r="BO70" i="56"/>
  <c r="BN70" i="56"/>
  <c r="BT69" i="56"/>
  <c r="BS69" i="56"/>
  <c r="BR69" i="56"/>
  <c r="BQ69" i="56"/>
  <c r="BP69" i="56"/>
  <c r="BO69" i="56"/>
  <c r="BN69" i="56"/>
  <c r="BT68" i="56"/>
  <c r="BS68" i="56"/>
  <c r="BR68" i="56"/>
  <c r="BQ68" i="56"/>
  <c r="BP68" i="56"/>
  <c r="BO68" i="56"/>
  <c r="BN68" i="56"/>
  <c r="BT67" i="56"/>
  <c r="BS67" i="56"/>
  <c r="BR67" i="56"/>
  <c r="BQ67" i="56"/>
  <c r="BP67" i="56"/>
  <c r="BO67" i="56"/>
  <c r="BN67" i="56"/>
  <c r="BT66" i="56"/>
  <c r="BS66" i="56"/>
  <c r="BR66" i="56"/>
  <c r="BQ66" i="56"/>
  <c r="BP66" i="56"/>
  <c r="BO66" i="56"/>
  <c r="BN66" i="56"/>
  <c r="BT65" i="56"/>
  <c r="BS65" i="56"/>
  <c r="BR65" i="56"/>
  <c r="BQ65" i="56"/>
  <c r="BP65" i="56"/>
  <c r="BO65" i="56"/>
  <c r="BN65" i="56"/>
  <c r="BT64" i="56"/>
  <c r="BS64" i="56"/>
  <c r="BR64" i="56"/>
  <c r="BQ64" i="56"/>
  <c r="BP64" i="56"/>
  <c r="BO64" i="56"/>
  <c r="BN64" i="56"/>
  <c r="BT63" i="56"/>
  <c r="BS63" i="56"/>
  <c r="BR63" i="56"/>
  <c r="BQ63" i="56"/>
  <c r="BP63" i="56"/>
  <c r="BO63" i="56"/>
  <c r="BN63" i="56"/>
  <c r="BT62" i="56"/>
  <c r="BS62" i="56"/>
  <c r="BR62" i="56"/>
  <c r="BQ62" i="56"/>
  <c r="BP62" i="56"/>
  <c r="BO62" i="56"/>
  <c r="BN62" i="56"/>
  <c r="BT61" i="56"/>
  <c r="BS61" i="56"/>
  <c r="BR61" i="56"/>
  <c r="BQ61" i="56"/>
  <c r="BP61" i="56"/>
  <c r="BO61" i="56"/>
  <c r="BN61" i="56"/>
  <c r="BT60" i="56"/>
  <c r="BS60" i="56"/>
  <c r="BR60" i="56"/>
  <c r="BQ60" i="56"/>
  <c r="BP60" i="56"/>
  <c r="BO60" i="56"/>
  <c r="BN60" i="56"/>
  <c r="BT59" i="56"/>
  <c r="BS59" i="56"/>
  <c r="BR59" i="56"/>
  <c r="BQ59" i="56"/>
  <c r="BP59" i="56"/>
  <c r="BO59" i="56"/>
  <c r="BN59" i="56"/>
  <c r="BT58" i="56"/>
  <c r="BS58" i="56"/>
  <c r="BR58" i="56"/>
  <c r="BQ58" i="56"/>
  <c r="BP58" i="56"/>
  <c r="BO58" i="56"/>
  <c r="BN58" i="56"/>
  <c r="BT57" i="56"/>
  <c r="BS57" i="56"/>
  <c r="BR57" i="56"/>
  <c r="BQ57" i="56"/>
  <c r="BP57" i="56"/>
  <c r="BO57" i="56"/>
  <c r="BN57" i="56"/>
  <c r="BT56" i="56"/>
  <c r="BS56" i="56"/>
  <c r="BR56" i="56"/>
  <c r="BQ56" i="56"/>
  <c r="BP56" i="56"/>
  <c r="BO56" i="56"/>
  <c r="BN56" i="56"/>
  <c r="BT55" i="56"/>
  <c r="BS55" i="56"/>
  <c r="BR55" i="56"/>
  <c r="BQ55" i="56"/>
  <c r="BP55" i="56"/>
  <c r="BO55" i="56"/>
  <c r="BN55" i="56"/>
  <c r="BT54" i="56"/>
  <c r="BS54" i="56"/>
  <c r="BR54" i="56"/>
  <c r="BQ54" i="56"/>
  <c r="BP54" i="56"/>
  <c r="BO54" i="56"/>
  <c r="BN54" i="56"/>
  <c r="BT53" i="56"/>
  <c r="BS53" i="56"/>
  <c r="BR53" i="56"/>
  <c r="BQ53" i="56"/>
  <c r="BP53" i="56"/>
  <c r="BO53" i="56"/>
  <c r="BN53" i="56"/>
  <c r="BT52" i="56"/>
  <c r="BS52" i="56"/>
  <c r="BR52" i="56"/>
  <c r="BQ52" i="56"/>
  <c r="BP52" i="56"/>
  <c r="BO52" i="56"/>
  <c r="BN52" i="56"/>
  <c r="BT51" i="56"/>
  <c r="BS51" i="56"/>
  <c r="BR51" i="56"/>
  <c r="BQ51" i="56"/>
  <c r="BP51" i="56"/>
  <c r="BO51" i="56"/>
  <c r="BN51" i="56"/>
  <c r="BT50" i="56"/>
  <c r="BS50" i="56"/>
  <c r="BR50" i="56"/>
  <c r="BQ50" i="56"/>
  <c r="BP50" i="56"/>
  <c r="BO50" i="56"/>
  <c r="BN50" i="56"/>
  <c r="BT49" i="56"/>
  <c r="BS49" i="56"/>
  <c r="BR49" i="56"/>
  <c r="BQ49" i="56"/>
  <c r="BP49" i="56"/>
  <c r="BO49" i="56"/>
  <c r="BN49" i="56"/>
  <c r="BT48" i="56"/>
  <c r="BS48" i="56"/>
  <c r="BR48" i="56"/>
  <c r="BQ48" i="56"/>
  <c r="BP48" i="56"/>
  <c r="BO48" i="56"/>
  <c r="BN48" i="56"/>
  <c r="BT47" i="56"/>
  <c r="BS47" i="56"/>
  <c r="BR47" i="56"/>
  <c r="BQ47" i="56"/>
  <c r="BP47" i="56"/>
  <c r="BO47" i="56"/>
  <c r="BN47" i="56"/>
  <c r="BT46" i="56"/>
  <c r="BS46" i="56"/>
  <c r="BR46" i="56"/>
  <c r="BQ46" i="56"/>
  <c r="BP46" i="56"/>
  <c r="BO46" i="56"/>
  <c r="BN46" i="56"/>
  <c r="BT45" i="56"/>
  <c r="BS45" i="56"/>
  <c r="BR45" i="56"/>
  <c r="BQ45" i="56"/>
  <c r="BP45" i="56"/>
  <c r="BO45" i="56"/>
  <c r="BN45" i="56"/>
  <c r="BT44" i="56"/>
  <c r="BS44" i="56"/>
  <c r="BR44" i="56"/>
  <c r="BQ44" i="56"/>
  <c r="BP44" i="56"/>
  <c r="BO44" i="56"/>
  <c r="BN44" i="56"/>
  <c r="BT43" i="56"/>
  <c r="BS43" i="56"/>
  <c r="BR43" i="56"/>
  <c r="BQ43" i="56"/>
  <c r="BP43" i="56"/>
  <c r="BO43" i="56"/>
  <c r="BN43" i="56"/>
  <c r="BT42" i="56"/>
  <c r="BS42" i="56"/>
  <c r="BR42" i="56"/>
  <c r="BQ42" i="56"/>
  <c r="BP42" i="56"/>
  <c r="BO42" i="56"/>
  <c r="BN42" i="56"/>
  <c r="BT41" i="56"/>
  <c r="BS41" i="56"/>
  <c r="BR41" i="56"/>
  <c r="BQ41" i="56"/>
  <c r="BP41" i="56"/>
  <c r="BO41" i="56"/>
  <c r="BN41" i="56"/>
  <c r="BT40" i="56"/>
  <c r="BS40" i="56"/>
  <c r="BR40" i="56"/>
  <c r="BQ40" i="56"/>
  <c r="BP40" i="56"/>
  <c r="BO40" i="56"/>
  <c r="BN40" i="56"/>
  <c r="BT39" i="56"/>
  <c r="BS39" i="56"/>
  <c r="BR39" i="56"/>
  <c r="BQ39" i="56"/>
  <c r="BP39" i="56"/>
  <c r="BO39" i="56"/>
  <c r="BN39" i="56"/>
  <c r="BT38" i="56"/>
  <c r="BS38" i="56"/>
  <c r="BR38" i="56"/>
  <c r="BQ38" i="56"/>
  <c r="BP38" i="56"/>
  <c r="BO38" i="56"/>
  <c r="BN38" i="56"/>
  <c r="BT37" i="56"/>
  <c r="BS37" i="56"/>
  <c r="BR37" i="56"/>
  <c r="BQ37" i="56"/>
  <c r="BP37" i="56"/>
  <c r="BO37" i="56"/>
  <c r="BN37" i="56"/>
  <c r="BT36" i="56"/>
  <c r="BS36" i="56"/>
  <c r="BR36" i="56"/>
  <c r="BQ36" i="56"/>
  <c r="BP36" i="56"/>
  <c r="BO36" i="56"/>
  <c r="BN36" i="56"/>
  <c r="BT35" i="56"/>
  <c r="BS35" i="56"/>
  <c r="BR35" i="56"/>
  <c r="BQ35" i="56"/>
  <c r="BP35" i="56"/>
  <c r="BO35" i="56"/>
  <c r="BN35" i="56"/>
  <c r="BT34" i="56"/>
  <c r="BS34" i="56"/>
  <c r="BR34" i="56"/>
  <c r="BQ34" i="56"/>
  <c r="BP34" i="56"/>
  <c r="BO34" i="56"/>
  <c r="BN34" i="56"/>
  <c r="BT33" i="56"/>
  <c r="BS33" i="56"/>
  <c r="BR33" i="56"/>
  <c r="BQ33" i="56"/>
  <c r="BP33" i="56"/>
  <c r="BO33" i="56"/>
  <c r="BN33" i="56"/>
  <c r="BT32" i="56"/>
  <c r="BS32" i="56"/>
  <c r="BR32" i="56"/>
  <c r="BQ32" i="56"/>
  <c r="BP32" i="56"/>
  <c r="BO32" i="56"/>
  <c r="BN32" i="56"/>
  <c r="BT31" i="56"/>
  <c r="BS31" i="56"/>
  <c r="BR31" i="56"/>
  <c r="BQ31" i="56"/>
  <c r="BP31" i="56"/>
  <c r="BO31" i="56"/>
  <c r="BN31" i="56"/>
  <c r="BT30" i="56"/>
  <c r="BS30" i="56"/>
  <c r="BR30" i="56"/>
  <c r="BQ30" i="56"/>
  <c r="BP30" i="56"/>
  <c r="BO30" i="56"/>
  <c r="BN30" i="56"/>
  <c r="BT29" i="56"/>
  <c r="BS29" i="56"/>
  <c r="BR29" i="56"/>
  <c r="BQ29" i="56"/>
  <c r="BP29" i="56"/>
  <c r="BO29" i="56"/>
  <c r="BN29" i="56"/>
  <c r="BT28" i="56"/>
  <c r="BS28" i="56"/>
  <c r="BR28" i="56"/>
  <c r="BQ28" i="56"/>
  <c r="BP28" i="56"/>
  <c r="BO28" i="56"/>
  <c r="BN28" i="56"/>
  <c r="BT27" i="56"/>
  <c r="BS27" i="56"/>
  <c r="BR27" i="56"/>
  <c r="BQ27" i="56"/>
  <c r="BP27" i="56"/>
  <c r="BO27" i="56"/>
  <c r="BN27" i="56"/>
  <c r="BT26" i="56"/>
  <c r="BS26" i="56"/>
  <c r="BR26" i="56"/>
  <c r="BQ26" i="56"/>
  <c r="BP26" i="56"/>
  <c r="BO26" i="56"/>
  <c r="BN26" i="56"/>
  <c r="BT25" i="56"/>
  <c r="BS25" i="56"/>
  <c r="BR25" i="56"/>
  <c r="BQ25" i="56"/>
  <c r="BP25" i="56"/>
  <c r="BO25" i="56"/>
  <c r="BN25" i="56"/>
  <c r="BT24" i="56"/>
  <c r="BS24" i="56"/>
  <c r="BR24" i="56"/>
  <c r="BQ24" i="56"/>
  <c r="BP24" i="56"/>
  <c r="BO24" i="56"/>
  <c r="BN24" i="56"/>
  <c r="BT23" i="56"/>
  <c r="BS23" i="56"/>
  <c r="BR23" i="56"/>
  <c r="BQ23" i="56"/>
  <c r="BP23" i="56"/>
  <c r="BO23" i="56"/>
  <c r="BN23" i="56"/>
  <c r="BT22" i="56"/>
  <c r="BS22" i="56"/>
  <c r="BR22" i="56"/>
  <c r="BQ22" i="56"/>
  <c r="BP22" i="56"/>
  <c r="BO22" i="56"/>
  <c r="BN22" i="56"/>
  <c r="BT21" i="56"/>
  <c r="BS21" i="56"/>
  <c r="BR21" i="56"/>
  <c r="BQ21" i="56"/>
  <c r="BP21" i="56"/>
  <c r="BO21" i="56"/>
  <c r="BN21" i="56"/>
  <c r="BT20" i="56"/>
  <c r="BS20" i="56"/>
  <c r="BR20" i="56"/>
  <c r="BQ20" i="56"/>
  <c r="BP20" i="56"/>
  <c r="BO20" i="56"/>
  <c r="BN20" i="56"/>
  <c r="BT19" i="56"/>
  <c r="BS19" i="56"/>
  <c r="BR19" i="56"/>
  <c r="BQ19" i="56"/>
  <c r="BP19" i="56"/>
  <c r="BO19" i="56"/>
  <c r="BN19" i="56"/>
  <c r="BT18" i="56"/>
  <c r="BS18" i="56"/>
  <c r="BR18" i="56"/>
  <c r="BQ18" i="56"/>
  <c r="BP18" i="56"/>
  <c r="BO18" i="56"/>
  <c r="BN18" i="56"/>
  <c r="BT17" i="56"/>
  <c r="BS17" i="56"/>
  <c r="BR17" i="56"/>
  <c r="BQ17" i="56"/>
  <c r="BP17" i="56"/>
  <c r="BO17" i="56"/>
  <c r="BN17" i="56"/>
  <c r="BT16" i="56"/>
  <c r="BS16" i="56"/>
  <c r="BR16" i="56"/>
  <c r="BQ16" i="56"/>
  <c r="BP16" i="56"/>
  <c r="BO16" i="56"/>
  <c r="BN16" i="56"/>
  <c r="BT15" i="56"/>
  <c r="BS15" i="56"/>
  <c r="BR15" i="56"/>
  <c r="BQ15" i="56"/>
  <c r="BP15" i="56"/>
  <c r="BO15" i="56"/>
  <c r="BN15" i="56"/>
  <c r="BT14" i="56"/>
  <c r="BS14" i="56"/>
  <c r="BR14" i="56"/>
  <c r="BQ14" i="56"/>
  <c r="BP14" i="56"/>
  <c r="BO14" i="56"/>
  <c r="BN14" i="56"/>
  <c r="BT13" i="56"/>
  <c r="BS13" i="56"/>
  <c r="BR13" i="56"/>
  <c r="BQ13" i="56"/>
  <c r="BP13" i="56"/>
  <c r="BO13" i="56"/>
  <c r="BN13" i="56"/>
  <c r="BT12" i="56"/>
  <c r="BS12" i="56"/>
  <c r="BR12" i="56"/>
  <c r="BQ12" i="56"/>
  <c r="BP12" i="56"/>
  <c r="BO12" i="56"/>
  <c r="BN12" i="56"/>
  <c r="BT11" i="56"/>
  <c r="BS11" i="56"/>
  <c r="BR11" i="56"/>
  <c r="BQ11" i="56"/>
  <c r="BP11" i="56"/>
  <c r="BO11" i="56"/>
  <c r="BN11" i="56"/>
  <c r="BT10" i="56"/>
  <c r="BS10" i="56"/>
  <c r="BR10" i="56"/>
  <c r="BQ10" i="56"/>
  <c r="BP10" i="56"/>
  <c r="BO10" i="56"/>
  <c r="BN10" i="56"/>
  <c r="BT9" i="56"/>
  <c r="BS9" i="56"/>
  <c r="BR9" i="56"/>
  <c r="BQ9" i="56"/>
  <c r="BP9" i="56"/>
  <c r="BO9" i="56"/>
  <c r="BN9" i="56"/>
  <c r="BT8" i="56"/>
  <c r="BS8" i="56"/>
  <c r="BR8" i="56"/>
  <c r="BQ8" i="56"/>
  <c r="BP8" i="56"/>
  <c r="BO8" i="56"/>
  <c r="BN8" i="56"/>
  <c r="BT7" i="56"/>
  <c r="BS7" i="56"/>
  <c r="BR7" i="56"/>
  <c r="BQ7" i="56"/>
  <c r="BP7" i="56"/>
  <c r="BO7" i="56"/>
  <c r="BN7" i="56"/>
  <c r="BT6" i="56"/>
  <c r="BS6" i="56"/>
  <c r="BR6" i="56"/>
  <c r="BQ6" i="56"/>
  <c r="BP6" i="56"/>
  <c r="BO6" i="56"/>
  <c r="BN6" i="56"/>
  <c r="BT5" i="56"/>
  <c r="BS5" i="56"/>
  <c r="BR5" i="56"/>
  <c r="BQ5" i="56"/>
  <c r="BP5" i="56"/>
  <c r="BO5" i="56"/>
  <c r="BN5" i="56"/>
  <c r="BT4" i="56"/>
  <c r="BS4" i="56"/>
  <c r="BR4" i="56"/>
  <c r="BQ4" i="56"/>
  <c r="BP4" i="56"/>
  <c r="BO4" i="56"/>
  <c r="BN4" i="56"/>
  <c r="BT3" i="56"/>
  <c r="BS3" i="56"/>
  <c r="BR3" i="56"/>
  <c r="BQ3" i="56"/>
  <c r="BP3" i="56"/>
  <c r="BO3" i="56"/>
  <c r="BN3" i="56"/>
  <c r="O3" i="60"/>
  <c r="N3" i="60"/>
  <c r="M3" i="60"/>
  <c r="AR306" i="8"/>
  <c r="AQ306" i="8"/>
  <c r="AP306" i="8"/>
  <c r="AR305" i="8"/>
  <c r="AQ305" i="8"/>
  <c r="AP305" i="8"/>
  <c r="AR304" i="8"/>
  <c r="AQ304" i="8"/>
  <c r="AP304" i="8"/>
  <c r="AT298" i="8"/>
  <c r="AS298" i="8"/>
  <c r="AR298" i="8"/>
  <c r="AQ298" i="8"/>
  <c r="AP298" i="8"/>
  <c r="AT297" i="8"/>
  <c r="AS297" i="8"/>
  <c r="AR297" i="8"/>
  <c r="AQ297" i="8"/>
  <c r="AP297" i="8"/>
  <c r="AT296" i="8"/>
  <c r="AS296" i="8"/>
  <c r="AR296" i="8"/>
  <c r="AQ296" i="8"/>
  <c r="AP296" i="8"/>
  <c r="AT295" i="8"/>
  <c r="AS295" i="8"/>
  <c r="AR295" i="8"/>
  <c r="AQ295" i="8"/>
  <c r="AT294" i="8"/>
  <c r="AS294" i="8"/>
  <c r="AR294" i="8"/>
  <c r="AQ294" i="8"/>
  <c r="AH561" i="56" l="1"/>
  <c r="AP561" i="56" s="1"/>
  <c r="AN557" i="56"/>
  <c r="AD557" i="56" a="1"/>
  <c r="AD557" i="56" s="1"/>
  <c r="AN548" i="56"/>
  <c r="AD548" i="56" a="1"/>
  <c r="AD548" i="56" s="1"/>
  <c r="AN547" i="56"/>
  <c r="AE549" i="56" a="1"/>
  <c r="AE549" i="56" s="1"/>
  <c r="AN556" i="56"/>
  <c r="AE558" i="56" a="1"/>
  <c r="AE558" i="56" s="1"/>
  <c r="AG551" i="56" a="1"/>
  <c r="AG551" i="56" s="1"/>
  <c r="AO551" i="56" s="1"/>
  <c r="AK547" i="56" a="1"/>
  <c r="AK547" i="56" s="1"/>
  <c r="AP550" i="56"/>
  <c r="AK556" i="56" a="1"/>
  <c r="AK556" i="56" s="1"/>
  <c r="AQ551" i="56"/>
  <c r="AF550" i="56" a="1"/>
  <c r="AF559" i="56" a="1"/>
  <c r="AG560" i="56" a="1"/>
  <c r="K18" i="27"/>
  <c r="K17" i="27"/>
  <c r="AO552" i="56" l="1"/>
  <c r="AL549" i="56"/>
  <c r="AL552" i="56"/>
  <c r="AL551" i="56"/>
  <c r="AL550" i="56"/>
  <c r="AF550" i="56"/>
  <c r="AN550" i="56" s="1"/>
  <c r="AN552" i="56"/>
  <c r="AN551" i="56"/>
  <c r="AL548" i="56"/>
  <c r="AM549" i="56"/>
  <c r="AM552" i="56"/>
  <c r="AM551" i="56"/>
  <c r="AM550" i="56"/>
  <c r="AL557" i="56"/>
  <c r="AM561" i="56"/>
  <c r="AM559" i="56"/>
  <c r="AM560" i="56"/>
  <c r="AM558" i="56"/>
  <c r="AL558" i="56"/>
  <c r="AL561" i="56"/>
  <c r="AL559" i="56"/>
  <c r="AL560" i="56"/>
  <c r="AF559" i="56"/>
  <c r="AN559" i="56" s="1"/>
  <c r="AN560" i="56"/>
  <c r="AN561" i="56"/>
  <c r="AG560" i="56"/>
  <c r="AO560" i="56" s="1"/>
  <c r="AO561" i="56"/>
  <c r="AH25" i="9"/>
  <c r="AG25" i="9"/>
  <c r="AF25" i="9"/>
  <c r="AH24" i="9"/>
  <c r="AG24" i="9"/>
  <c r="AF24" i="9"/>
  <c r="AE25" i="9"/>
  <c r="AD25" i="9"/>
  <c r="AC25" i="9"/>
  <c r="AB25" i="9"/>
  <c r="AA25" i="9"/>
  <c r="Z25" i="9"/>
  <c r="Y25" i="9"/>
  <c r="X25" i="9"/>
  <c r="W25" i="9"/>
  <c r="V25" i="9"/>
  <c r="AE24" i="9"/>
  <c r="AD24" i="9"/>
  <c r="AC24" i="9"/>
  <c r="AB24" i="9"/>
  <c r="AA24" i="9"/>
  <c r="Z24" i="9"/>
  <c r="Y24" i="9"/>
  <c r="X24" i="9"/>
  <c r="W24" i="9"/>
  <c r="V24" i="9"/>
  <c r="U25" i="9"/>
  <c r="U24" i="9"/>
  <c r="AE23" i="9"/>
  <c r="AD23" i="9"/>
  <c r="AC23" i="9"/>
  <c r="AB23" i="9"/>
  <c r="AA23" i="9"/>
  <c r="Z23" i="9"/>
  <c r="Y23" i="9"/>
  <c r="X23" i="9"/>
  <c r="W23" i="9"/>
  <c r="V23" i="9"/>
  <c r="U23" i="9"/>
  <c r="AE22" i="9"/>
  <c r="AD22" i="9"/>
  <c r="AC22" i="9"/>
  <c r="AB22" i="9"/>
  <c r="AA22" i="9"/>
  <c r="Z22" i="9"/>
  <c r="Y22" i="9"/>
  <c r="X22" i="9"/>
  <c r="W22" i="9"/>
  <c r="V22" i="9"/>
  <c r="U22" i="9"/>
  <c r="AE21" i="9"/>
  <c r="AD21" i="9"/>
  <c r="AC21" i="9"/>
  <c r="AB21" i="9"/>
  <c r="AA21" i="9"/>
  <c r="Z21" i="9"/>
  <c r="Y21" i="9"/>
  <c r="X21" i="9"/>
  <c r="W21" i="9"/>
  <c r="V21" i="9"/>
  <c r="Q67" i="9"/>
  <c r="P67" i="9"/>
  <c r="O67" i="9"/>
  <c r="N67" i="9"/>
  <c r="M67" i="9"/>
  <c r="L67" i="9"/>
  <c r="K67" i="9"/>
  <c r="J67" i="9"/>
  <c r="I67" i="9"/>
  <c r="H67" i="9"/>
  <c r="G67" i="9"/>
  <c r="U21" i="9"/>
  <c r="U78" i="9"/>
  <c r="AD76" i="9"/>
  <c r="V76" i="9"/>
  <c r="W76" i="9"/>
  <c r="X76" i="9"/>
  <c r="Y76" i="9"/>
  <c r="Z76" i="9"/>
  <c r="AA76" i="9"/>
  <c r="AB76" i="9"/>
  <c r="AC76" i="9"/>
  <c r="U76" i="9"/>
  <c r="V19" i="9"/>
  <c r="AA18" i="9"/>
  <c r="AB18" i="9"/>
  <c r="AC18" i="9"/>
  <c r="AD18" i="9"/>
  <c r="AE18" i="9"/>
  <c r="W18" i="9"/>
  <c r="X18" i="9"/>
  <c r="Y18" i="9"/>
  <c r="Z18" i="9"/>
  <c r="V18" i="9"/>
  <c r="I22" i="19"/>
  <c r="H22" i="19"/>
  <c r="I19" i="19"/>
  <c r="H19" i="19"/>
  <c r="D23" i="19"/>
  <c r="D22" i="19"/>
  <c r="D21" i="19"/>
  <c r="D20" i="19"/>
  <c r="D19" i="19"/>
  <c r="D18" i="19"/>
  <c r="AS523" i="56"/>
  <c r="AS522" i="56"/>
  <c r="AS521" i="56"/>
  <c r="AS520" i="56"/>
  <c r="AS519" i="56"/>
  <c r="AS518" i="56"/>
  <c r="AS517" i="56"/>
  <c r="AS516" i="56"/>
  <c r="AS515" i="56"/>
  <c r="AS514" i="56"/>
  <c r="AS513" i="56"/>
  <c r="AS512" i="56"/>
  <c r="AS511" i="56"/>
  <c r="AS510" i="56"/>
  <c r="AS509" i="56"/>
  <c r="AS508" i="56"/>
  <c r="AS507" i="56"/>
  <c r="AS506" i="56"/>
  <c r="AS505" i="56"/>
  <c r="AS504" i="56"/>
  <c r="AS503" i="56"/>
  <c r="AS502" i="56"/>
  <c r="AS501" i="56"/>
  <c r="AS500" i="56"/>
  <c r="AS499" i="56"/>
  <c r="AS498" i="56"/>
  <c r="AS497" i="56"/>
  <c r="AS496" i="56"/>
  <c r="AS495" i="56"/>
  <c r="AS494" i="56"/>
  <c r="AS493" i="56"/>
  <c r="AS492" i="56"/>
  <c r="AS491" i="56"/>
  <c r="AS490" i="56"/>
  <c r="AS489" i="56"/>
  <c r="AS488" i="56"/>
  <c r="AS487" i="56"/>
  <c r="AS486" i="56"/>
  <c r="AS485" i="56"/>
  <c r="AS484" i="56"/>
  <c r="AS483" i="56"/>
  <c r="AS482" i="56"/>
  <c r="AS481" i="56"/>
  <c r="AS480" i="56"/>
  <c r="AS479" i="56"/>
  <c r="AS478" i="56"/>
  <c r="AS477" i="56"/>
  <c r="AS476" i="56"/>
  <c r="AS475" i="56"/>
  <c r="AS474" i="56"/>
  <c r="AS473" i="56"/>
  <c r="AS472" i="56"/>
  <c r="AS471" i="56"/>
  <c r="AS470" i="56"/>
  <c r="AS469" i="56"/>
  <c r="AS468" i="56"/>
  <c r="AS467" i="56"/>
  <c r="AS466" i="56"/>
  <c r="AS465" i="56"/>
  <c r="AS464" i="56"/>
  <c r="AS463" i="56"/>
  <c r="AS462" i="56"/>
  <c r="AS461" i="56"/>
  <c r="AS460" i="56"/>
  <c r="AS459" i="56"/>
  <c r="AS458" i="56"/>
  <c r="AS457" i="56"/>
  <c r="AS456" i="56"/>
  <c r="AS455" i="56"/>
  <c r="AS454" i="56"/>
  <c r="AS453" i="56"/>
  <c r="AS452" i="56"/>
  <c r="AS451" i="56"/>
  <c r="AS450" i="56"/>
  <c r="AS449" i="56"/>
  <c r="AS448" i="56"/>
  <c r="AS447" i="56"/>
  <c r="AS446" i="56"/>
  <c r="AS445" i="56"/>
  <c r="AS444" i="56"/>
  <c r="AS443" i="56"/>
  <c r="AS442" i="56"/>
  <c r="AS441" i="56"/>
  <c r="AS440" i="56"/>
  <c r="AS439" i="56"/>
  <c r="AS438" i="56"/>
  <c r="AS437" i="56"/>
  <c r="AS436" i="56"/>
  <c r="AS435" i="56"/>
  <c r="AS434" i="56"/>
  <c r="AS433" i="56"/>
  <c r="AS432" i="56"/>
  <c r="AS431" i="56"/>
  <c r="AS430" i="56"/>
  <c r="AS429" i="56"/>
  <c r="AS428" i="56"/>
  <c r="AS427" i="56"/>
  <c r="AS426" i="56"/>
  <c r="AS425" i="56"/>
  <c r="AS424" i="56"/>
  <c r="AS423" i="56"/>
  <c r="AS422" i="56"/>
  <c r="AS421" i="56"/>
  <c r="AS420" i="56"/>
  <c r="AS419" i="56"/>
  <c r="AS418" i="56"/>
  <c r="AS417" i="56"/>
  <c r="AS416" i="56"/>
  <c r="AS415" i="56"/>
  <c r="AS414" i="56"/>
  <c r="AS413" i="56"/>
  <c r="AS412" i="56"/>
  <c r="AS411" i="56"/>
  <c r="AS410" i="56"/>
  <c r="AS409" i="56"/>
  <c r="AS408" i="56"/>
  <c r="AS407" i="56"/>
  <c r="AS406" i="56"/>
  <c r="AS405" i="56"/>
  <c r="AS404" i="56"/>
  <c r="AS403" i="56"/>
  <c r="AS402" i="56"/>
  <c r="AS401" i="56"/>
  <c r="AS400" i="56"/>
  <c r="AS399" i="56"/>
  <c r="AS398" i="56"/>
  <c r="AS397" i="56"/>
  <c r="AS396" i="56"/>
  <c r="AS395" i="56"/>
  <c r="AS394" i="56"/>
  <c r="AS393" i="56"/>
  <c r="AS392" i="56"/>
  <c r="AS391" i="56"/>
  <c r="AS390" i="56"/>
  <c r="AS389" i="56"/>
  <c r="AS388" i="56"/>
  <c r="AS387" i="56"/>
  <c r="AS386" i="56"/>
  <c r="AS385" i="56"/>
  <c r="AS384" i="56"/>
  <c r="AS383" i="56"/>
  <c r="AS382" i="56"/>
  <c r="AS381" i="56"/>
  <c r="AS380" i="56"/>
  <c r="AS379" i="56"/>
  <c r="AS378" i="56"/>
  <c r="AS377" i="56"/>
  <c r="AS376" i="56"/>
  <c r="AS375" i="56"/>
  <c r="AS374" i="56"/>
  <c r="AS373" i="56"/>
  <c r="AS372" i="56"/>
  <c r="AS371" i="56"/>
  <c r="AS370" i="56"/>
  <c r="AS369" i="56"/>
  <c r="AS368" i="56"/>
  <c r="AS367" i="56"/>
  <c r="AS366" i="56"/>
  <c r="AS365" i="56"/>
  <c r="AS364" i="56"/>
  <c r="AS363" i="56"/>
  <c r="AS362" i="56"/>
  <c r="AS361" i="56"/>
  <c r="AS360" i="56"/>
  <c r="AS359" i="56"/>
  <c r="AS358" i="56"/>
  <c r="AS357" i="56"/>
  <c r="AS356" i="56"/>
  <c r="AS355" i="56"/>
  <c r="AS354" i="56"/>
  <c r="AS353" i="56"/>
  <c r="AS352" i="56"/>
  <c r="AS351" i="56"/>
  <c r="AS350" i="56"/>
  <c r="AS349" i="56"/>
  <c r="AS348" i="56"/>
  <c r="AS347" i="56"/>
  <c r="AS346" i="56"/>
  <c r="AS345" i="56"/>
  <c r="AS344" i="56"/>
  <c r="AS343" i="56"/>
  <c r="AS342" i="56"/>
  <c r="AS341" i="56"/>
  <c r="AS340" i="56"/>
  <c r="AS339" i="56"/>
  <c r="AS338" i="56"/>
  <c r="AS337" i="56"/>
  <c r="AS336" i="56"/>
  <c r="AS335" i="56"/>
  <c r="AS334" i="56"/>
  <c r="AS333" i="56"/>
  <c r="AS332" i="56"/>
  <c r="AS331" i="56"/>
  <c r="AS330" i="56"/>
  <c r="AS329" i="56"/>
  <c r="AS328" i="56"/>
  <c r="AS327" i="56"/>
  <c r="AS326" i="56"/>
  <c r="AS325" i="56"/>
  <c r="AS324" i="56"/>
  <c r="AS323" i="56"/>
  <c r="AS322" i="56"/>
  <c r="AS321" i="56"/>
  <c r="AS320" i="56"/>
  <c r="AS319" i="56"/>
  <c r="AS318" i="56"/>
  <c r="AS317" i="56"/>
  <c r="AS316" i="56"/>
  <c r="AS315" i="56"/>
  <c r="AS314" i="56"/>
  <c r="AS313" i="56"/>
  <c r="AS312" i="56"/>
  <c r="AS311" i="56"/>
  <c r="AS310" i="56"/>
  <c r="AS309" i="56"/>
  <c r="AS308" i="56"/>
  <c r="AS307" i="56"/>
  <c r="AS306" i="56"/>
  <c r="AS305" i="56"/>
  <c r="AS304" i="56"/>
  <c r="AS303" i="56"/>
  <c r="AS302" i="56"/>
  <c r="AS301" i="56"/>
  <c r="AS300" i="56"/>
  <c r="AS299" i="56"/>
  <c r="AS298" i="56"/>
  <c r="AS297" i="56"/>
  <c r="AS296" i="56"/>
  <c r="AS295" i="56"/>
  <c r="AS294" i="56"/>
  <c r="AS293" i="56"/>
  <c r="AS292" i="56"/>
  <c r="AS291" i="56"/>
  <c r="AS290" i="56"/>
  <c r="AS289" i="56"/>
  <c r="AS288" i="56"/>
  <c r="AS287" i="56"/>
  <c r="AS286" i="56"/>
  <c r="AS285" i="56"/>
  <c r="AS284" i="56"/>
  <c r="AS283" i="56"/>
  <c r="AS282" i="56"/>
  <c r="AS281" i="56"/>
  <c r="AS280" i="56"/>
  <c r="AS279" i="56"/>
  <c r="AS278" i="56"/>
  <c r="AS277" i="56"/>
  <c r="AS276" i="56"/>
  <c r="AS275" i="56"/>
  <c r="AS274" i="56"/>
  <c r="AS273" i="56"/>
  <c r="AS272" i="56"/>
  <c r="AS271" i="56"/>
  <c r="AS270" i="56"/>
  <c r="AS269" i="56"/>
  <c r="AS268" i="56"/>
  <c r="AS267" i="56"/>
  <c r="AS266" i="56"/>
  <c r="AS265" i="56"/>
  <c r="AS264" i="56"/>
  <c r="AS263" i="56"/>
  <c r="AS262" i="56"/>
  <c r="AS261" i="56"/>
  <c r="AS260" i="56"/>
  <c r="AS259" i="56"/>
  <c r="AS258" i="56"/>
  <c r="AS257" i="56"/>
  <c r="AS256" i="56"/>
  <c r="AS255" i="56"/>
  <c r="AS254" i="56"/>
  <c r="AS253" i="56"/>
  <c r="AS252" i="56"/>
  <c r="AS251" i="56"/>
  <c r="AS250" i="56"/>
  <c r="AS249" i="56"/>
  <c r="AS248" i="56"/>
  <c r="AS247" i="56"/>
  <c r="AS246" i="56"/>
  <c r="AS245" i="56"/>
  <c r="AS244" i="56"/>
  <c r="AS243" i="56"/>
  <c r="AS242" i="56"/>
  <c r="AS241" i="56"/>
  <c r="AS240" i="56"/>
  <c r="AS239" i="56"/>
  <c r="AS238" i="56"/>
  <c r="AS237" i="56"/>
  <c r="AS236" i="56"/>
  <c r="AS235" i="56"/>
  <c r="AS234" i="56"/>
  <c r="AS233" i="56"/>
  <c r="AS232" i="56"/>
  <c r="AS231" i="56"/>
  <c r="AS230" i="56"/>
  <c r="AS229" i="56"/>
  <c r="AS228" i="56"/>
  <c r="AS227" i="56"/>
  <c r="AS226" i="56"/>
  <c r="AS225" i="56"/>
  <c r="AS224" i="56"/>
  <c r="AS223" i="56"/>
  <c r="AS222" i="56"/>
  <c r="AS221" i="56"/>
  <c r="AS220" i="56"/>
  <c r="AS219" i="56"/>
  <c r="AS218" i="56"/>
  <c r="AS217" i="56"/>
  <c r="AS216" i="56"/>
  <c r="AS215" i="56"/>
  <c r="AS214" i="56"/>
  <c r="AS213" i="56"/>
  <c r="AS212" i="56"/>
  <c r="AS211" i="56"/>
  <c r="AS210" i="56"/>
  <c r="AS209" i="56"/>
  <c r="AS208" i="56"/>
  <c r="AS207" i="56"/>
  <c r="AS206" i="56"/>
  <c r="AS205" i="56"/>
  <c r="AS204" i="56"/>
  <c r="AS203" i="56"/>
  <c r="AS202" i="56"/>
  <c r="AS201" i="56"/>
  <c r="AS200" i="56"/>
  <c r="AS199" i="56"/>
  <c r="AS198" i="56"/>
  <c r="AS197" i="56"/>
  <c r="AS196" i="56"/>
  <c r="AS195" i="56"/>
  <c r="AS194" i="56"/>
  <c r="AS193" i="56"/>
  <c r="AS192" i="56"/>
  <c r="AS191" i="56"/>
  <c r="AS190" i="56"/>
  <c r="AS189" i="56"/>
  <c r="AS188" i="56"/>
  <c r="AS187" i="56"/>
  <c r="AS186" i="56"/>
  <c r="AS185" i="56"/>
  <c r="AS184" i="56"/>
  <c r="AS183" i="56"/>
  <c r="AS182" i="56"/>
  <c r="AS181" i="56"/>
  <c r="AS180" i="56"/>
  <c r="AS179" i="56"/>
  <c r="AS178" i="56"/>
  <c r="AS177" i="56"/>
  <c r="AS176" i="56"/>
  <c r="AS175" i="56"/>
  <c r="AS174" i="56"/>
  <c r="AS173" i="56"/>
  <c r="AS172" i="56"/>
  <c r="AS171" i="56"/>
  <c r="AS170" i="56"/>
  <c r="AS169" i="56"/>
  <c r="AS168" i="56"/>
  <c r="AS167" i="56"/>
  <c r="AS166" i="56"/>
  <c r="AS165" i="56"/>
  <c r="AS164" i="56"/>
  <c r="AS163" i="56"/>
  <c r="AS162" i="56"/>
  <c r="AS161" i="56"/>
  <c r="AS160" i="56"/>
  <c r="AS159" i="56"/>
  <c r="AS158" i="56"/>
  <c r="AS157" i="56"/>
  <c r="AS156" i="56"/>
  <c r="AS155" i="56"/>
  <c r="AS154" i="56"/>
  <c r="AS153" i="56"/>
  <c r="AS152" i="56"/>
  <c r="AS151" i="56"/>
  <c r="AS150" i="56"/>
  <c r="AS149" i="56"/>
  <c r="AS148" i="56"/>
  <c r="AS147" i="56"/>
  <c r="AS146" i="56"/>
  <c r="AS145" i="56"/>
  <c r="AS144" i="56"/>
  <c r="AS143" i="56"/>
  <c r="AS142" i="56"/>
  <c r="AS141" i="56"/>
  <c r="AS140" i="56"/>
  <c r="AS139" i="56"/>
  <c r="AS138" i="56"/>
  <c r="AS137" i="56"/>
  <c r="AS136" i="56"/>
  <c r="AS135" i="56"/>
  <c r="AS134" i="56"/>
  <c r="AS133" i="56"/>
  <c r="AS132" i="56"/>
  <c r="AS131" i="56"/>
  <c r="AS130" i="56"/>
  <c r="AS129" i="56"/>
  <c r="AS128" i="56"/>
  <c r="AS127" i="56"/>
  <c r="AS126" i="56"/>
  <c r="AS125" i="56"/>
  <c r="AS124" i="56"/>
  <c r="AS123" i="56"/>
  <c r="AS122" i="56"/>
  <c r="AS121" i="56"/>
  <c r="AS120" i="56"/>
  <c r="AS119" i="56"/>
  <c r="AS118" i="56"/>
  <c r="AS117" i="56"/>
  <c r="AS116" i="56"/>
  <c r="AS115" i="56"/>
  <c r="AS114" i="56"/>
  <c r="AS113" i="56"/>
  <c r="AS112" i="56"/>
  <c r="AS111" i="56"/>
  <c r="AS110" i="56"/>
  <c r="AS109" i="56"/>
  <c r="AS108" i="56"/>
  <c r="AS107" i="56"/>
  <c r="AS106" i="56"/>
  <c r="AS105" i="56"/>
  <c r="AS104" i="56"/>
  <c r="AS103" i="56"/>
  <c r="AS102" i="56"/>
  <c r="AS101" i="56"/>
  <c r="AS100" i="56"/>
  <c r="AS99" i="56"/>
  <c r="AS98" i="56"/>
  <c r="AS97" i="56"/>
  <c r="AS96" i="56"/>
  <c r="AS95" i="56"/>
  <c r="AS94" i="56"/>
  <c r="AS93" i="56"/>
  <c r="AS92" i="56"/>
  <c r="AS91" i="56"/>
  <c r="AS90" i="56"/>
  <c r="AS89" i="56"/>
  <c r="AS88" i="56"/>
  <c r="AS87" i="56"/>
  <c r="AS86" i="56"/>
  <c r="AS85" i="56"/>
  <c r="AS84" i="56"/>
  <c r="AS83" i="56"/>
  <c r="AS82" i="56"/>
  <c r="AS81" i="56"/>
  <c r="AS80" i="56"/>
  <c r="AS79" i="56"/>
  <c r="AS78" i="56"/>
  <c r="AS77" i="56"/>
  <c r="AS76" i="56"/>
  <c r="AS75" i="56"/>
  <c r="AS74" i="56"/>
  <c r="AS73" i="56"/>
  <c r="AS72" i="56"/>
  <c r="AS71" i="56"/>
  <c r="AS70" i="56"/>
  <c r="AS69" i="56"/>
  <c r="AS68" i="56"/>
  <c r="AS67" i="56"/>
  <c r="AS66" i="56"/>
  <c r="AS65" i="56"/>
  <c r="AS64" i="56"/>
  <c r="AS63" i="56"/>
  <c r="AS62" i="56"/>
  <c r="AS61" i="56"/>
  <c r="AS60" i="56"/>
  <c r="AS59" i="56"/>
  <c r="AS58" i="56"/>
  <c r="AS57" i="56"/>
  <c r="AS56" i="56"/>
  <c r="AS55" i="56"/>
  <c r="AS54" i="56"/>
  <c r="AS53" i="56"/>
  <c r="AS52" i="56"/>
  <c r="AS51" i="56"/>
  <c r="AS50" i="56"/>
  <c r="AS49" i="56"/>
  <c r="AS48" i="56"/>
  <c r="AS47" i="56"/>
  <c r="AS46" i="56"/>
  <c r="AS45" i="56"/>
  <c r="AS44" i="56"/>
  <c r="AS43" i="56"/>
  <c r="AS42" i="56"/>
  <c r="AS41" i="56"/>
  <c r="AS40" i="56"/>
  <c r="AS39" i="56"/>
  <c r="AS38" i="56"/>
  <c r="AS37" i="56"/>
  <c r="AS36" i="56"/>
  <c r="AS35" i="56"/>
  <c r="AS34" i="56"/>
  <c r="AS33" i="56"/>
  <c r="AS32" i="56"/>
  <c r="AS31" i="56"/>
  <c r="AS30" i="56"/>
  <c r="AS29" i="56"/>
  <c r="AS28" i="56"/>
  <c r="AS27" i="56"/>
  <c r="AS26" i="56"/>
  <c r="AS25" i="56"/>
  <c r="AS24" i="56"/>
  <c r="AS23" i="56"/>
  <c r="AS22" i="56"/>
  <c r="AS21" i="56"/>
  <c r="AS20" i="56"/>
  <c r="AS19" i="56"/>
  <c r="AS18" i="56"/>
  <c r="AS17" i="56"/>
  <c r="AS16" i="56"/>
  <c r="AS15" i="56"/>
  <c r="AS14" i="56"/>
  <c r="AS13" i="56"/>
  <c r="AS12" i="56"/>
  <c r="AS11" i="56"/>
  <c r="AS10" i="56"/>
  <c r="AS9" i="56"/>
  <c r="AS8" i="56"/>
  <c r="AS7" i="56"/>
  <c r="AS6" i="56"/>
  <c r="AS5" i="56"/>
  <c r="AS4" i="56"/>
  <c r="AS3" i="56"/>
  <c r="AS524" i="56"/>
  <c r="AR523" i="56"/>
  <c r="AR522" i="56"/>
  <c r="AR521" i="56"/>
  <c r="AR520" i="56"/>
  <c r="AR519" i="56"/>
  <c r="AR518" i="56"/>
  <c r="AR517" i="56"/>
  <c r="AR516" i="56"/>
  <c r="AR515" i="56"/>
  <c r="AR514" i="56"/>
  <c r="AR513" i="56"/>
  <c r="AR512" i="56"/>
  <c r="AR511" i="56"/>
  <c r="AR510" i="56"/>
  <c r="AR509" i="56"/>
  <c r="AR508" i="56"/>
  <c r="AR507" i="56"/>
  <c r="AR506" i="56"/>
  <c r="AR505" i="56"/>
  <c r="AR504" i="56"/>
  <c r="AR503" i="56"/>
  <c r="AR502" i="56"/>
  <c r="AR501" i="56"/>
  <c r="AR500" i="56"/>
  <c r="AR499" i="56"/>
  <c r="AR498" i="56"/>
  <c r="AR497" i="56"/>
  <c r="AR496" i="56"/>
  <c r="AR495" i="56"/>
  <c r="AR494" i="56"/>
  <c r="AR493" i="56"/>
  <c r="AR492" i="56"/>
  <c r="AR491" i="56"/>
  <c r="AR490" i="56"/>
  <c r="AR489" i="56"/>
  <c r="AR488" i="56"/>
  <c r="AR487" i="56"/>
  <c r="AR486" i="56"/>
  <c r="AR485" i="56"/>
  <c r="AR484" i="56"/>
  <c r="AR483" i="56"/>
  <c r="AR482" i="56"/>
  <c r="AR481" i="56"/>
  <c r="AR480" i="56"/>
  <c r="AR479" i="56"/>
  <c r="AR478" i="56"/>
  <c r="AR477" i="56"/>
  <c r="AR476" i="56"/>
  <c r="AR475" i="56"/>
  <c r="AR474" i="56"/>
  <c r="AR473" i="56"/>
  <c r="AR472" i="56"/>
  <c r="AR471" i="56"/>
  <c r="AR470" i="56"/>
  <c r="AR469" i="56"/>
  <c r="AR468" i="56"/>
  <c r="AR467" i="56"/>
  <c r="AR466" i="56"/>
  <c r="AR465" i="56"/>
  <c r="AR464" i="56"/>
  <c r="AR463" i="56"/>
  <c r="AR462" i="56"/>
  <c r="AR461" i="56"/>
  <c r="AR460" i="56"/>
  <c r="AR459" i="56"/>
  <c r="AR458" i="56"/>
  <c r="AR457" i="56"/>
  <c r="AR456" i="56"/>
  <c r="AR455" i="56"/>
  <c r="AR454" i="56"/>
  <c r="AR453" i="56"/>
  <c r="AR452" i="56"/>
  <c r="AR451" i="56"/>
  <c r="AR450" i="56"/>
  <c r="AR449" i="56"/>
  <c r="AR448" i="56"/>
  <c r="AR447" i="56"/>
  <c r="AR446" i="56"/>
  <c r="AR445" i="56"/>
  <c r="AR444" i="56"/>
  <c r="AR443" i="56"/>
  <c r="AR442" i="56"/>
  <c r="AR441" i="56"/>
  <c r="AR440" i="56"/>
  <c r="AR439" i="56"/>
  <c r="AR438" i="56"/>
  <c r="AR437" i="56"/>
  <c r="AR436" i="56"/>
  <c r="AR435" i="56"/>
  <c r="AR434" i="56"/>
  <c r="AR433" i="56"/>
  <c r="AR432" i="56"/>
  <c r="AR431" i="56"/>
  <c r="AR430" i="56"/>
  <c r="AR429" i="56"/>
  <c r="AR428" i="56"/>
  <c r="AR427" i="56"/>
  <c r="AR426" i="56"/>
  <c r="AR425" i="56"/>
  <c r="AR424" i="56"/>
  <c r="AR423" i="56"/>
  <c r="AR422" i="56"/>
  <c r="AR421" i="56"/>
  <c r="AR420" i="56"/>
  <c r="AR419" i="56"/>
  <c r="AR418" i="56"/>
  <c r="AR417" i="56"/>
  <c r="AR416" i="56"/>
  <c r="AR415" i="56"/>
  <c r="AR414" i="56"/>
  <c r="AR413" i="56"/>
  <c r="AR412" i="56"/>
  <c r="AR411" i="56"/>
  <c r="AR410" i="56"/>
  <c r="AR409" i="56"/>
  <c r="AR408" i="56"/>
  <c r="AR407" i="56"/>
  <c r="AR406" i="56"/>
  <c r="AR405" i="56"/>
  <c r="AR404" i="56"/>
  <c r="AR403" i="56"/>
  <c r="AR402" i="56"/>
  <c r="AR401" i="56"/>
  <c r="AR400" i="56"/>
  <c r="AR399" i="56"/>
  <c r="AR398" i="56"/>
  <c r="AR397" i="56"/>
  <c r="AR396" i="56"/>
  <c r="AR395" i="56"/>
  <c r="AR394" i="56"/>
  <c r="AR393" i="56"/>
  <c r="AR392" i="56"/>
  <c r="AR391" i="56"/>
  <c r="AR390" i="56"/>
  <c r="AR389" i="56"/>
  <c r="AR388" i="56"/>
  <c r="AR387" i="56"/>
  <c r="AR386" i="56"/>
  <c r="AR385" i="56"/>
  <c r="AR384" i="56"/>
  <c r="AR383" i="56"/>
  <c r="AR382" i="56"/>
  <c r="AR381" i="56"/>
  <c r="AR380" i="56"/>
  <c r="AR379" i="56"/>
  <c r="AR378" i="56"/>
  <c r="AR377" i="56"/>
  <c r="AR376" i="56"/>
  <c r="AR375" i="56"/>
  <c r="AR374" i="56"/>
  <c r="AR373" i="56"/>
  <c r="AR372" i="56"/>
  <c r="AR371" i="56"/>
  <c r="AR370" i="56"/>
  <c r="AR369" i="56"/>
  <c r="AR368" i="56"/>
  <c r="AR367" i="56"/>
  <c r="AR366" i="56"/>
  <c r="AR365" i="56"/>
  <c r="AR364" i="56"/>
  <c r="AR363" i="56"/>
  <c r="AR362" i="56"/>
  <c r="AR361" i="56"/>
  <c r="AR360" i="56"/>
  <c r="AR359" i="56"/>
  <c r="AR358" i="56"/>
  <c r="AR357" i="56"/>
  <c r="AR356" i="56"/>
  <c r="AR355" i="56"/>
  <c r="AR354" i="56"/>
  <c r="AR353" i="56"/>
  <c r="AR352" i="56"/>
  <c r="AR351" i="56"/>
  <c r="AR350" i="56"/>
  <c r="AR349" i="56"/>
  <c r="AR348" i="56"/>
  <c r="AR347" i="56"/>
  <c r="AR346" i="56"/>
  <c r="AR345" i="56"/>
  <c r="AR344" i="56"/>
  <c r="AR343" i="56"/>
  <c r="AR342" i="56"/>
  <c r="AR341" i="56"/>
  <c r="AR340" i="56"/>
  <c r="AR339" i="56"/>
  <c r="AR338" i="56"/>
  <c r="AR337" i="56"/>
  <c r="AR336" i="56"/>
  <c r="AR335" i="56"/>
  <c r="AR334" i="56"/>
  <c r="AR333" i="56"/>
  <c r="AR332" i="56"/>
  <c r="AR331" i="56"/>
  <c r="AR330" i="56"/>
  <c r="AR329" i="56"/>
  <c r="AR328" i="56"/>
  <c r="AR327" i="56"/>
  <c r="AR326" i="56"/>
  <c r="AR325" i="56"/>
  <c r="AR324" i="56"/>
  <c r="AR323" i="56"/>
  <c r="AR322" i="56"/>
  <c r="AR321" i="56"/>
  <c r="AR320" i="56"/>
  <c r="AR319" i="56"/>
  <c r="AR318" i="56"/>
  <c r="AR317" i="56"/>
  <c r="AR316" i="56"/>
  <c r="AR315" i="56"/>
  <c r="AR314" i="56"/>
  <c r="AR313" i="56"/>
  <c r="AR312" i="56"/>
  <c r="AR311" i="56"/>
  <c r="AR310" i="56"/>
  <c r="AR309" i="56"/>
  <c r="AR308" i="56"/>
  <c r="AR307" i="56"/>
  <c r="AR306" i="56"/>
  <c r="AR305" i="56"/>
  <c r="AR304" i="56"/>
  <c r="AR303" i="56"/>
  <c r="AR302" i="56"/>
  <c r="AR301" i="56"/>
  <c r="AR300" i="56"/>
  <c r="AR299" i="56"/>
  <c r="AR298" i="56"/>
  <c r="AR297" i="56"/>
  <c r="AR296" i="56"/>
  <c r="AR295" i="56"/>
  <c r="AR294" i="56"/>
  <c r="AR293" i="56"/>
  <c r="AR292" i="56"/>
  <c r="AR291" i="56"/>
  <c r="AR290" i="56"/>
  <c r="AR289" i="56"/>
  <c r="AR288" i="56"/>
  <c r="AR287" i="56"/>
  <c r="AR286" i="56"/>
  <c r="AR285" i="56"/>
  <c r="AR284" i="56"/>
  <c r="AR283" i="56"/>
  <c r="AR282" i="56"/>
  <c r="AR281" i="56"/>
  <c r="AR280" i="56"/>
  <c r="AR279" i="56"/>
  <c r="AR278" i="56"/>
  <c r="AR277" i="56"/>
  <c r="AR276" i="56"/>
  <c r="AR275" i="56"/>
  <c r="AR274" i="56"/>
  <c r="AR273" i="56"/>
  <c r="AR272" i="56"/>
  <c r="AR271" i="56"/>
  <c r="AR270" i="56"/>
  <c r="AR269" i="56"/>
  <c r="AR268" i="56"/>
  <c r="AR267" i="56"/>
  <c r="AR266" i="56"/>
  <c r="AR265" i="56"/>
  <c r="AR264" i="56"/>
  <c r="AR263" i="56"/>
  <c r="AR262" i="56"/>
  <c r="AR261" i="56"/>
  <c r="AR260" i="56"/>
  <c r="AR259" i="56"/>
  <c r="AR258" i="56"/>
  <c r="AR257" i="56"/>
  <c r="AR256" i="56"/>
  <c r="AR255" i="56"/>
  <c r="AR254" i="56"/>
  <c r="AR253" i="56"/>
  <c r="AR252" i="56"/>
  <c r="AR251" i="56"/>
  <c r="AR250" i="56"/>
  <c r="AR249" i="56"/>
  <c r="AR248" i="56"/>
  <c r="AR247" i="56"/>
  <c r="AR246" i="56"/>
  <c r="AR245" i="56"/>
  <c r="AR244" i="56"/>
  <c r="AR243" i="56"/>
  <c r="AR242" i="56"/>
  <c r="AR241" i="56"/>
  <c r="AR240" i="56"/>
  <c r="AR239" i="56"/>
  <c r="AR238" i="56"/>
  <c r="AR237" i="56"/>
  <c r="AR236" i="56"/>
  <c r="AR235" i="56"/>
  <c r="AR234" i="56"/>
  <c r="AR233" i="56"/>
  <c r="AR232" i="56"/>
  <c r="AR231" i="56"/>
  <c r="AR230" i="56"/>
  <c r="AR229" i="56"/>
  <c r="AR228" i="56"/>
  <c r="AR227" i="56"/>
  <c r="AR226" i="56"/>
  <c r="AR225" i="56"/>
  <c r="AR224" i="56"/>
  <c r="AR223" i="56"/>
  <c r="AR222" i="56"/>
  <c r="AR221" i="56"/>
  <c r="AR220" i="56"/>
  <c r="AR219" i="56"/>
  <c r="AR218" i="56"/>
  <c r="AR217" i="56"/>
  <c r="AR216" i="56"/>
  <c r="AR215" i="56"/>
  <c r="AR214" i="56"/>
  <c r="AR213" i="56"/>
  <c r="AR212" i="56"/>
  <c r="AR211" i="56"/>
  <c r="AR210" i="56"/>
  <c r="AR209" i="56"/>
  <c r="AR208" i="56"/>
  <c r="AR207" i="56"/>
  <c r="AR206" i="56"/>
  <c r="AR205" i="56"/>
  <c r="AR204" i="56"/>
  <c r="AR203" i="56"/>
  <c r="AR202" i="56"/>
  <c r="AR201" i="56"/>
  <c r="AR200" i="56"/>
  <c r="AR199" i="56"/>
  <c r="AR198" i="56"/>
  <c r="AR197" i="56"/>
  <c r="AR196" i="56"/>
  <c r="AR195" i="56"/>
  <c r="AR194" i="56"/>
  <c r="AR193" i="56"/>
  <c r="AR192" i="56"/>
  <c r="AR191" i="56"/>
  <c r="AR190" i="56"/>
  <c r="AR189" i="56"/>
  <c r="AR188" i="56"/>
  <c r="AR187" i="56"/>
  <c r="AR186" i="56"/>
  <c r="AR185" i="56"/>
  <c r="AR184" i="56"/>
  <c r="AR183" i="56"/>
  <c r="AR182" i="56"/>
  <c r="AR181" i="56"/>
  <c r="AR180" i="56"/>
  <c r="AR179" i="56"/>
  <c r="AR178" i="56"/>
  <c r="AR177" i="56"/>
  <c r="AR176" i="56"/>
  <c r="AR175" i="56"/>
  <c r="AR174" i="56"/>
  <c r="AR173" i="56"/>
  <c r="AR172" i="56"/>
  <c r="AR171" i="56"/>
  <c r="AR170" i="56"/>
  <c r="AR169" i="56"/>
  <c r="AR168" i="56"/>
  <c r="AR167" i="56"/>
  <c r="AR166" i="56"/>
  <c r="AR165" i="56"/>
  <c r="AR164" i="56"/>
  <c r="AR163" i="56"/>
  <c r="AR162" i="56"/>
  <c r="AR161" i="56"/>
  <c r="AR160" i="56"/>
  <c r="AR159" i="56"/>
  <c r="AR158" i="56"/>
  <c r="AR157" i="56"/>
  <c r="AR156" i="56"/>
  <c r="AR155" i="56"/>
  <c r="AR154" i="56"/>
  <c r="AR153" i="56"/>
  <c r="AR152" i="56"/>
  <c r="AR151" i="56"/>
  <c r="AR150" i="56"/>
  <c r="AR149" i="56"/>
  <c r="AR148" i="56"/>
  <c r="AR147" i="56"/>
  <c r="AR146" i="56"/>
  <c r="AR145" i="56"/>
  <c r="AR144" i="56"/>
  <c r="AR143" i="56"/>
  <c r="AR142" i="56"/>
  <c r="AR141" i="56"/>
  <c r="AR140" i="56"/>
  <c r="AR139" i="56"/>
  <c r="AR138" i="56"/>
  <c r="AR137" i="56"/>
  <c r="AR136" i="56"/>
  <c r="AR135" i="56"/>
  <c r="AR134" i="56"/>
  <c r="AR133" i="56"/>
  <c r="AR132" i="56"/>
  <c r="AR131" i="56"/>
  <c r="AR130" i="56"/>
  <c r="AR129" i="56"/>
  <c r="AR128" i="56"/>
  <c r="AR127" i="56"/>
  <c r="AR126" i="56"/>
  <c r="AR125" i="56"/>
  <c r="AR124" i="56"/>
  <c r="AR123" i="56"/>
  <c r="AR122" i="56"/>
  <c r="AR121" i="56"/>
  <c r="AR120" i="56"/>
  <c r="AR119" i="56"/>
  <c r="AR118" i="56"/>
  <c r="AR117" i="56"/>
  <c r="AR116" i="56"/>
  <c r="AR115" i="56"/>
  <c r="AR114" i="56"/>
  <c r="AR113" i="56"/>
  <c r="AR112" i="56"/>
  <c r="AR111" i="56"/>
  <c r="AR110" i="56"/>
  <c r="AR109" i="56"/>
  <c r="AR108" i="56"/>
  <c r="AR107" i="56"/>
  <c r="AR106" i="56"/>
  <c r="AR105" i="56"/>
  <c r="AR104" i="56"/>
  <c r="AR103" i="56"/>
  <c r="AR102" i="56"/>
  <c r="AR101" i="56"/>
  <c r="AR100" i="56"/>
  <c r="AR99" i="56"/>
  <c r="AR98" i="56"/>
  <c r="AR97" i="56"/>
  <c r="AR96" i="56"/>
  <c r="AR95" i="56"/>
  <c r="AR94" i="56"/>
  <c r="AR93" i="56"/>
  <c r="AR92" i="56"/>
  <c r="AR91" i="56"/>
  <c r="AR90" i="56"/>
  <c r="AR89" i="56"/>
  <c r="AR88" i="56"/>
  <c r="AR87" i="56"/>
  <c r="AR86" i="56"/>
  <c r="AR85" i="56"/>
  <c r="AR84" i="56"/>
  <c r="AR83" i="56"/>
  <c r="AR82" i="56"/>
  <c r="AR81" i="56"/>
  <c r="AR80" i="56"/>
  <c r="AR79" i="56"/>
  <c r="AR78" i="56"/>
  <c r="AR77" i="56"/>
  <c r="AR76" i="56"/>
  <c r="AR75" i="56"/>
  <c r="AR74" i="56"/>
  <c r="AR73" i="56"/>
  <c r="AR72" i="56"/>
  <c r="AR71" i="56"/>
  <c r="AR70" i="56"/>
  <c r="AR69" i="56"/>
  <c r="AR68" i="56"/>
  <c r="AR67" i="56"/>
  <c r="AR66" i="56"/>
  <c r="AR65" i="56"/>
  <c r="AR64" i="56"/>
  <c r="AR63" i="56"/>
  <c r="AR62" i="56"/>
  <c r="AR61" i="56"/>
  <c r="AR60" i="56"/>
  <c r="AR59" i="56"/>
  <c r="AR58" i="56"/>
  <c r="AR57" i="56"/>
  <c r="AR56" i="56"/>
  <c r="AR55" i="56"/>
  <c r="AR54" i="56"/>
  <c r="AR53" i="56"/>
  <c r="AR52" i="56"/>
  <c r="AR51" i="56"/>
  <c r="AR50" i="56"/>
  <c r="AR49" i="56"/>
  <c r="AR48" i="56"/>
  <c r="AR47" i="56"/>
  <c r="AR46" i="56"/>
  <c r="AR45" i="56"/>
  <c r="AR44" i="56"/>
  <c r="AR43" i="56"/>
  <c r="AR42" i="56"/>
  <c r="AR41" i="56"/>
  <c r="AR40" i="56"/>
  <c r="AR39" i="56"/>
  <c r="AR38" i="56"/>
  <c r="AR37" i="56"/>
  <c r="AR36" i="56"/>
  <c r="AR35" i="56"/>
  <c r="AR34" i="56"/>
  <c r="AR33" i="56"/>
  <c r="AR32" i="56"/>
  <c r="AR31" i="56"/>
  <c r="AR30" i="56"/>
  <c r="AR29" i="56"/>
  <c r="AR28" i="56"/>
  <c r="AR27" i="56"/>
  <c r="AR26" i="56"/>
  <c r="AR25" i="56"/>
  <c r="AR24" i="56"/>
  <c r="AR23" i="56"/>
  <c r="AR22" i="56"/>
  <c r="AR21" i="56"/>
  <c r="AR20" i="56"/>
  <c r="AR19" i="56"/>
  <c r="AR18" i="56"/>
  <c r="AR17" i="56"/>
  <c r="AR16" i="56"/>
  <c r="AR15" i="56"/>
  <c r="AR14" i="56"/>
  <c r="AR13" i="56"/>
  <c r="AR12" i="56"/>
  <c r="AR11" i="56"/>
  <c r="AR10" i="56"/>
  <c r="AR9" i="56"/>
  <c r="AR8" i="56"/>
  <c r="AR7" i="56"/>
  <c r="AR6" i="56"/>
  <c r="AR5" i="56"/>
  <c r="AR4" i="56"/>
  <c r="AR3" i="56"/>
  <c r="AR524" i="56"/>
  <c r="AB8" i="35"/>
  <c r="AA8" i="35"/>
  <c r="Z8" i="35"/>
  <c r="Y8" i="35"/>
  <c r="X8" i="35"/>
  <c r="W8" i="35"/>
  <c r="V8" i="35"/>
  <c r="U8" i="35"/>
  <c r="T8" i="35"/>
  <c r="S8" i="35"/>
  <c r="R8" i="35"/>
  <c r="Q8" i="35"/>
  <c r="P8" i="35"/>
  <c r="O8" i="35"/>
  <c r="N8" i="35"/>
  <c r="F34" i="8" l="1"/>
  <c r="G34" i="8" s="1"/>
  <c r="I40" i="8"/>
  <c r="J40" i="8" s="1"/>
  <c r="Q11" i="17" a="1"/>
  <c r="Q11" i="17" s="1"/>
  <c r="Q10" i="17" a="1"/>
  <c r="Q10" i="17" s="1"/>
  <c r="Q9" i="17" a="1"/>
  <c r="Q9" i="17" s="1"/>
  <c r="K14" i="6"/>
  <c r="G80" i="9"/>
  <c r="G78" i="9"/>
  <c r="G15" i="6"/>
  <c r="Q213" i="8" a="1"/>
  <c r="Q213" i="8" s="1"/>
  <c r="Q209" i="8"/>
  <c r="R209" i="8" s="1"/>
  <c r="I98" i="8"/>
  <c r="J98" i="8" s="1"/>
  <c r="K98" i="8" s="1"/>
  <c r="AB7" i="9"/>
  <c r="T6" i="9"/>
  <c r="U6" i="9" s="1"/>
  <c r="V6" i="9" s="1"/>
  <c r="W6" i="9" s="1"/>
  <c r="X6" i="9" s="1"/>
  <c r="Y6" i="9" s="1"/>
  <c r="Z6" i="9" s="1"/>
  <c r="AA6" i="9" s="1"/>
  <c r="AB6" i="9" s="1"/>
  <c r="G59" i="8"/>
  <c r="Q264" i="8"/>
  <c r="Q265" i="8" s="1"/>
  <c r="P264" i="8"/>
  <c r="P265" i="8" s="1"/>
  <c r="O264" i="8"/>
  <c r="O265" i="8" s="1"/>
  <c r="N264" i="8"/>
  <c r="N265" i="8" s="1"/>
  <c r="M264" i="8"/>
  <c r="M265" i="8" s="1"/>
  <c r="L264" i="8"/>
  <c r="L265" i="8" s="1"/>
  <c r="K264" i="8"/>
  <c r="K265" i="8" s="1"/>
  <c r="J264" i="8"/>
  <c r="J265" i="8" s="1"/>
  <c r="I264" i="8"/>
  <c r="I265" i="8" s="1"/>
  <c r="H264" i="8"/>
  <c r="H265" i="8" s="1"/>
  <c r="R49" i="11"/>
  <c r="R54" i="19" s="1"/>
  <c r="Q49" i="11"/>
  <c r="Q54" i="19" s="1"/>
  <c r="I14" i="8"/>
  <c r="J14" i="8" s="1"/>
  <c r="K14" i="8" s="1"/>
  <c r="L14" i="8" s="1"/>
  <c r="M14" i="8" s="1"/>
  <c r="N14" i="8" s="1"/>
  <c r="O14" i="8" s="1"/>
  <c r="P14" i="8" s="1"/>
  <c r="Q14" i="8" s="1"/>
  <c r="E31" i="8"/>
  <c r="F27" i="8"/>
  <c r="G27" i="8"/>
  <c r="G28" i="8" s="1"/>
  <c r="E27" i="8"/>
  <c r="F21" i="8"/>
  <c r="G21" i="8"/>
  <c r="E21" i="8"/>
  <c r="E234" i="8"/>
  <c r="E261" i="8" s="1"/>
  <c r="E173" i="8"/>
  <c r="E219" i="8" s="1"/>
  <c r="E125" i="8"/>
  <c r="E88" i="8"/>
  <c r="F32" i="8"/>
  <c r="G32" i="8"/>
  <c r="E32" i="8"/>
  <c r="F31" i="8"/>
  <c r="G31" i="8"/>
  <c r="S37" i="4"/>
  <c r="R37" i="4"/>
  <c r="Q37" i="4"/>
  <c r="P37" i="4"/>
  <c r="O37" i="4"/>
  <c r="N37" i="4"/>
  <c r="M37" i="4"/>
  <c r="L37" i="4"/>
  <c r="K37" i="4"/>
  <c r="J37" i="4"/>
  <c r="S35" i="4"/>
  <c r="R35" i="4"/>
  <c r="Q35" i="4"/>
  <c r="P35" i="4"/>
  <c r="O35" i="4"/>
  <c r="N35" i="4"/>
  <c r="M35" i="4"/>
  <c r="L35" i="4"/>
  <c r="K35" i="4"/>
  <c r="J35" i="4"/>
  <c r="J46" i="4"/>
  <c r="I35" i="4"/>
  <c r="H35" i="4"/>
  <c r="G35" i="4"/>
  <c r="F35" i="4"/>
  <c r="I37" i="4"/>
  <c r="H37" i="4"/>
  <c r="G37" i="4"/>
  <c r="F46" i="4"/>
  <c r="F37" i="4"/>
  <c r="I46" i="4"/>
  <c r="H46" i="4"/>
  <c r="G46" i="4"/>
  <c r="D36" i="4"/>
  <c r="H73" i="17"/>
  <c r="H134" i="17"/>
  <c r="H133" i="17"/>
  <c r="H132" i="17"/>
  <c r="H131" i="17"/>
  <c r="H130" i="17"/>
  <c r="H129" i="17"/>
  <c r="H128" i="17"/>
  <c r="H124" i="17"/>
  <c r="H123" i="17"/>
  <c r="H122" i="17"/>
  <c r="H121" i="17"/>
  <c r="H120" i="17"/>
  <c r="H119" i="17"/>
  <c r="H118" i="17"/>
  <c r="H117" i="17"/>
  <c r="H114" i="17"/>
  <c r="H116" i="17"/>
  <c r="H115" i="17"/>
  <c r="H113" i="17"/>
  <c r="H109" i="17"/>
  <c r="H108" i="17"/>
  <c r="H107" i="17"/>
  <c r="H106" i="17"/>
  <c r="H105" i="17"/>
  <c r="H104" i="17"/>
  <c r="H103" i="17"/>
  <c r="H102" i="17"/>
  <c r="H100" i="17"/>
  <c r="H99" i="17"/>
  <c r="G33" i="3" s="1"/>
  <c r="H98" i="17"/>
  <c r="H97" i="17"/>
  <c r="H96" i="17"/>
  <c r="H95" i="17"/>
  <c r="N177" i="17"/>
  <c r="S180" i="17"/>
  <c r="R180" i="17"/>
  <c r="Q180" i="17"/>
  <c r="P180" i="17"/>
  <c r="O180" i="17"/>
  <c r="N180" i="17"/>
  <c r="M180" i="17"/>
  <c r="L180" i="17"/>
  <c r="V180" i="17" s="1"/>
  <c r="K180" i="17"/>
  <c r="J180" i="17"/>
  <c r="I180" i="17"/>
  <c r="H180" i="17"/>
  <c r="G180" i="17"/>
  <c r="F180" i="17"/>
  <c r="E180" i="17"/>
  <c r="D180" i="17"/>
  <c r="S179" i="17"/>
  <c r="R179" i="17"/>
  <c r="Q179" i="17"/>
  <c r="S178" i="17"/>
  <c r="R178" i="17"/>
  <c r="Q178" i="17"/>
  <c r="P178" i="17"/>
  <c r="O178" i="17"/>
  <c r="N178" i="17"/>
  <c r="M178" i="17"/>
  <c r="L178" i="17"/>
  <c r="K178" i="17"/>
  <c r="J178" i="17"/>
  <c r="I178" i="17"/>
  <c r="H178" i="17"/>
  <c r="F178" i="17"/>
  <c r="E178" i="17"/>
  <c r="D178" i="17"/>
  <c r="S177" i="17"/>
  <c r="R177" i="17"/>
  <c r="Q177" i="17"/>
  <c r="P177" i="17"/>
  <c r="O177" i="17"/>
  <c r="M177" i="17"/>
  <c r="L177" i="17"/>
  <c r="K177" i="17"/>
  <c r="J177" i="17"/>
  <c r="I177" i="17"/>
  <c r="H177" i="17"/>
  <c r="U177" i="17" s="1"/>
  <c r="G177" i="17"/>
  <c r="F177" i="17"/>
  <c r="E177" i="17"/>
  <c r="D177" i="17"/>
  <c r="S176" i="17"/>
  <c r="R176" i="17"/>
  <c r="Q176" i="17"/>
  <c r="P176" i="17"/>
  <c r="O176" i="17"/>
  <c r="N176" i="17"/>
  <c r="M176" i="17"/>
  <c r="L176" i="17"/>
  <c r="K176" i="17"/>
  <c r="J176" i="17"/>
  <c r="I176" i="17"/>
  <c r="H176" i="17"/>
  <c r="G176" i="17"/>
  <c r="F176" i="17"/>
  <c r="E176" i="17"/>
  <c r="D176" i="17"/>
  <c r="S171" i="17"/>
  <c r="R171" i="17"/>
  <c r="Q171" i="17"/>
  <c r="P171" i="17"/>
  <c r="V171" i="17" s="1"/>
  <c r="O171" i="17"/>
  <c r="N171" i="17"/>
  <c r="M171" i="17"/>
  <c r="L171" i="17"/>
  <c r="K171" i="17"/>
  <c r="J171" i="17"/>
  <c r="I171" i="17"/>
  <c r="H171" i="17"/>
  <c r="G171" i="17"/>
  <c r="F171" i="17"/>
  <c r="E171" i="17"/>
  <c r="D171" i="17"/>
  <c r="S170" i="17"/>
  <c r="T170" i="17" s="1"/>
  <c r="R170" i="17"/>
  <c r="Q170" i="17"/>
  <c r="P170" i="17"/>
  <c r="O170" i="17"/>
  <c r="N170" i="17"/>
  <c r="M170" i="17"/>
  <c r="L170" i="17"/>
  <c r="K170" i="17"/>
  <c r="J170" i="17"/>
  <c r="I170" i="17"/>
  <c r="H170" i="17"/>
  <c r="G170" i="17"/>
  <c r="F170" i="17"/>
  <c r="E170" i="17"/>
  <c r="D170" i="17"/>
  <c r="D152" i="53"/>
  <c r="S169" i="17"/>
  <c r="R169" i="17"/>
  <c r="Q169" i="17"/>
  <c r="P169" i="17"/>
  <c r="O169" i="17"/>
  <c r="N169" i="17"/>
  <c r="M169" i="17"/>
  <c r="L169" i="17"/>
  <c r="K169" i="17"/>
  <c r="J169" i="17"/>
  <c r="I169" i="17"/>
  <c r="H169" i="17"/>
  <c r="G169" i="17"/>
  <c r="F169" i="17"/>
  <c r="E169" i="17"/>
  <c r="D169" i="17"/>
  <c r="I39" i="3"/>
  <c r="I38" i="3"/>
  <c r="K30" i="6"/>
  <c r="K29" i="6"/>
  <c r="K23" i="6"/>
  <c r="K22" i="6"/>
  <c r="I8" i="4"/>
  <c r="H8" i="4"/>
  <c r="G8" i="4"/>
  <c r="F8" i="4"/>
  <c r="E8" i="4"/>
  <c r="N21" i="4"/>
  <c r="M21" i="4"/>
  <c r="L21" i="4"/>
  <c r="K21" i="4"/>
  <c r="N20" i="4"/>
  <c r="M20" i="4"/>
  <c r="L20" i="4"/>
  <c r="K20" i="4"/>
  <c r="N8" i="4"/>
  <c r="M8" i="4"/>
  <c r="L8" i="4"/>
  <c r="K8" i="4"/>
  <c r="O6" i="3"/>
  <c r="G6" i="3"/>
  <c r="H6" i="3"/>
  <c r="I6" i="3"/>
  <c r="J6" i="3"/>
  <c r="K6" i="3"/>
  <c r="L6" i="3"/>
  <c r="M6" i="3"/>
  <c r="N6" i="3"/>
  <c r="F6" i="3"/>
  <c r="F10" i="4"/>
  <c r="G10" i="4"/>
  <c r="L10" i="4"/>
  <c r="H10" i="4"/>
  <c r="M10" i="4"/>
  <c r="I10" i="4"/>
  <c r="N10" i="4"/>
  <c r="E10" i="4"/>
  <c r="F9" i="4"/>
  <c r="G9" i="4"/>
  <c r="L9" i="4"/>
  <c r="H9" i="4"/>
  <c r="M9" i="4"/>
  <c r="I9" i="4"/>
  <c r="N9" i="4"/>
  <c r="E9" i="4"/>
  <c r="F7" i="4"/>
  <c r="G7" i="4"/>
  <c r="L7" i="4"/>
  <c r="H7" i="4"/>
  <c r="M7" i="4"/>
  <c r="I7" i="4"/>
  <c r="E7" i="4"/>
  <c r="I6" i="4"/>
  <c r="H6" i="4"/>
  <c r="G6" i="4"/>
  <c r="F6" i="4"/>
  <c r="E6" i="4"/>
  <c r="G73" i="17"/>
  <c r="F73" i="17"/>
  <c r="O73" i="17" s="1"/>
  <c r="E73" i="17"/>
  <c r="I13" i="6"/>
  <c r="I12" i="6"/>
  <c r="I11" i="6"/>
  <c r="I10" i="6"/>
  <c r="I9" i="6"/>
  <c r="G95" i="17"/>
  <c r="G96" i="17"/>
  <c r="D10" i="17" s="1"/>
  <c r="G97" i="17"/>
  <c r="G98" i="17"/>
  <c r="G99" i="17"/>
  <c r="G100" i="17"/>
  <c r="G102" i="17"/>
  <c r="G103" i="17"/>
  <c r="G104" i="17"/>
  <c r="G105" i="17"/>
  <c r="G106" i="17"/>
  <c r="G107" i="17"/>
  <c r="G108" i="17"/>
  <c r="G109" i="17"/>
  <c r="G113" i="17"/>
  <c r="G114" i="17"/>
  <c r="G115" i="17"/>
  <c r="G116" i="17"/>
  <c r="G117" i="17"/>
  <c r="G118" i="17"/>
  <c r="G119" i="17"/>
  <c r="G120" i="17"/>
  <c r="G121" i="17"/>
  <c r="G122" i="17"/>
  <c r="G123" i="17"/>
  <c r="G124" i="17"/>
  <c r="G128" i="17"/>
  <c r="G129" i="17"/>
  <c r="G130" i="17"/>
  <c r="G131" i="17"/>
  <c r="G132" i="17"/>
  <c r="G133" i="17"/>
  <c r="G134" i="17"/>
  <c r="G9" i="6" a="1"/>
  <c r="G9" i="6" s="1"/>
  <c r="F234" i="8"/>
  <c r="F261" i="8" s="1"/>
  <c r="F173" i="8"/>
  <c r="F219" i="8" s="1"/>
  <c r="F125" i="8"/>
  <c r="F88" i="8"/>
  <c r="U169" i="17"/>
  <c r="V177" i="17"/>
  <c r="T177" i="17"/>
  <c r="V178" i="17"/>
  <c r="T180" i="17"/>
  <c r="G34" i="4"/>
  <c r="L17" i="4"/>
  <c r="H34" i="4"/>
  <c r="M17" i="4"/>
  <c r="I34" i="4"/>
  <c r="D20" i="4"/>
  <c r="D21" i="4"/>
  <c r="N17" i="4"/>
  <c r="F36" i="4"/>
  <c r="K18" i="4"/>
  <c r="G36" i="4"/>
  <c r="L18" i="4"/>
  <c r="H36" i="4"/>
  <c r="M18" i="4"/>
  <c r="I36" i="4"/>
  <c r="J36" i="4"/>
  <c r="K36" i="4"/>
  <c r="L36" i="4"/>
  <c r="M36" i="4"/>
  <c r="N36" i="4"/>
  <c r="O36" i="4"/>
  <c r="P36" i="4"/>
  <c r="Q36" i="4"/>
  <c r="R36" i="4"/>
  <c r="S36" i="4"/>
  <c r="D18" i="4"/>
  <c r="N18" i="4"/>
  <c r="F38" i="4"/>
  <c r="K19" i="4"/>
  <c r="G38" i="4"/>
  <c r="L19" i="4"/>
  <c r="H38" i="4"/>
  <c r="M19" i="4"/>
  <c r="I38" i="4"/>
  <c r="D19" i="4"/>
  <c r="N19" i="4"/>
  <c r="K6" i="4"/>
  <c r="L6" i="4"/>
  <c r="M6" i="4"/>
  <c r="N6" i="4"/>
  <c r="D6" i="4"/>
  <c r="J9" i="6"/>
  <c r="N7" i="4"/>
  <c r="D7" i="4"/>
  <c r="J10" i="6"/>
  <c r="K7" i="4"/>
  <c r="K9" i="4"/>
  <c r="K10" i="4"/>
  <c r="I19" i="4"/>
  <c r="H19" i="4"/>
  <c r="G19" i="4"/>
  <c r="F19" i="4"/>
  <c r="E19" i="4"/>
  <c r="E38" i="4"/>
  <c r="I18" i="4"/>
  <c r="H18" i="4"/>
  <c r="G18" i="4"/>
  <c r="F18" i="4"/>
  <c r="E18" i="4"/>
  <c r="I17" i="4"/>
  <c r="H17" i="4"/>
  <c r="G17" i="4"/>
  <c r="F17" i="4"/>
  <c r="F34" i="4"/>
  <c r="E17" i="4"/>
  <c r="E34" i="4"/>
  <c r="D73" i="17"/>
  <c r="G33" i="17"/>
  <c r="F134" i="17"/>
  <c r="F133" i="17"/>
  <c r="F132" i="17"/>
  <c r="F131" i="17"/>
  <c r="F130" i="17"/>
  <c r="F129" i="17"/>
  <c r="F128" i="17"/>
  <c r="F124" i="17"/>
  <c r="F123" i="17"/>
  <c r="F122" i="17"/>
  <c r="F121" i="17"/>
  <c r="F120" i="17"/>
  <c r="F119" i="17"/>
  <c r="F118" i="17"/>
  <c r="F117" i="17"/>
  <c r="F114" i="17"/>
  <c r="F116" i="17"/>
  <c r="F115" i="17"/>
  <c r="F113" i="17"/>
  <c r="F109" i="17"/>
  <c r="F108" i="17"/>
  <c r="F107" i="17"/>
  <c r="F106" i="17"/>
  <c r="F105" i="17"/>
  <c r="F104" i="17"/>
  <c r="F103" i="17"/>
  <c r="F102" i="17"/>
  <c r="F100" i="17"/>
  <c r="F99" i="17"/>
  <c r="F98" i="17"/>
  <c r="F97" i="17"/>
  <c r="F96" i="17"/>
  <c r="F95" i="17"/>
  <c r="E134" i="17"/>
  <c r="E133" i="17"/>
  <c r="E132" i="17"/>
  <c r="E67" i="17" s="1"/>
  <c r="E131" i="17"/>
  <c r="E130" i="17"/>
  <c r="E129" i="17"/>
  <c r="E128" i="17"/>
  <c r="E124" i="17"/>
  <c r="E123" i="17"/>
  <c r="E122" i="17"/>
  <c r="E121" i="17"/>
  <c r="E120" i="17"/>
  <c r="E119" i="17"/>
  <c r="E118" i="17"/>
  <c r="E117" i="17"/>
  <c r="E115" i="17"/>
  <c r="E116" i="17"/>
  <c r="E114" i="17"/>
  <c r="E113" i="17"/>
  <c r="E109" i="17"/>
  <c r="E108" i="17"/>
  <c r="E107" i="17"/>
  <c r="E106" i="17"/>
  <c r="E105" i="17"/>
  <c r="E104" i="17"/>
  <c r="E103" i="17"/>
  <c r="E42" i="17" s="1"/>
  <c r="E102" i="17"/>
  <c r="E100" i="17"/>
  <c r="E99" i="17"/>
  <c r="E98" i="17"/>
  <c r="E97" i="17"/>
  <c r="E96" i="17"/>
  <c r="E95" i="17"/>
  <c r="H109" i="9" a="1"/>
  <c r="H109" i="9"/>
  <c r="Q108" i="9"/>
  <c r="H108" i="9" a="1"/>
  <c r="H108" i="9" s="1"/>
  <c r="G93" i="9"/>
  <c r="H93" i="9"/>
  <c r="I93" i="9"/>
  <c r="J93" i="9"/>
  <c r="K93" i="9"/>
  <c r="L93" i="9"/>
  <c r="M93" i="9"/>
  <c r="N93" i="9"/>
  <c r="O93" i="9"/>
  <c r="P93" i="9"/>
  <c r="Q93" i="9"/>
  <c r="G94" i="9"/>
  <c r="H94" i="9"/>
  <c r="I94" i="9"/>
  <c r="J94" i="9"/>
  <c r="K94" i="9"/>
  <c r="L94" i="9"/>
  <c r="M94" i="9"/>
  <c r="N94" i="9"/>
  <c r="O94" i="9"/>
  <c r="P94" i="9"/>
  <c r="Q94" i="9"/>
  <c r="G92" i="9"/>
  <c r="H92" i="9"/>
  <c r="I92" i="9"/>
  <c r="J92" i="9"/>
  <c r="K92" i="9"/>
  <c r="L92" i="9"/>
  <c r="M92" i="9"/>
  <c r="N92" i="9"/>
  <c r="O92" i="9"/>
  <c r="P92" i="9"/>
  <c r="Q92" i="9"/>
  <c r="G86" i="9"/>
  <c r="H86" i="9"/>
  <c r="I86" i="9"/>
  <c r="J86" i="9"/>
  <c r="K86" i="9"/>
  <c r="L86" i="9"/>
  <c r="M86" i="9"/>
  <c r="N86" i="9"/>
  <c r="O86" i="9"/>
  <c r="P86" i="9"/>
  <c r="Q86" i="9"/>
  <c r="G87" i="9"/>
  <c r="H87" i="9"/>
  <c r="I87" i="9"/>
  <c r="J87" i="9"/>
  <c r="K87" i="9"/>
  <c r="L87" i="9"/>
  <c r="M87" i="9"/>
  <c r="N87" i="9"/>
  <c r="O87" i="9"/>
  <c r="P87" i="9"/>
  <c r="Q87" i="9"/>
  <c r="M88" i="9"/>
  <c r="N88" i="9"/>
  <c r="O88" i="9"/>
  <c r="P88" i="9"/>
  <c r="Q88" i="9"/>
  <c r="G89" i="9"/>
  <c r="H89" i="9"/>
  <c r="I89" i="9"/>
  <c r="J89" i="9"/>
  <c r="K89" i="9"/>
  <c r="L89" i="9"/>
  <c r="M89" i="9"/>
  <c r="N89" i="9"/>
  <c r="O89" i="9"/>
  <c r="P89" i="9"/>
  <c r="Q89" i="9"/>
  <c r="G90" i="9"/>
  <c r="H90" i="9"/>
  <c r="I90" i="9"/>
  <c r="J90" i="9"/>
  <c r="K90" i="9"/>
  <c r="L90" i="9"/>
  <c r="M90" i="9"/>
  <c r="N90" i="9"/>
  <c r="O90" i="9"/>
  <c r="P90" i="9"/>
  <c r="Q90" i="9"/>
  <c r="G85" i="9"/>
  <c r="H85" i="9"/>
  <c r="I85" i="9"/>
  <c r="J85" i="9"/>
  <c r="K85" i="9"/>
  <c r="L85" i="9"/>
  <c r="M85" i="9"/>
  <c r="N85" i="9"/>
  <c r="O85" i="9"/>
  <c r="P85" i="9"/>
  <c r="Q85" i="9"/>
  <c r="H80" i="9"/>
  <c r="I80" i="9"/>
  <c r="J80" i="9"/>
  <c r="K80" i="9"/>
  <c r="L80" i="9"/>
  <c r="M80" i="9"/>
  <c r="N80" i="9"/>
  <c r="O80" i="9"/>
  <c r="P80" i="9"/>
  <c r="Q80" i="9"/>
  <c r="G81" i="9"/>
  <c r="H81" i="9"/>
  <c r="I81" i="9"/>
  <c r="J81" i="9"/>
  <c r="K81" i="9"/>
  <c r="L81" i="9"/>
  <c r="M81" i="9"/>
  <c r="N81" i="9"/>
  <c r="O81" i="9"/>
  <c r="P81" i="9"/>
  <c r="Q81" i="9"/>
  <c r="G82" i="9"/>
  <c r="H82" i="9"/>
  <c r="I82" i="9"/>
  <c r="J82" i="9"/>
  <c r="K82" i="9"/>
  <c r="L82" i="9"/>
  <c r="M82" i="9"/>
  <c r="N82" i="9"/>
  <c r="O82" i="9"/>
  <c r="P82" i="9"/>
  <c r="Q82" i="9"/>
  <c r="G83" i="9"/>
  <c r="H83" i="9"/>
  <c r="I83" i="9"/>
  <c r="J83" i="9"/>
  <c r="K83" i="9"/>
  <c r="L83" i="9"/>
  <c r="M83" i="9"/>
  <c r="N83" i="9"/>
  <c r="O83" i="9"/>
  <c r="P83" i="9"/>
  <c r="Q83" i="9"/>
  <c r="G75" i="9"/>
  <c r="H75" i="9"/>
  <c r="I75" i="9"/>
  <c r="J75" i="9"/>
  <c r="K75" i="9"/>
  <c r="L75" i="9"/>
  <c r="M75" i="9"/>
  <c r="N75" i="9"/>
  <c r="O75" i="9"/>
  <c r="P75" i="9"/>
  <c r="Q75" i="9"/>
  <c r="H78" i="9"/>
  <c r="I78" i="9"/>
  <c r="J78" i="9"/>
  <c r="K78" i="9"/>
  <c r="L78" i="9"/>
  <c r="M78" i="9"/>
  <c r="N78" i="9"/>
  <c r="O78" i="9"/>
  <c r="P78" i="9"/>
  <c r="Q78" i="9"/>
  <c r="G71" i="9"/>
  <c r="H71" i="9"/>
  <c r="I71" i="9"/>
  <c r="J71" i="9"/>
  <c r="K71" i="9"/>
  <c r="L71" i="9"/>
  <c r="M71" i="9"/>
  <c r="N71" i="9"/>
  <c r="O71" i="9"/>
  <c r="P71" i="9"/>
  <c r="Q71" i="9"/>
  <c r="G77" i="9"/>
  <c r="H77" i="9"/>
  <c r="I77" i="9"/>
  <c r="J77" i="9"/>
  <c r="K77" i="9"/>
  <c r="L77" i="9"/>
  <c r="M77" i="9"/>
  <c r="N77" i="9"/>
  <c r="O77" i="9"/>
  <c r="P77" i="9"/>
  <c r="Q77" i="9"/>
  <c r="J73" i="9"/>
  <c r="K73" i="9"/>
  <c r="L73" i="9"/>
  <c r="M73" i="9"/>
  <c r="G72" i="9"/>
  <c r="H72" i="9"/>
  <c r="I72" i="9"/>
  <c r="J72" i="9"/>
  <c r="K72" i="9"/>
  <c r="L72" i="9"/>
  <c r="M72" i="9"/>
  <c r="N72" i="9"/>
  <c r="O72" i="9"/>
  <c r="P72" i="9"/>
  <c r="Q72" i="9"/>
  <c r="G70" i="9"/>
  <c r="H70" i="9"/>
  <c r="I70" i="9"/>
  <c r="J70" i="9"/>
  <c r="K70" i="9"/>
  <c r="L70" i="9"/>
  <c r="M70" i="9"/>
  <c r="N70" i="9"/>
  <c r="O70" i="9"/>
  <c r="P70" i="9"/>
  <c r="Q70" i="9"/>
  <c r="G69" i="9"/>
  <c r="H69" i="9"/>
  <c r="I69" i="9"/>
  <c r="J69" i="9"/>
  <c r="K69" i="9"/>
  <c r="L69" i="9"/>
  <c r="M69" i="9"/>
  <c r="N69" i="9"/>
  <c r="O69" i="9"/>
  <c r="P69" i="9"/>
  <c r="Q69" i="9"/>
  <c r="G62" i="9"/>
  <c r="G102" i="9" s="1"/>
  <c r="H62" i="9"/>
  <c r="H102" i="9" s="1"/>
  <c r="I62" i="9"/>
  <c r="I102" i="9" s="1"/>
  <c r="J62" i="9"/>
  <c r="J102" i="9" s="1"/>
  <c r="K62" i="9"/>
  <c r="K102" i="9" s="1"/>
  <c r="L62" i="9"/>
  <c r="L102" i="9" s="1"/>
  <c r="M62" i="9"/>
  <c r="M102" i="9" s="1"/>
  <c r="N62" i="9"/>
  <c r="N102" i="9" s="1"/>
  <c r="O62" i="9"/>
  <c r="O102" i="9" s="1"/>
  <c r="P62" i="9"/>
  <c r="P102" i="9" s="1"/>
  <c r="Q62" i="9"/>
  <c r="Q102" i="9" s="1"/>
  <c r="G59" i="9"/>
  <c r="H59" i="9"/>
  <c r="I59" i="9"/>
  <c r="J59" i="9"/>
  <c r="K59" i="9"/>
  <c r="L59" i="9"/>
  <c r="M59" i="9"/>
  <c r="N59" i="9"/>
  <c r="O59" i="9"/>
  <c r="P59" i="9"/>
  <c r="Q59" i="9"/>
  <c r="G57" i="9"/>
  <c r="H57" i="9"/>
  <c r="I57" i="9"/>
  <c r="J57" i="9"/>
  <c r="K57" i="9"/>
  <c r="L57" i="9"/>
  <c r="M57" i="9"/>
  <c r="N57" i="9"/>
  <c r="O57" i="9"/>
  <c r="P57" i="9"/>
  <c r="Q57" i="9"/>
  <c r="G56" i="9"/>
  <c r="H56" i="9"/>
  <c r="I56" i="9"/>
  <c r="J56" i="9"/>
  <c r="K56" i="9"/>
  <c r="L56" i="9"/>
  <c r="M56" i="9"/>
  <c r="N56" i="9"/>
  <c r="O56" i="9"/>
  <c r="P56" i="9"/>
  <c r="Q56" i="9"/>
  <c r="G54" i="9"/>
  <c r="H54" i="9"/>
  <c r="I54" i="9"/>
  <c r="J54" i="9"/>
  <c r="K54" i="9"/>
  <c r="L54" i="9"/>
  <c r="M54" i="9"/>
  <c r="N54" i="9"/>
  <c r="O54" i="9"/>
  <c r="P54" i="9"/>
  <c r="Q54" i="9"/>
  <c r="G52" i="9"/>
  <c r="H52" i="9"/>
  <c r="I52" i="9"/>
  <c r="J52" i="9"/>
  <c r="K52" i="9"/>
  <c r="L52" i="9"/>
  <c r="M52" i="9"/>
  <c r="N52" i="9"/>
  <c r="O52" i="9"/>
  <c r="P52" i="9"/>
  <c r="Q52" i="9"/>
  <c r="G51" i="9"/>
  <c r="H51" i="9"/>
  <c r="I51" i="9"/>
  <c r="J51" i="9"/>
  <c r="K51" i="9"/>
  <c r="L51" i="9"/>
  <c r="M51" i="9"/>
  <c r="N51" i="9"/>
  <c r="O51" i="9"/>
  <c r="P51" i="9"/>
  <c r="Q51" i="9"/>
  <c r="G49" i="9"/>
  <c r="H49" i="9"/>
  <c r="I49" i="9"/>
  <c r="J49" i="9"/>
  <c r="K49" i="9"/>
  <c r="L49" i="9"/>
  <c r="M49" i="9"/>
  <c r="N49" i="9"/>
  <c r="O49" i="9"/>
  <c r="P49" i="9"/>
  <c r="Q49" i="9"/>
  <c r="G47" i="9"/>
  <c r="H47" i="9"/>
  <c r="I47" i="9"/>
  <c r="J47" i="9"/>
  <c r="K47" i="9"/>
  <c r="L47" i="9"/>
  <c r="M47" i="9"/>
  <c r="N47" i="9"/>
  <c r="O47" i="9"/>
  <c r="P47" i="9"/>
  <c r="Q47" i="9"/>
  <c r="G40" i="9"/>
  <c r="G41" i="9"/>
  <c r="G39" i="9" s="1"/>
  <c r="G46" i="9" s="1"/>
  <c r="H40" i="9"/>
  <c r="H39" i="9" s="1"/>
  <c r="H46" i="9" s="1"/>
  <c r="H41" i="9"/>
  <c r="I40" i="9"/>
  <c r="I41" i="9"/>
  <c r="I39" i="9"/>
  <c r="I46" i="9" s="1"/>
  <c r="J40" i="9"/>
  <c r="J39" i="9" s="1"/>
  <c r="J46" i="9" s="1"/>
  <c r="J41" i="9"/>
  <c r="K40" i="9"/>
  <c r="K39" i="9" s="1"/>
  <c r="K46" i="9" s="1"/>
  <c r="K41" i="9"/>
  <c r="L40" i="9"/>
  <c r="L41" i="9"/>
  <c r="L39" i="9"/>
  <c r="M40" i="9"/>
  <c r="M41" i="9"/>
  <c r="M39" i="9"/>
  <c r="N40" i="9"/>
  <c r="N39" i="9" s="1"/>
  <c r="N46" i="9" s="1"/>
  <c r="N41" i="9"/>
  <c r="O40" i="9"/>
  <c r="O41" i="9"/>
  <c r="O39" i="9" s="1"/>
  <c r="O46" i="9" s="1"/>
  <c r="P40" i="9"/>
  <c r="P39" i="9" s="1"/>
  <c r="P46" i="9" s="1"/>
  <c r="P41" i="9"/>
  <c r="Q40" i="9"/>
  <c r="Q41" i="9"/>
  <c r="Q39" i="9"/>
  <c r="G43" i="9"/>
  <c r="H43" i="9"/>
  <c r="I43" i="9"/>
  <c r="J43" i="9"/>
  <c r="K43" i="9"/>
  <c r="L43" i="9"/>
  <c r="M43" i="9"/>
  <c r="N43" i="9"/>
  <c r="O43" i="9"/>
  <c r="P43" i="9"/>
  <c r="Q43" i="9"/>
  <c r="G44" i="9"/>
  <c r="H44" i="9"/>
  <c r="I44" i="9"/>
  <c r="J44" i="9"/>
  <c r="K44" i="9"/>
  <c r="L44" i="9"/>
  <c r="M44" i="9"/>
  <c r="N44" i="9"/>
  <c r="O44" i="9"/>
  <c r="P44" i="9"/>
  <c r="Q44" i="9"/>
  <c r="G38" i="9"/>
  <c r="H38" i="9"/>
  <c r="I38" i="9"/>
  <c r="J38" i="9"/>
  <c r="K38" i="9"/>
  <c r="L38" i="9"/>
  <c r="M38" i="9"/>
  <c r="N38" i="9"/>
  <c r="O38" i="9"/>
  <c r="P38" i="9"/>
  <c r="Q38" i="9"/>
  <c r="G34" i="9"/>
  <c r="H34" i="9"/>
  <c r="I34" i="9"/>
  <c r="J34" i="9"/>
  <c r="K34" i="9"/>
  <c r="L34" i="9"/>
  <c r="M34" i="9"/>
  <c r="N34" i="9"/>
  <c r="O34" i="9"/>
  <c r="P34" i="9"/>
  <c r="Q34" i="9"/>
  <c r="G35" i="9"/>
  <c r="H35" i="9"/>
  <c r="I35" i="9"/>
  <c r="J35" i="9"/>
  <c r="K35" i="9"/>
  <c r="L35" i="9"/>
  <c r="M35" i="9"/>
  <c r="N35" i="9"/>
  <c r="O35" i="9"/>
  <c r="P35" i="9"/>
  <c r="Q35" i="9"/>
  <c r="G36" i="9"/>
  <c r="H36" i="9"/>
  <c r="I36" i="9"/>
  <c r="J36" i="9"/>
  <c r="K36" i="9"/>
  <c r="L36" i="9"/>
  <c r="M36" i="9"/>
  <c r="N36" i="9"/>
  <c r="O36" i="9"/>
  <c r="P36" i="9"/>
  <c r="Q36" i="9"/>
  <c r="G33" i="9"/>
  <c r="H33" i="9"/>
  <c r="I33" i="9"/>
  <c r="J33" i="9"/>
  <c r="K33" i="9"/>
  <c r="L33" i="9"/>
  <c r="M33" i="9"/>
  <c r="N33" i="9"/>
  <c r="O33" i="9"/>
  <c r="P33" i="9"/>
  <c r="Q33" i="9"/>
  <c r="Q27" i="9"/>
  <c r="G27" i="9"/>
  <c r="Q6" i="9"/>
  <c r="G36" i="8" s="1"/>
  <c r="Q7" i="9"/>
  <c r="G39" i="8" s="1"/>
  <c r="Q9" i="9"/>
  <c r="Q10" i="9"/>
  <c r="Q11" i="9"/>
  <c r="Q13" i="9"/>
  <c r="Q124" i="9" s="1"/>
  <c r="Q125" i="9" s="1"/>
  <c r="Q23" i="9"/>
  <c r="G82" i="8" s="1"/>
  <c r="Q18" i="9"/>
  <c r="Q17" i="9" s="1"/>
  <c r="Q19" i="9"/>
  <c r="Q20" i="9"/>
  <c r="Q21" i="9"/>
  <c r="G26" i="9"/>
  <c r="H26" i="9"/>
  <c r="I26" i="9"/>
  <c r="J26" i="9"/>
  <c r="K26" i="9"/>
  <c r="L26" i="9"/>
  <c r="M26" i="9"/>
  <c r="N26" i="9"/>
  <c r="O26" i="9"/>
  <c r="P26" i="9"/>
  <c r="Q26" i="9"/>
  <c r="G25" i="9"/>
  <c r="H25" i="9"/>
  <c r="I25" i="9"/>
  <c r="J25" i="9"/>
  <c r="K25" i="9"/>
  <c r="L25" i="9"/>
  <c r="M25" i="9"/>
  <c r="N25" i="9"/>
  <c r="O25" i="9"/>
  <c r="P25" i="9"/>
  <c r="Q25" i="9"/>
  <c r="G21" i="9"/>
  <c r="H21" i="9"/>
  <c r="I21" i="9"/>
  <c r="J21" i="9"/>
  <c r="K21" i="9"/>
  <c r="L21" i="9"/>
  <c r="M21" i="9"/>
  <c r="N21" i="9"/>
  <c r="O21" i="9"/>
  <c r="P21" i="9"/>
  <c r="G28" i="9"/>
  <c r="H28" i="9"/>
  <c r="I28" i="9"/>
  <c r="J28" i="9"/>
  <c r="K28" i="9"/>
  <c r="L28" i="9"/>
  <c r="M28" i="9"/>
  <c r="N28" i="9"/>
  <c r="O28" i="9"/>
  <c r="P28" i="9"/>
  <c r="Q28" i="9"/>
  <c r="H27" i="9"/>
  <c r="I27" i="9"/>
  <c r="J27" i="9"/>
  <c r="K27" i="9"/>
  <c r="L27" i="9"/>
  <c r="M27" i="9"/>
  <c r="N27" i="9"/>
  <c r="O27" i="9"/>
  <c r="P27" i="9"/>
  <c r="G23" i="9"/>
  <c r="H23" i="9"/>
  <c r="I23" i="9"/>
  <c r="J23" i="9"/>
  <c r="K23" i="9"/>
  <c r="L23" i="9"/>
  <c r="M23" i="9"/>
  <c r="N23" i="9"/>
  <c r="O23" i="9"/>
  <c r="P23" i="9"/>
  <c r="G20" i="9"/>
  <c r="H20" i="9"/>
  <c r="I20" i="9"/>
  <c r="J20" i="9"/>
  <c r="K20" i="9"/>
  <c r="L20" i="9"/>
  <c r="M20" i="9"/>
  <c r="N20" i="9"/>
  <c r="O20" i="9"/>
  <c r="P20" i="9"/>
  <c r="G18" i="9"/>
  <c r="H18" i="9"/>
  <c r="I18" i="9"/>
  <c r="J18" i="9"/>
  <c r="K18" i="9"/>
  <c r="L18" i="9"/>
  <c r="M18" i="9"/>
  <c r="N18" i="9"/>
  <c r="O18" i="9"/>
  <c r="P18" i="9"/>
  <c r="G19" i="9"/>
  <c r="H19" i="9"/>
  <c r="I19" i="9"/>
  <c r="J19" i="9"/>
  <c r="K19" i="9"/>
  <c r="L19" i="9"/>
  <c r="M19" i="9"/>
  <c r="N19" i="9"/>
  <c r="O19" i="9"/>
  <c r="P19" i="9"/>
  <c r="G13" i="9"/>
  <c r="G124" i="9" s="1"/>
  <c r="G125" i="9" s="1"/>
  <c r="H13" i="9"/>
  <c r="H124" i="9" s="1"/>
  <c r="H125" i="9" s="1"/>
  <c r="I13" i="9"/>
  <c r="I124" i="9" s="1"/>
  <c r="I125" i="9" s="1"/>
  <c r="J13" i="9"/>
  <c r="J124" i="9" s="1"/>
  <c r="J125" i="9" s="1"/>
  <c r="K13" i="9"/>
  <c r="K124" i="9" s="1"/>
  <c r="K125" i="9" s="1"/>
  <c r="L13" i="9"/>
  <c r="L124" i="9" s="1"/>
  <c r="L125" i="9" s="1"/>
  <c r="M13" i="9"/>
  <c r="M124" i="9" s="1"/>
  <c r="M125" i="9" s="1"/>
  <c r="N13" i="9"/>
  <c r="N124" i="9" s="1"/>
  <c r="N125" i="9" s="1"/>
  <c r="O13" i="9"/>
  <c r="O124" i="9" s="1"/>
  <c r="O125" i="9" s="1"/>
  <c r="P13" i="9"/>
  <c r="P124" i="9" s="1"/>
  <c r="P125" i="9" s="1"/>
  <c r="G11" i="9"/>
  <c r="H11" i="9"/>
  <c r="I11" i="9"/>
  <c r="J11" i="9"/>
  <c r="K11" i="9"/>
  <c r="L11" i="9"/>
  <c r="M11" i="9"/>
  <c r="N11" i="9"/>
  <c r="O11" i="9"/>
  <c r="P11" i="9"/>
  <c r="G10" i="9"/>
  <c r="H10" i="9"/>
  <c r="I10" i="9"/>
  <c r="J10" i="9"/>
  <c r="K10" i="9"/>
  <c r="L10" i="9"/>
  <c r="M10" i="9"/>
  <c r="N10" i="9"/>
  <c r="O10" i="9"/>
  <c r="P10" i="9"/>
  <c r="G9" i="9"/>
  <c r="S8" i="9" s="1"/>
  <c r="H9" i="9"/>
  <c r="T8" i="9" s="1"/>
  <c r="I9" i="9"/>
  <c r="U8" i="9" s="1"/>
  <c r="J9" i="9"/>
  <c r="V8" i="9" s="1"/>
  <c r="K9" i="9"/>
  <c r="W8" i="9" s="1"/>
  <c r="L9" i="9"/>
  <c r="X8" i="9" s="1"/>
  <c r="M9" i="9"/>
  <c r="Y8" i="9" s="1"/>
  <c r="N9" i="9"/>
  <c r="Z7" i="9" s="1"/>
  <c r="O9" i="9"/>
  <c r="AA7" i="9" s="1"/>
  <c r="P9" i="9"/>
  <c r="AB8" i="9" s="1"/>
  <c r="G7" i="9"/>
  <c r="H7" i="9"/>
  <c r="I7" i="9"/>
  <c r="J7" i="9"/>
  <c r="K7" i="9"/>
  <c r="L7" i="9"/>
  <c r="M7" i="9"/>
  <c r="N7" i="9"/>
  <c r="O7" i="9"/>
  <c r="E39" i="8" s="1"/>
  <c r="P7" i="9"/>
  <c r="F39" i="8" s="1"/>
  <c r="G6" i="9"/>
  <c r="S7" i="9" s="1"/>
  <c r="H6" i="9"/>
  <c r="I6" i="9"/>
  <c r="J6" i="9"/>
  <c r="K6" i="9"/>
  <c r="L6" i="9"/>
  <c r="M6" i="9"/>
  <c r="N6" i="9"/>
  <c r="D36" i="8" s="1"/>
  <c r="O6" i="9"/>
  <c r="Y7" i="9" s="1"/>
  <c r="P6" i="9"/>
  <c r="F36" i="8" s="1"/>
  <c r="U15" i="19"/>
  <c r="U14" i="19"/>
  <c r="K9" i="27"/>
  <c r="K8" i="27"/>
  <c r="V35" i="19"/>
  <c r="V34" i="19"/>
  <c r="V32" i="19"/>
  <c r="V33" i="19"/>
  <c r="P64" i="11"/>
  <c r="P43" i="19" s="1"/>
  <c r="O64" i="11"/>
  <c r="O43" i="19" s="1"/>
  <c r="N64" i="11"/>
  <c r="N43" i="19" s="1"/>
  <c r="M64" i="11"/>
  <c r="L64" i="11"/>
  <c r="K64" i="11"/>
  <c r="J64" i="11"/>
  <c r="I64" i="11"/>
  <c r="H64" i="11"/>
  <c r="G64" i="11"/>
  <c r="F64" i="11"/>
  <c r="F42" i="8"/>
  <c r="P17" i="9"/>
  <c r="O8" i="9"/>
  <c r="E42" i="8" s="1"/>
  <c r="O12" i="9"/>
  <c r="O17" i="9"/>
  <c r="N8" i="9"/>
  <c r="N12" i="9" s="1"/>
  <c r="N17" i="9"/>
  <c r="M8" i="9"/>
  <c r="M12" i="9"/>
  <c r="M17" i="9"/>
  <c r="L8" i="9"/>
  <c r="L12" i="9"/>
  <c r="L16" i="9" s="1"/>
  <c r="L17" i="9"/>
  <c r="K8" i="9"/>
  <c r="K12" i="9"/>
  <c r="K16" i="9" s="1"/>
  <c r="K17" i="9"/>
  <c r="J8" i="9"/>
  <c r="J12" i="9"/>
  <c r="J17" i="9"/>
  <c r="I8" i="9"/>
  <c r="I12" i="9" s="1"/>
  <c r="I17" i="9"/>
  <c r="H8" i="9"/>
  <c r="H12" i="9"/>
  <c r="H16" i="9" s="1"/>
  <c r="H17" i="9"/>
  <c r="G8" i="9"/>
  <c r="G12" i="9"/>
  <c r="G16" i="9"/>
  <c r="G17" i="9"/>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Q76" i="9"/>
  <c r="P58" i="11"/>
  <c r="P76" i="9"/>
  <c r="F138" i="8"/>
  <c r="I27" i="19" s="1"/>
  <c r="O58" i="11"/>
  <c r="O76" i="9"/>
  <c r="N58" i="11"/>
  <c r="N76" i="9"/>
  <c r="M76" i="9"/>
  <c r="L58" i="11"/>
  <c r="L76" i="9"/>
  <c r="K58" i="11"/>
  <c r="K76" i="9"/>
  <c r="J76" i="9"/>
  <c r="I76" i="9"/>
  <c r="H58" i="11"/>
  <c r="H76" i="9"/>
  <c r="G58" i="11"/>
  <c r="G76" i="9"/>
  <c r="O53" i="11"/>
  <c r="P53" i="11"/>
  <c r="Q53" i="11"/>
  <c r="R53" i="11"/>
  <c r="J53" i="11"/>
  <c r="K53" i="11"/>
  <c r="L53" i="11"/>
  <c r="M53" i="11"/>
  <c r="G53" i="11"/>
  <c r="H53" i="11"/>
  <c r="I53" i="11"/>
  <c r="P55" i="11"/>
  <c r="O55" i="11"/>
  <c r="N55" i="11"/>
  <c r="M55" i="11"/>
  <c r="L55" i="11"/>
  <c r="K55" i="11"/>
  <c r="J55" i="11"/>
  <c r="I55" i="11"/>
  <c r="H55" i="11"/>
  <c r="G55" i="11"/>
  <c r="F55" i="11"/>
  <c r="Q55" i="9"/>
  <c r="Q113" i="9" s="1"/>
  <c r="Q50" i="9"/>
  <c r="Q100" i="9" s="1"/>
  <c r="Q32" i="9"/>
  <c r="Q99" i="9" s="1"/>
  <c r="P55" i="9"/>
  <c r="P113" i="9" s="1"/>
  <c r="P50" i="9"/>
  <c r="P100" i="9" s="1"/>
  <c r="P32" i="9"/>
  <c r="P37" i="9" s="1"/>
  <c r="F100" i="8" s="1"/>
  <c r="O55" i="9"/>
  <c r="O50" i="9"/>
  <c r="O100" i="9" s="1"/>
  <c r="O32" i="9"/>
  <c r="O99" i="9" s="1"/>
  <c r="N28" i="11"/>
  <c r="N37" i="19" s="1"/>
  <c r="N55" i="9"/>
  <c r="N50" i="9"/>
  <c r="N100" i="9" s="1"/>
  <c r="N32" i="9"/>
  <c r="M28" i="11" s="1"/>
  <c r="M55" i="9"/>
  <c r="M50" i="9"/>
  <c r="M100" i="9" s="1"/>
  <c r="M32" i="9"/>
  <c r="M99" i="9" s="1"/>
  <c r="L55" i="9"/>
  <c r="L50" i="9"/>
  <c r="L113" i="9" s="1"/>
  <c r="L32" i="9"/>
  <c r="L99" i="9" s="1"/>
  <c r="K55" i="9"/>
  <c r="K113" i="9" s="1"/>
  <c r="K50" i="9"/>
  <c r="K100" i="9" s="1"/>
  <c r="K32" i="9"/>
  <c r="K99" i="9" s="1"/>
  <c r="K37" i="9"/>
  <c r="J55" i="9"/>
  <c r="J50" i="9"/>
  <c r="J100" i="9" s="1"/>
  <c r="J32" i="9"/>
  <c r="J99" i="9" s="1"/>
  <c r="I55" i="9"/>
  <c r="I113" i="9" s="1"/>
  <c r="I50" i="9"/>
  <c r="I100" i="9" s="1"/>
  <c r="I32" i="9"/>
  <c r="I99" i="9" s="1"/>
  <c r="H55" i="9"/>
  <c r="H50" i="9"/>
  <c r="H100" i="9" s="1"/>
  <c r="H32" i="9"/>
  <c r="H99" i="9" s="1"/>
  <c r="G55" i="9"/>
  <c r="G58" i="9" s="1"/>
  <c r="G50" i="9"/>
  <c r="G100" i="9" s="1"/>
  <c r="G32" i="9"/>
  <c r="G99" i="9" s="1"/>
  <c r="Q60" i="9"/>
  <c r="AF9" i="8" s="1"/>
  <c r="Q48" i="9"/>
  <c r="Q61" i="9" s="1"/>
  <c r="P60" i="9"/>
  <c r="P48" i="9"/>
  <c r="O60" i="9"/>
  <c r="O48" i="9"/>
  <c r="N42" i="11" s="1"/>
  <c r="N48" i="19" s="1"/>
  <c r="N60" i="9"/>
  <c r="N61" i="9" s="1"/>
  <c r="N48" i="9"/>
  <c r="M60" i="9"/>
  <c r="M48" i="9"/>
  <c r="L60" i="9"/>
  <c r="L48" i="9"/>
  <c r="L61" i="9"/>
  <c r="K60" i="9"/>
  <c r="K48" i="9"/>
  <c r="K61" i="9" s="1"/>
  <c r="J60" i="9"/>
  <c r="J48" i="9"/>
  <c r="I42" i="11" s="1"/>
  <c r="I60" i="9"/>
  <c r="I48" i="9"/>
  <c r="I61" i="9"/>
  <c r="H60" i="9"/>
  <c r="H48" i="9"/>
  <c r="H61" i="9" s="1"/>
  <c r="G60" i="9"/>
  <c r="G48" i="9"/>
  <c r="P29" i="11"/>
  <c r="P38" i="19" s="1"/>
  <c r="O29" i="11"/>
  <c r="O38" i="19" s="1"/>
  <c r="N29" i="11"/>
  <c r="N38" i="19" s="1"/>
  <c r="M29" i="11"/>
  <c r="L29" i="11"/>
  <c r="K29" i="11"/>
  <c r="J29" i="11"/>
  <c r="I29" i="11"/>
  <c r="H29" i="11"/>
  <c r="G29" i="11"/>
  <c r="F29" i="11"/>
  <c r="J28" i="11"/>
  <c r="G28" i="11"/>
  <c r="F28" i="11"/>
  <c r="P27" i="11"/>
  <c r="P36" i="19" s="1"/>
  <c r="O27" i="11"/>
  <c r="O36" i="19" s="1"/>
  <c r="N27" i="11"/>
  <c r="N36" i="19" s="1"/>
  <c r="M27" i="11"/>
  <c r="L27" i="11"/>
  <c r="K27" i="11"/>
  <c r="J27" i="11"/>
  <c r="I27" i="11"/>
  <c r="H27" i="11"/>
  <c r="G27" i="11"/>
  <c r="F27" i="11"/>
  <c r="P22" i="11"/>
  <c r="P32" i="19" s="1"/>
  <c r="O22" i="11"/>
  <c r="O32" i="19" s="1"/>
  <c r="N22" i="11"/>
  <c r="N32" i="19" s="1"/>
  <c r="M22" i="11"/>
  <c r="L22" i="11"/>
  <c r="K22" i="11"/>
  <c r="J22" i="11"/>
  <c r="I22" i="11"/>
  <c r="H22" i="11"/>
  <c r="G22" i="11"/>
  <c r="F22" i="11"/>
  <c r="O21" i="11"/>
  <c r="O31" i="19" s="1"/>
  <c r="N21" i="11"/>
  <c r="N31" i="19" s="1"/>
  <c r="M21" i="11"/>
  <c r="L21" i="11"/>
  <c r="K21" i="11"/>
  <c r="J21" i="11"/>
  <c r="I21" i="11"/>
  <c r="H21" i="11"/>
  <c r="G21" i="11"/>
  <c r="F21" i="11"/>
  <c r="F19" i="11"/>
  <c r="N18" i="11"/>
  <c r="N29" i="19" s="1"/>
  <c r="K18" i="11"/>
  <c r="J18" i="11"/>
  <c r="G18" i="11"/>
  <c r="F18" i="11"/>
  <c r="A8" i="17"/>
  <c r="I17" i="17"/>
  <c r="I16" i="17"/>
  <c r="I15" i="17"/>
  <c r="I14" i="17"/>
  <c r="I13" i="17"/>
  <c r="I12" i="17"/>
  <c r="I11" i="17"/>
  <c r="I10" i="17"/>
  <c r="H17" i="17"/>
  <c r="H16" i="17"/>
  <c r="H15" i="17"/>
  <c r="H14" i="17"/>
  <c r="H13" i="17"/>
  <c r="H12" i="17"/>
  <c r="H11" i="17"/>
  <c r="H10" i="17"/>
  <c r="G17" i="17"/>
  <c r="G16" i="17"/>
  <c r="G15" i="17"/>
  <c r="G14" i="17"/>
  <c r="G13" i="17"/>
  <c r="G12" i="17"/>
  <c r="G11" i="17"/>
  <c r="G10" i="17"/>
  <c r="F17" i="17"/>
  <c r="F16" i="17"/>
  <c r="F15" i="17"/>
  <c r="F14" i="17"/>
  <c r="F13" i="17"/>
  <c r="F12" i="17"/>
  <c r="F11" i="17"/>
  <c r="F10" i="17"/>
  <c r="E17" i="17"/>
  <c r="E16" i="17"/>
  <c r="E15" i="17"/>
  <c r="E14" i="17"/>
  <c r="E13" i="17"/>
  <c r="E12" i="17"/>
  <c r="E11" i="17"/>
  <c r="E10" i="17"/>
  <c r="D17" i="17"/>
  <c r="D16" i="17"/>
  <c r="D15" i="17"/>
  <c r="D14" i="17"/>
  <c r="D13" i="17"/>
  <c r="D12" i="17"/>
  <c r="D11" i="17"/>
  <c r="E70" i="3"/>
  <c r="E64" i="3"/>
  <c r="E58" i="3"/>
  <c r="E52" i="3"/>
  <c r="E45" i="3"/>
  <c r="D12" i="4"/>
  <c r="D11" i="4"/>
  <c r="D10" i="4"/>
  <c r="J13" i="6"/>
  <c r="D9" i="4"/>
  <c r="J12" i="6"/>
  <c r="D8" i="4"/>
  <c r="J11" i="6"/>
  <c r="Q121" i="9"/>
  <c r="P121" i="9"/>
  <c r="O121" i="9"/>
  <c r="N34" i="11" s="1"/>
  <c r="N121" i="9"/>
  <c r="M34" i="11"/>
  <c r="M121" i="9"/>
  <c r="L34" i="11" s="1"/>
  <c r="L121" i="9"/>
  <c r="K121" i="9"/>
  <c r="J34" i="11" s="1"/>
  <c r="J121" i="9"/>
  <c r="I34" i="11" s="1"/>
  <c r="I121" i="9"/>
  <c r="H121" i="9"/>
  <c r="G121" i="9"/>
  <c r="Q120" i="9"/>
  <c r="P35" i="11"/>
  <c r="P120" i="9"/>
  <c r="O35" i="11"/>
  <c r="O120" i="9"/>
  <c r="N35" i="11" s="1"/>
  <c r="N120" i="9"/>
  <c r="M120" i="9"/>
  <c r="L35" i="11" s="1"/>
  <c r="L120" i="9"/>
  <c r="K35" i="11"/>
  <c r="K120" i="9"/>
  <c r="J120" i="9"/>
  <c r="I35" i="11" s="1"/>
  <c r="I120" i="9"/>
  <c r="H35" i="11"/>
  <c r="H120" i="9"/>
  <c r="G35" i="11" s="1"/>
  <c r="G120" i="9"/>
  <c r="Q119" i="9"/>
  <c r="P119" i="9"/>
  <c r="O119" i="9"/>
  <c r="N33" i="11" s="1"/>
  <c r="N119" i="9"/>
  <c r="M119" i="9"/>
  <c r="L119" i="9"/>
  <c r="K119" i="9"/>
  <c r="J33" i="11"/>
  <c r="J119" i="9"/>
  <c r="I33" i="11"/>
  <c r="I119" i="9"/>
  <c r="H119" i="9"/>
  <c r="G119" i="9"/>
  <c r="F33" i="11"/>
  <c r="Q115" i="9"/>
  <c r="P115" i="9"/>
  <c r="F122" i="8" s="1"/>
  <c r="O115" i="9"/>
  <c r="E122" i="8" s="1"/>
  <c r="N115" i="9"/>
  <c r="M115" i="9"/>
  <c r="L115" i="9"/>
  <c r="K115" i="9"/>
  <c r="J115" i="9"/>
  <c r="I115" i="9"/>
  <c r="H115" i="9"/>
  <c r="G115" i="9"/>
  <c r="Q114" i="9"/>
  <c r="P114" i="9"/>
  <c r="O114" i="9"/>
  <c r="N114" i="9"/>
  <c r="M114" i="9"/>
  <c r="L114" i="9"/>
  <c r="K114" i="9"/>
  <c r="J114" i="9"/>
  <c r="I114" i="9"/>
  <c r="H114" i="9"/>
  <c r="G114" i="9"/>
  <c r="G79" i="9"/>
  <c r="M79" i="9"/>
  <c r="Q46" i="9"/>
  <c r="M46" i="9"/>
  <c r="L46" i="9"/>
  <c r="V59" i="19"/>
  <c r="V58" i="19"/>
  <c r="V57" i="19"/>
  <c r="V56" i="19"/>
  <c r="V55" i="19"/>
  <c r="V54" i="19"/>
  <c r="V53" i="19"/>
  <c r="V52" i="19"/>
  <c r="V51" i="19"/>
  <c r="V50" i="19"/>
  <c r="V49" i="19"/>
  <c r="V48" i="19"/>
  <c r="V47" i="19"/>
  <c r="P61" i="11"/>
  <c r="O61" i="11"/>
  <c r="N61" i="11"/>
  <c r="M61" i="11"/>
  <c r="L61" i="11"/>
  <c r="K61" i="11"/>
  <c r="J61" i="11"/>
  <c r="I61" i="11"/>
  <c r="H61" i="11"/>
  <c r="G61" i="11"/>
  <c r="F61" i="11"/>
  <c r="N67" i="17"/>
  <c r="M67" i="17"/>
  <c r="L67" i="17"/>
  <c r="K67" i="17"/>
  <c r="J67" i="17"/>
  <c r="I67" i="17"/>
  <c r="H67" i="17"/>
  <c r="G67" i="17"/>
  <c r="K16" i="27"/>
  <c r="K15" i="27"/>
  <c r="K14" i="27"/>
  <c r="K13" i="27"/>
  <c r="K12" i="27"/>
  <c r="N66" i="17"/>
  <c r="M66" i="17"/>
  <c r="L66" i="17"/>
  <c r="K66" i="17"/>
  <c r="J66" i="17"/>
  <c r="I66" i="17"/>
  <c r="H66" i="17"/>
  <c r="G66" i="17"/>
  <c r="N63" i="17"/>
  <c r="M63" i="17"/>
  <c r="L63" i="17"/>
  <c r="K63" i="17"/>
  <c r="J63" i="17"/>
  <c r="I63" i="17"/>
  <c r="H63" i="17"/>
  <c r="G63" i="17"/>
  <c r="I105" i="9"/>
  <c r="J105" i="9"/>
  <c r="K105" i="9" s="1"/>
  <c r="L105" i="9" s="1"/>
  <c r="M105" i="9" s="1"/>
  <c r="N105" i="9" s="1"/>
  <c r="O105" i="9" s="1"/>
  <c r="P105" i="9" s="1"/>
  <c r="Q105" i="9" s="1"/>
  <c r="N65" i="17"/>
  <c r="M65" i="17"/>
  <c r="L65" i="17"/>
  <c r="K65" i="17"/>
  <c r="J65" i="17"/>
  <c r="I65" i="17"/>
  <c r="H65" i="17"/>
  <c r="G65" i="17"/>
  <c r="G64" i="17"/>
  <c r="H64" i="17"/>
  <c r="I64" i="17"/>
  <c r="J64" i="17"/>
  <c r="K64" i="17"/>
  <c r="L64" i="17"/>
  <c r="M64" i="17"/>
  <c r="N64" i="17"/>
  <c r="G68" i="17"/>
  <c r="H68" i="17"/>
  <c r="I68" i="17"/>
  <c r="J68" i="17"/>
  <c r="K68" i="17"/>
  <c r="L68" i="17"/>
  <c r="M68" i="17"/>
  <c r="N68" i="17"/>
  <c r="Q80" i="28"/>
  <c r="P80" i="28"/>
  <c r="O80" i="28"/>
  <c r="N80" i="28"/>
  <c r="M80" i="28"/>
  <c r="L80" i="28"/>
  <c r="K80" i="28"/>
  <c r="J80" i="28"/>
  <c r="I80" i="28"/>
  <c r="H80" i="28"/>
  <c r="G80" i="28"/>
  <c r="Q79" i="28"/>
  <c r="P79" i="28"/>
  <c r="O79" i="28"/>
  <c r="N79" i="28"/>
  <c r="M79" i="28"/>
  <c r="L79" i="28"/>
  <c r="K79" i="28"/>
  <c r="J79" i="28"/>
  <c r="I79" i="28"/>
  <c r="H79" i="28"/>
  <c r="G79" i="28"/>
  <c r="Q78" i="28"/>
  <c r="P78" i="28"/>
  <c r="O78" i="28"/>
  <c r="N78" i="28"/>
  <c r="M78" i="28"/>
  <c r="L78" i="28"/>
  <c r="K78" i="28"/>
  <c r="J78" i="28"/>
  <c r="I78" i="28"/>
  <c r="H78" i="28"/>
  <c r="G78" i="28"/>
  <c r="Q77" i="28"/>
  <c r="P77" i="28"/>
  <c r="O77" i="28"/>
  <c r="N77" i="28"/>
  <c r="M77" i="28"/>
  <c r="L77" i="28"/>
  <c r="K77" i="28"/>
  <c r="J77" i="28"/>
  <c r="I77" i="28"/>
  <c r="H77" i="28"/>
  <c r="G77" i="28"/>
  <c r="Q76" i="28"/>
  <c r="P76" i="28"/>
  <c r="O76" i="28"/>
  <c r="N76" i="28"/>
  <c r="M76" i="28"/>
  <c r="L76" i="28"/>
  <c r="K76" i="28"/>
  <c r="J76" i="28"/>
  <c r="I76" i="28"/>
  <c r="H76" i="28"/>
  <c r="G76" i="28"/>
  <c r="H74" i="28"/>
  <c r="I74" i="28" s="1"/>
  <c r="J74" i="28" s="1"/>
  <c r="K74" i="28" s="1"/>
  <c r="L74" i="28" s="1"/>
  <c r="M74" i="28" s="1"/>
  <c r="N74" i="28" s="1"/>
  <c r="O74" i="28" s="1"/>
  <c r="P74" i="28" s="1"/>
  <c r="Q74" i="28" s="1"/>
  <c r="H25" i="17"/>
  <c r="N36" i="17"/>
  <c r="M36" i="17"/>
  <c r="L36" i="17"/>
  <c r="K36" i="17"/>
  <c r="J36" i="17"/>
  <c r="I36" i="17"/>
  <c r="H36" i="17"/>
  <c r="N35" i="17"/>
  <c r="M35" i="17"/>
  <c r="L35" i="17"/>
  <c r="K35" i="17"/>
  <c r="J35" i="17"/>
  <c r="I35" i="17"/>
  <c r="H35" i="17"/>
  <c r="N34" i="17"/>
  <c r="M34" i="17"/>
  <c r="L34" i="17"/>
  <c r="K34" i="17"/>
  <c r="J34" i="17"/>
  <c r="I34" i="17"/>
  <c r="H34" i="17"/>
  <c r="N33" i="17"/>
  <c r="M33" i="17"/>
  <c r="L33" i="17"/>
  <c r="K33" i="17"/>
  <c r="J33" i="17"/>
  <c r="I33" i="17"/>
  <c r="H33" i="17"/>
  <c r="N32" i="17"/>
  <c r="M32" i="17"/>
  <c r="L32" i="17"/>
  <c r="K32" i="17"/>
  <c r="J32" i="17"/>
  <c r="I32" i="17"/>
  <c r="H32" i="17"/>
  <c r="G32" i="17"/>
  <c r="N31" i="17"/>
  <c r="M31" i="17"/>
  <c r="L31" i="17"/>
  <c r="K31" i="17"/>
  <c r="J31" i="17"/>
  <c r="I31" i="17"/>
  <c r="H31" i="17"/>
  <c r="G31" i="17"/>
  <c r="N41" i="17"/>
  <c r="M41" i="17"/>
  <c r="L41" i="17"/>
  <c r="K41" i="17"/>
  <c r="J41" i="17"/>
  <c r="I41" i="17"/>
  <c r="H41" i="17"/>
  <c r="G41" i="17"/>
  <c r="N40" i="17"/>
  <c r="M40" i="17"/>
  <c r="L40" i="17"/>
  <c r="K40" i="17"/>
  <c r="J40" i="17"/>
  <c r="I40" i="17"/>
  <c r="H40" i="17"/>
  <c r="G40" i="17"/>
  <c r="N48" i="17"/>
  <c r="M48" i="17"/>
  <c r="L48" i="17"/>
  <c r="K48" i="17"/>
  <c r="J48" i="17"/>
  <c r="I48" i="17"/>
  <c r="H48" i="17"/>
  <c r="G48" i="17"/>
  <c r="N47" i="17"/>
  <c r="M47" i="17"/>
  <c r="L47" i="17"/>
  <c r="K47" i="17"/>
  <c r="J47" i="17"/>
  <c r="I47" i="17"/>
  <c r="H47" i="17"/>
  <c r="N46" i="17"/>
  <c r="M46" i="17"/>
  <c r="L46" i="17"/>
  <c r="K46" i="17"/>
  <c r="J46" i="17"/>
  <c r="I46" i="17"/>
  <c r="H46" i="17"/>
  <c r="O78" i="17"/>
  <c r="O77" i="17"/>
  <c r="O76" i="17"/>
  <c r="O69" i="17"/>
  <c r="N62" i="17"/>
  <c r="M62" i="17"/>
  <c r="L62" i="17"/>
  <c r="K62" i="17"/>
  <c r="J62" i="17"/>
  <c r="I62" i="17"/>
  <c r="H62" i="17"/>
  <c r="N61" i="17"/>
  <c r="M61" i="17"/>
  <c r="L61" i="17"/>
  <c r="K61" i="17"/>
  <c r="J61" i="17"/>
  <c r="I61" i="17"/>
  <c r="H61" i="17"/>
  <c r="G61" i="17"/>
  <c r="H60" i="28"/>
  <c r="I60" i="28" s="1"/>
  <c r="J60" i="28" s="1"/>
  <c r="K60" i="28" s="1"/>
  <c r="L60" i="28" s="1"/>
  <c r="M60" i="28" s="1"/>
  <c r="N60" i="28" s="1"/>
  <c r="O60" i="28" s="1"/>
  <c r="P60" i="28" s="1"/>
  <c r="Q60" i="28" s="1"/>
  <c r="H46" i="28"/>
  <c r="I46" i="28" s="1"/>
  <c r="J46" i="28" s="1"/>
  <c r="K46" i="28" s="1"/>
  <c r="L46" i="28" s="1"/>
  <c r="M46" i="28" s="1"/>
  <c r="N46" i="28" s="1"/>
  <c r="O46" i="28" s="1"/>
  <c r="P46" i="28" s="1"/>
  <c r="Q46" i="28" s="1"/>
  <c r="H18" i="28"/>
  <c r="I18" i="28" s="1"/>
  <c r="J18" i="28" s="1"/>
  <c r="K18" i="28" s="1"/>
  <c r="L18" i="28" s="1"/>
  <c r="M18" i="28" s="1"/>
  <c r="N18" i="28" s="1"/>
  <c r="O18" i="28" s="1"/>
  <c r="P18" i="28" s="1"/>
  <c r="Q18" i="28" s="1"/>
  <c r="H32" i="28"/>
  <c r="I32" i="28" s="1"/>
  <c r="J32" i="28" s="1"/>
  <c r="K32" i="28" s="1"/>
  <c r="L32" i="28" s="1"/>
  <c r="M32" i="28" s="1"/>
  <c r="N32" i="28" s="1"/>
  <c r="O32" i="28" s="1"/>
  <c r="P32" i="28" s="1"/>
  <c r="Q32" i="28" s="1"/>
  <c r="H4" i="28"/>
  <c r="I4" i="28" s="1"/>
  <c r="O25" i="19"/>
  <c r="P25" i="19"/>
  <c r="Q25" i="19" s="1"/>
  <c r="R25" i="19" s="1"/>
  <c r="O53" i="19"/>
  <c r="P53" i="19"/>
  <c r="Q53" i="19" s="1"/>
  <c r="R53" i="19" s="1"/>
  <c r="O45" i="19"/>
  <c r="P45" i="19"/>
  <c r="Q45" i="19" s="1"/>
  <c r="R45" i="19" s="1"/>
  <c r="O40" i="19"/>
  <c r="P40" i="19"/>
  <c r="Q40" i="19" s="1"/>
  <c r="R40" i="19" s="1"/>
  <c r="O35" i="19"/>
  <c r="P35" i="19"/>
  <c r="Q35" i="19" s="1"/>
  <c r="R35" i="19" s="1"/>
  <c r="O17" i="19"/>
  <c r="P17" i="19"/>
  <c r="Q17" i="19" s="1"/>
  <c r="R17" i="19" s="1"/>
  <c r="G17" i="19"/>
  <c r="H17" i="19"/>
  <c r="I17" i="19" s="1"/>
  <c r="H25" i="19"/>
  <c r="D27" i="19"/>
  <c r="D28" i="19"/>
  <c r="D29" i="19" s="1"/>
  <c r="D30" i="19" s="1"/>
  <c r="D31" i="19" s="1"/>
  <c r="D32" i="19" s="1"/>
  <c r="D33" i="19" s="1"/>
  <c r="O80" i="17"/>
  <c r="O71" i="17"/>
  <c r="O50" i="17"/>
  <c r="O44" i="17"/>
  <c r="O38" i="17"/>
  <c r="O59" i="17" s="1"/>
  <c r="H27" i="17"/>
  <c r="H26" i="17"/>
  <c r="H24" i="17"/>
  <c r="O47" i="11"/>
  <c r="P47" i="11"/>
  <c r="Q47" i="11"/>
  <c r="R47" i="11"/>
  <c r="G47" i="11"/>
  <c r="H47" i="11"/>
  <c r="I47" i="11"/>
  <c r="J47" i="11"/>
  <c r="K47" i="11"/>
  <c r="L47" i="11"/>
  <c r="M47" i="11"/>
  <c r="O38" i="11"/>
  <c r="P38" i="11"/>
  <c r="Q38" i="11"/>
  <c r="R38" i="11"/>
  <c r="G38" i="11"/>
  <c r="H38" i="11"/>
  <c r="I38" i="11"/>
  <c r="J38" i="11"/>
  <c r="K38" i="11"/>
  <c r="L38" i="11"/>
  <c r="M38" i="11"/>
  <c r="O31" i="11"/>
  <c r="P31" i="11"/>
  <c r="Q31" i="11"/>
  <c r="R31" i="11"/>
  <c r="G31" i="11"/>
  <c r="H31" i="11"/>
  <c r="I31" i="11"/>
  <c r="J31" i="11"/>
  <c r="K31" i="11"/>
  <c r="L31" i="11"/>
  <c r="M31" i="11"/>
  <c r="O25" i="11"/>
  <c r="P25" i="11"/>
  <c r="Q25" i="11"/>
  <c r="R25" i="11"/>
  <c r="G25" i="11"/>
  <c r="H25" i="11"/>
  <c r="I25" i="11"/>
  <c r="J25" i="11"/>
  <c r="K25" i="11"/>
  <c r="L25" i="11"/>
  <c r="M25" i="11"/>
  <c r="O13" i="11"/>
  <c r="P13" i="11"/>
  <c r="Q13" i="11"/>
  <c r="R13" i="11"/>
  <c r="G13" i="11"/>
  <c r="H13" i="11"/>
  <c r="I13" i="11"/>
  <c r="J13" i="11"/>
  <c r="K13" i="11"/>
  <c r="L13" i="11"/>
  <c r="M13" i="11"/>
  <c r="G4" i="11"/>
  <c r="H4" i="11"/>
  <c r="I4" i="11"/>
  <c r="J4" i="11"/>
  <c r="K4" i="11"/>
  <c r="L4" i="11"/>
  <c r="M4" i="11"/>
  <c r="F11" i="3"/>
  <c r="N56" i="17"/>
  <c r="M56" i="17"/>
  <c r="L56" i="17"/>
  <c r="K56" i="17"/>
  <c r="J56" i="17"/>
  <c r="I56" i="17"/>
  <c r="H56" i="17"/>
  <c r="G56" i="17"/>
  <c r="N55" i="17"/>
  <c r="M55" i="17"/>
  <c r="L55" i="17"/>
  <c r="K55" i="17"/>
  <c r="J55" i="17"/>
  <c r="I55" i="17"/>
  <c r="H55" i="17"/>
  <c r="G55" i="17"/>
  <c r="N54" i="17"/>
  <c r="M54" i="17"/>
  <c r="M57" i="17" s="1"/>
  <c r="L54" i="17"/>
  <c r="K54" i="17"/>
  <c r="J54" i="17"/>
  <c r="I54" i="17"/>
  <c r="H54" i="17"/>
  <c r="G54" i="17"/>
  <c r="G57" i="17" s="1"/>
  <c r="N53" i="17"/>
  <c r="M53" i="17"/>
  <c r="L53" i="17"/>
  <c r="K53" i="17"/>
  <c r="J53" i="17"/>
  <c r="I53" i="17"/>
  <c r="H53" i="17"/>
  <c r="N52" i="17"/>
  <c r="M52" i="17"/>
  <c r="L52" i="17"/>
  <c r="K52" i="17"/>
  <c r="J52" i="17"/>
  <c r="I52" i="17"/>
  <c r="H52" i="17"/>
  <c r="G52" i="17"/>
  <c r="N42" i="17"/>
  <c r="M42" i="17"/>
  <c r="L42" i="17"/>
  <c r="K42" i="17"/>
  <c r="J42" i="17"/>
  <c r="I42" i="17"/>
  <c r="H42" i="17"/>
  <c r="G42" i="17"/>
  <c r="N101" i="17"/>
  <c r="M101" i="17"/>
  <c r="L101" i="17"/>
  <c r="K101" i="17"/>
  <c r="J101" i="17"/>
  <c r="H101" i="17"/>
  <c r="G101" i="17"/>
  <c r="I101" i="17"/>
  <c r="A17" i="17"/>
  <c r="M17" i="17" s="1" a="1"/>
  <c r="M17" i="17" s="1"/>
  <c r="A16" i="17"/>
  <c r="N16" i="17" s="1" a="1"/>
  <c r="N16" i="17" s="1"/>
  <c r="A15" i="17"/>
  <c r="M15" i="17" s="1" a="1"/>
  <c r="M15" i="17" s="1"/>
  <c r="A14" i="17"/>
  <c r="O14" i="17" s="1" a="1"/>
  <c r="O14" i="17" s="1"/>
  <c r="A13" i="17"/>
  <c r="N13" i="17" s="1" a="1"/>
  <c r="N13" i="17" s="1"/>
  <c r="A12" i="17"/>
  <c r="A11" i="17"/>
  <c r="C11" i="17" s="1" a="1"/>
  <c r="C11" i="17" s="1"/>
  <c r="A10" i="17"/>
  <c r="B32" i="3" s="1" a="1"/>
  <c r="B32" i="3" s="1"/>
  <c r="A9" i="17"/>
  <c r="C9" i="17" s="1" a="1"/>
  <c r="C9" i="17" s="1"/>
  <c r="D93" i="17"/>
  <c r="D85" i="17" s="1" a="1"/>
  <c r="D85" i="17" s="1"/>
  <c r="W8" i="8"/>
  <c r="W9" i="8" s="1"/>
  <c r="W10" i="8" s="1"/>
  <c r="W11" i="8" s="1"/>
  <c r="W12" i="8" s="1"/>
  <c r="W13" i="8" s="1"/>
  <c r="W14" i="8" s="1"/>
  <c r="H66" i="8"/>
  <c r="Q66" i="8"/>
  <c r="P66" i="8"/>
  <c r="O66" i="8"/>
  <c r="N66" i="8"/>
  <c r="M66" i="8"/>
  <c r="L66" i="8"/>
  <c r="K66" i="8"/>
  <c r="J66" i="8"/>
  <c r="I66" i="8"/>
  <c r="H111" i="9"/>
  <c r="I111" i="9"/>
  <c r="J111" i="9" s="1"/>
  <c r="K111" i="9" s="1"/>
  <c r="L111" i="9" s="1"/>
  <c r="M111" i="9" s="1"/>
  <c r="N111" i="9" s="1"/>
  <c r="O111" i="9" s="1"/>
  <c r="P111" i="9" s="1"/>
  <c r="Q111" i="9" s="1"/>
  <c r="F56" i="8"/>
  <c r="F127" i="8" s="1"/>
  <c r="F240" i="8" s="1"/>
  <c r="G61" i="8"/>
  <c r="G150" i="8"/>
  <c r="E61" i="8"/>
  <c r="E48" i="8"/>
  <c r="E158" i="8"/>
  <c r="F150" i="8"/>
  <c r="F158" i="8"/>
  <c r="E105" i="8"/>
  <c r="G168" i="8"/>
  <c r="G48" i="8"/>
  <c r="F97" i="8"/>
  <c r="E75" i="8"/>
  <c r="E170" i="8"/>
  <c r="F48" i="8"/>
  <c r="G158" i="8"/>
  <c r="G51" i="8"/>
  <c r="E136" i="8"/>
  <c r="F105" i="8"/>
  <c r="G105" i="8"/>
  <c r="F61" i="8"/>
  <c r="L68" i="9"/>
  <c r="P68" i="9"/>
  <c r="F132" i="8"/>
  <c r="F193" i="8" s="1"/>
  <c r="F244" i="8" s="1"/>
  <c r="H68" i="9"/>
  <c r="G37" i="9"/>
  <c r="O33" i="11"/>
  <c r="F35" i="11"/>
  <c r="AH9" i="8"/>
  <c r="H37" i="9"/>
  <c r="H53" i="9"/>
  <c r="AI9" i="8"/>
  <c r="I68" i="9"/>
  <c r="M68" i="9"/>
  <c r="Q68" i="9"/>
  <c r="G132" i="8"/>
  <c r="G193" i="8" s="1"/>
  <c r="G244" i="8" s="1"/>
  <c r="G68" i="9"/>
  <c r="K68" i="9"/>
  <c r="O68" i="9"/>
  <c r="E132" i="8" s="1"/>
  <c r="E193" i="8" s="1"/>
  <c r="E244" i="8" s="1"/>
  <c r="M33" i="11"/>
  <c r="F34" i="11"/>
  <c r="J68" i="9"/>
  <c r="N68" i="9"/>
  <c r="G91" i="9"/>
  <c r="H91" i="9"/>
  <c r="I91" i="9"/>
  <c r="J91" i="9"/>
  <c r="K91" i="9"/>
  <c r="L91" i="9"/>
  <c r="M91" i="9"/>
  <c r="N91" i="9"/>
  <c r="O91" i="9"/>
  <c r="E166" i="8"/>
  <c r="P91" i="9"/>
  <c r="F166" i="8" s="1"/>
  <c r="Q91" i="9"/>
  <c r="G166" i="8" s="1"/>
  <c r="K53" i="9"/>
  <c r="H58" i="9"/>
  <c r="I58" i="9"/>
  <c r="J58" i="9"/>
  <c r="L58" i="9"/>
  <c r="M58" i="9"/>
  <c r="N58" i="9"/>
  <c r="P58" i="9"/>
  <c r="Q58" i="9"/>
  <c r="O4" i="11"/>
  <c r="P4" i="11"/>
  <c r="Q4" i="11"/>
  <c r="R4" i="11"/>
  <c r="H64" i="9"/>
  <c r="I64" i="9" s="1"/>
  <c r="J64" i="9" s="1"/>
  <c r="K64" i="9" s="1"/>
  <c r="L64" i="9" s="1"/>
  <c r="M64" i="9" s="1"/>
  <c r="N64" i="9" s="1"/>
  <c r="O64" i="9" s="1"/>
  <c r="P64" i="9" s="1"/>
  <c r="Q64" i="9" s="1"/>
  <c r="Q45" i="9"/>
  <c r="G109" i="8"/>
  <c r="H45" i="9"/>
  <c r="H30" i="9"/>
  <c r="I30" i="9" s="1"/>
  <c r="J30" i="9" s="1"/>
  <c r="K30" i="9" s="1"/>
  <c r="L30" i="9" s="1"/>
  <c r="M30" i="9" s="1"/>
  <c r="N30" i="9" s="1"/>
  <c r="O30" i="9" s="1"/>
  <c r="P30" i="9" s="1"/>
  <c r="Q30" i="9" s="1"/>
  <c r="H4" i="9"/>
  <c r="P202" i="8"/>
  <c r="H202" i="8" s="1"/>
  <c r="H201" i="8" s="1"/>
  <c r="F15" i="8"/>
  <c r="G15" i="8" s="1"/>
  <c r="H15" i="8" s="1"/>
  <c r="I15" i="8" s="1"/>
  <c r="J15" i="8" s="1"/>
  <c r="K15" i="8" s="1"/>
  <c r="L15" i="8" s="1"/>
  <c r="M15" i="8" s="1"/>
  <c r="N15" i="8" s="1"/>
  <c r="O15" i="8" s="1"/>
  <c r="P15" i="8" s="1"/>
  <c r="Q15" i="8" s="1"/>
  <c r="L10" i="8"/>
  <c r="C13" i="8"/>
  <c r="F10" i="8"/>
  <c r="I45" i="4"/>
  <c r="H45" i="4"/>
  <c r="G45" i="4"/>
  <c r="F45" i="4"/>
  <c r="J44" i="4"/>
  <c r="K44" i="4"/>
  <c r="L44" i="4"/>
  <c r="M44" i="4"/>
  <c r="N44" i="4"/>
  <c r="O44" i="4"/>
  <c r="P44" i="4"/>
  <c r="Q44" i="4"/>
  <c r="R44" i="4"/>
  <c r="S44" i="4"/>
  <c r="I43" i="4"/>
  <c r="H43" i="4"/>
  <c r="G43" i="4"/>
  <c r="F43" i="4"/>
  <c r="J42" i="4"/>
  <c r="K42" i="4"/>
  <c r="L42" i="4"/>
  <c r="M42" i="4"/>
  <c r="N42" i="4"/>
  <c r="O42" i="4"/>
  <c r="P42" i="4"/>
  <c r="Q42" i="4"/>
  <c r="R42" i="4"/>
  <c r="S42" i="4"/>
  <c r="I41" i="4"/>
  <c r="H41" i="4"/>
  <c r="G41" i="4"/>
  <c r="F41" i="4"/>
  <c r="J40" i="4"/>
  <c r="K40" i="4"/>
  <c r="L40" i="4"/>
  <c r="M40" i="4"/>
  <c r="N40" i="4"/>
  <c r="O40" i="4"/>
  <c r="P40" i="4"/>
  <c r="Q40" i="4"/>
  <c r="R40" i="4"/>
  <c r="S40" i="4"/>
  <c r="F32" i="4"/>
  <c r="G32" i="4"/>
  <c r="H32" i="4"/>
  <c r="I32" i="4"/>
  <c r="J32" i="4"/>
  <c r="K32" i="4"/>
  <c r="L32" i="4"/>
  <c r="M32" i="4"/>
  <c r="N32" i="4"/>
  <c r="O32" i="4"/>
  <c r="P32" i="4"/>
  <c r="Q32" i="4"/>
  <c r="R32" i="4"/>
  <c r="S32" i="4"/>
  <c r="B30" i="4"/>
  <c r="B29" i="4"/>
  <c r="H22" i="4"/>
  <c r="L15" i="4"/>
  <c r="M15" i="4"/>
  <c r="N15" i="4"/>
  <c r="F15" i="4"/>
  <c r="G15" i="4"/>
  <c r="H15" i="4"/>
  <c r="I15" i="4"/>
  <c r="I13" i="4"/>
  <c r="H13" i="4"/>
  <c r="G13" i="4"/>
  <c r="L13" i="4"/>
  <c r="F13" i="4"/>
  <c r="E13" i="4"/>
  <c r="L4" i="4"/>
  <c r="M4" i="4"/>
  <c r="N4" i="4"/>
  <c r="F4" i="4"/>
  <c r="G11" i="3"/>
  <c r="G4" i="3"/>
  <c r="H4" i="3"/>
  <c r="F72" i="8"/>
  <c r="G107" i="8"/>
  <c r="G45" i="8"/>
  <c r="K33" i="11"/>
  <c r="G170" i="8"/>
  <c r="G78" i="8"/>
  <c r="F136" i="8"/>
  <c r="E104" i="8"/>
  <c r="G129" i="8"/>
  <c r="G242" i="8" s="1"/>
  <c r="F94" i="8"/>
  <c r="L33" i="11"/>
  <c r="H33" i="11"/>
  <c r="G104" i="8"/>
  <c r="E97" i="8"/>
  <c r="F51" i="8"/>
  <c r="F143" i="8"/>
  <c r="F163" i="8"/>
  <c r="G136" i="8"/>
  <c r="E69" i="8"/>
  <c r="G69" i="8"/>
  <c r="G155" i="8"/>
  <c r="G163" i="8"/>
  <c r="E140" i="8"/>
  <c r="G140" i="8"/>
  <c r="F170" i="8"/>
  <c r="G75" i="8"/>
  <c r="F45" i="8"/>
  <c r="F161" i="8"/>
  <c r="F104" i="8"/>
  <c r="E150" i="8"/>
  <c r="F59" i="8"/>
  <c r="E114" i="8"/>
  <c r="G94" i="8"/>
  <c r="E78" i="8"/>
  <c r="F140" i="8"/>
  <c r="E72" i="8"/>
  <c r="E73" i="8" s="1"/>
  <c r="E94" i="8"/>
  <c r="O34" i="11"/>
  <c r="E51" i="8"/>
  <c r="E45" i="8"/>
  <c r="E107" i="8"/>
  <c r="K34" i="11"/>
  <c r="E143" i="8"/>
  <c r="G114" i="8"/>
  <c r="E82" i="8"/>
  <c r="E168" i="8"/>
  <c r="J35" i="11"/>
  <c r="E155" i="8"/>
  <c r="F78" i="8"/>
  <c r="G143" i="8"/>
  <c r="F75" i="8"/>
  <c r="E129" i="8"/>
  <c r="E191" i="8" s="1"/>
  <c r="F114" i="8"/>
  <c r="F152" i="8"/>
  <c r="E161" i="8"/>
  <c r="M35" i="11"/>
  <c r="F168" i="8"/>
  <c r="G33" i="11"/>
  <c r="E59" i="8"/>
  <c r="E152" i="8"/>
  <c r="F107" i="8"/>
  <c r="G34" i="11"/>
  <c r="G72" i="8"/>
  <c r="G73" i="8" s="1"/>
  <c r="F69" i="8"/>
  <c r="G97" i="8"/>
  <c r="G152" i="8"/>
  <c r="H34" i="11"/>
  <c r="F82" i="8"/>
  <c r="F155" i="8"/>
  <c r="G56" i="8"/>
  <c r="F129" i="8"/>
  <c r="F242" i="8" s="1"/>
  <c r="E163" i="8"/>
  <c r="G161" i="8"/>
  <c r="I4" i="3"/>
  <c r="O58" i="9"/>
  <c r="K58" i="9"/>
  <c r="Q37" i="9"/>
  <c r="G100" i="8"/>
  <c r="C9" i="27"/>
  <c r="M37" i="9"/>
  <c r="N11" i="3"/>
  <c r="I45" i="9"/>
  <c r="J45" i="9"/>
  <c r="O45" i="9"/>
  <c r="E109" i="8"/>
  <c r="P45" i="9"/>
  <c r="F109" i="8" s="1"/>
  <c r="G45" i="9"/>
  <c r="K45" i="9"/>
  <c r="L45" i="9"/>
  <c r="M45" i="9"/>
  <c r="N45" i="9"/>
  <c r="I4" i="9"/>
  <c r="L11" i="3"/>
  <c r="P11" i="3"/>
  <c r="J11" i="3"/>
  <c r="O11" i="3"/>
  <c r="H11" i="3"/>
  <c r="I11" i="3"/>
  <c r="K11" i="3"/>
  <c r="E11" i="3"/>
  <c r="M11" i="3"/>
  <c r="G120" i="8"/>
  <c r="F120" i="8"/>
  <c r="P34" i="11"/>
  <c r="P33" i="11"/>
  <c r="E120" i="8"/>
  <c r="F66" i="8"/>
  <c r="G122" i="8"/>
  <c r="E138" i="8"/>
  <c r="E246" i="8" s="1"/>
  <c r="E56" i="8"/>
  <c r="E66" i="8"/>
  <c r="J4" i="3"/>
  <c r="K4" i="3"/>
  <c r="L4" i="3"/>
  <c r="M4" i="3"/>
  <c r="N4" i="3"/>
  <c r="O4" i="3"/>
  <c r="P4" i="3"/>
  <c r="Q4" i="3"/>
  <c r="J4" i="9"/>
  <c r="C11" i="27"/>
  <c r="C10" i="27"/>
  <c r="C7" i="27"/>
  <c r="C8" i="27"/>
  <c r="F50" i="11"/>
  <c r="K50" i="11"/>
  <c r="I50" i="11"/>
  <c r="J50" i="11"/>
  <c r="L51" i="11"/>
  <c r="L50" i="11"/>
  <c r="I51" i="11"/>
  <c r="N50" i="11"/>
  <c r="N55" i="19" s="1"/>
  <c r="G50" i="11"/>
  <c r="F49" i="11"/>
  <c r="E16" i="27"/>
  <c r="F16" i="27"/>
  <c r="D16" i="27"/>
  <c r="H79" i="9"/>
  <c r="H84" i="9" s="1"/>
  <c r="I79" i="9"/>
  <c r="I84" i="9"/>
  <c r="J79" i="9"/>
  <c r="K79" i="9"/>
  <c r="K84" i="9" s="1"/>
  <c r="L79" i="9"/>
  <c r="N79" i="9"/>
  <c r="N84" i="9" s="1"/>
  <c r="O79" i="9"/>
  <c r="O84" i="9" s="1"/>
  <c r="E148" i="8" s="1"/>
  <c r="P79" i="9"/>
  <c r="F146" i="8"/>
  <c r="Q79" i="9"/>
  <c r="G146" i="8" s="1"/>
  <c r="P84" i="9"/>
  <c r="F148" i="8" s="1"/>
  <c r="M84" i="9"/>
  <c r="F6" i="27"/>
  <c r="H6" i="27"/>
  <c r="G6" i="27"/>
  <c r="D6" i="27"/>
  <c r="E6" i="27"/>
  <c r="C18" i="27"/>
  <c r="C19" i="27"/>
  <c r="C17" i="27"/>
  <c r="M74" i="17" a="1"/>
  <c r="M74" i="17" s="1"/>
  <c r="M75" i="17" s="1"/>
  <c r="N17" i="6" s="1"/>
  <c r="L74" i="17" a="1"/>
  <c r="L74" i="17" s="1"/>
  <c r="L75" i="17" s="1"/>
  <c r="N16" i="6" s="1"/>
  <c r="K74" i="17" a="1"/>
  <c r="K74" i="17" s="1"/>
  <c r="K75" i="17" s="1"/>
  <c r="N15" i="6" s="1"/>
  <c r="J74" i="17" a="1"/>
  <c r="N85" i="17" a="1"/>
  <c r="L85" i="17" a="1"/>
  <c r="L85" i="17" s="1"/>
  <c r="K85" i="17" a="1"/>
  <c r="K85" i="17" s="1"/>
  <c r="J85" i="17" a="1"/>
  <c r="J85" i="17" s="1"/>
  <c r="I85" i="17" a="1"/>
  <c r="I85" i="17" s="1"/>
  <c r="N74" i="17" a="1"/>
  <c r="N74" i="17" s="1"/>
  <c r="N75" i="17" s="1"/>
  <c r="N18" i="6" s="1"/>
  <c r="I74" i="17" a="1"/>
  <c r="M85" i="17" a="1"/>
  <c r="M85" i="17" s="1"/>
  <c r="D99" i="17"/>
  <c r="D100" i="17"/>
  <c r="D133" i="17"/>
  <c r="D117" i="17"/>
  <c r="D121" i="17"/>
  <c r="D116" i="17"/>
  <c r="D96" i="17"/>
  <c r="D108" i="17"/>
  <c r="D132" i="17"/>
  <c r="D130" i="17"/>
  <c r="D106" i="17"/>
  <c r="D109" i="17"/>
  <c r="D122" i="17"/>
  <c r="D115" i="17"/>
  <c r="D119" i="17"/>
  <c r="D128" i="17"/>
  <c r="D120" i="17"/>
  <c r="D113" i="17"/>
  <c r="D118" i="17"/>
  <c r="D134" i="17"/>
  <c r="D114" i="17"/>
  <c r="D95" i="17"/>
  <c r="D131" i="17"/>
  <c r="G74" i="17" a="1"/>
  <c r="G74" i="17" s="1"/>
  <c r="F85" i="17" a="1"/>
  <c r="F85" i="17" s="1"/>
  <c r="U9" i="19" a="1"/>
  <c r="U9" i="19" s="1"/>
  <c r="H85" i="17" a="1"/>
  <c r="H85" i="17" s="1"/>
  <c r="H74" i="17" a="1"/>
  <c r="H74" i="17" s="1"/>
  <c r="H75" i="17" s="1"/>
  <c r="N12" i="6" s="1"/>
  <c r="E74" i="17" a="1"/>
  <c r="E74" i="17" s="1"/>
  <c r="E75" i="17" s="1"/>
  <c r="N9" i="6" s="1"/>
  <c r="F74" i="17" a="1"/>
  <c r="F74" i="17" s="1"/>
  <c r="F75" i="17" s="1"/>
  <c r="N10" i="6" s="1"/>
  <c r="D6" i="19" a="1"/>
  <c r="D6" i="19" s="1"/>
  <c r="E85" i="17" a="1"/>
  <c r="E85" i="17" s="1"/>
  <c r="G85" i="17" a="1"/>
  <c r="G85" i="17" s="1"/>
  <c r="B29" i="3" a="1"/>
  <c r="B29" i="3" s="1"/>
  <c r="M16" i="9"/>
  <c r="L18" i="11"/>
  <c r="H113" i="9"/>
  <c r="I58" i="11"/>
  <c r="J84" i="9"/>
  <c r="O16" i="9"/>
  <c r="E63" i="8" s="1"/>
  <c r="E236" i="8" s="1"/>
  <c r="N51" i="11"/>
  <c r="N56" i="19" s="1"/>
  <c r="E53" i="8"/>
  <c r="E146" i="8"/>
  <c r="I37" i="9"/>
  <c r="H28" i="11"/>
  <c r="I28" i="11"/>
  <c r="J37" i="9"/>
  <c r="K28" i="11"/>
  <c r="L28" i="11"/>
  <c r="O28" i="11"/>
  <c r="O37" i="19" s="1"/>
  <c r="M58" i="11"/>
  <c r="F92" i="8"/>
  <c r="AD8" i="8" s="1"/>
  <c r="O37" i="9"/>
  <c r="E100" i="8" s="1"/>
  <c r="L37" i="9"/>
  <c r="L84" i="9"/>
  <c r="K51" i="11"/>
  <c r="E92" i="8"/>
  <c r="AD7" i="8" s="1"/>
  <c r="P28" i="11"/>
  <c r="P37" i="19" s="1"/>
  <c r="K13" i="4"/>
  <c r="I53" i="9"/>
  <c r="F42" i="17"/>
  <c r="G9" i="17"/>
  <c r="F31" i="17"/>
  <c r="H8" i="17"/>
  <c r="E8" i="17"/>
  <c r="E40" i="17"/>
  <c r="E33" i="17"/>
  <c r="I9" i="17"/>
  <c r="F67" i="17"/>
  <c r="I74" i="17"/>
  <c r="I75" i="17" s="1"/>
  <c r="N13" i="6" s="1"/>
  <c r="N85" i="17"/>
  <c r="J74" i="17"/>
  <c r="J75" i="17" s="1"/>
  <c r="N14" i="6" s="1"/>
  <c r="E47" i="17"/>
  <c r="E53" i="17"/>
  <c r="E57" i="17" s="1"/>
  <c r="F62" i="17"/>
  <c r="F36" i="17"/>
  <c r="E48" i="17"/>
  <c r="F35" i="17"/>
  <c r="E55" i="17"/>
  <c r="F68" i="17"/>
  <c r="F64" i="17"/>
  <c r="E56" i="17"/>
  <c r="D8" i="17"/>
  <c r="E54" i="17"/>
  <c r="G8" i="17"/>
  <c r="E101" i="17"/>
  <c r="I8" i="17" s="1"/>
  <c r="E34" i="17"/>
  <c r="F48" i="17"/>
  <c r="E62" i="17"/>
  <c r="F55" i="17"/>
  <c r="F63" i="17"/>
  <c r="F56" i="17"/>
  <c r="F66" i="17"/>
  <c r="F8" i="17"/>
  <c r="F65" i="17"/>
  <c r="F101" i="17"/>
  <c r="F40" i="17"/>
  <c r="D9" i="17"/>
  <c r="F9" i="17"/>
  <c r="F41" i="17"/>
  <c r="F34" i="17"/>
  <c r="E41" i="17"/>
  <c r="E32" i="17"/>
  <c r="F61" i="17"/>
  <c r="E46" i="17"/>
  <c r="F32" i="17"/>
  <c r="E61" i="17"/>
  <c r="E66" i="17"/>
  <c r="E31" i="17"/>
  <c r="E36" i="17"/>
  <c r="E35" i="17"/>
  <c r="F52" i="17"/>
  <c r="F54" i="17"/>
  <c r="E63" i="17"/>
  <c r="E52" i="17"/>
  <c r="J14" i="6"/>
  <c r="M13" i="4"/>
  <c r="J58" i="11"/>
  <c r="J51" i="11"/>
  <c r="F58" i="11"/>
  <c r="G84" i="9"/>
  <c r="F51" i="11"/>
  <c r="D38" i="4"/>
  <c r="N13" i="4"/>
  <c r="D40" i="4"/>
  <c r="D42" i="4"/>
  <c r="I24" i="17"/>
  <c r="G4" i="4"/>
  <c r="O42" i="11"/>
  <c r="O48" i="19" s="1"/>
  <c r="P61" i="9"/>
  <c r="J113" i="9"/>
  <c r="J53" i="9"/>
  <c r="P53" i="9"/>
  <c r="F117" i="8" s="1"/>
  <c r="Q84" i="9"/>
  <c r="G148" i="8" s="1"/>
  <c r="K4" i="9"/>
  <c r="L4" i="9" s="1"/>
  <c r="D44" i="4"/>
  <c r="J61" i="9"/>
  <c r="F42" i="11"/>
  <c r="G61" i="9"/>
  <c r="L42" i="11"/>
  <c r="M61" i="9"/>
  <c r="G53" i="9"/>
  <c r="M113" i="9"/>
  <c r="M116" i="9" s="1"/>
  <c r="M53" i="9"/>
  <c r="D13" i="4"/>
  <c r="H42" i="11"/>
  <c r="K42" i="11"/>
  <c r="G51" i="11"/>
  <c r="N53" i="9"/>
  <c r="G138" i="8"/>
  <c r="G195" i="8" s="1"/>
  <c r="Q53" i="9"/>
  <c r="G117" i="8" s="1"/>
  <c r="H116" i="9"/>
  <c r="G45" i="11" s="1"/>
  <c r="L53" i="9"/>
  <c r="O113" i="9"/>
  <c r="O116" i="9" s="1"/>
  <c r="N45" i="11" s="1"/>
  <c r="O53" i="9"/>
  <c r="E117" i="8"/>
  <c r="H22" i="9"/>
  <c r="I18" i="11"/>
  <c r="J16" i="9"/>
  <c r="J22" i="9" s="1"/>
  <c r="J24" i="9" s="1"/>
  <c r="Q11" i="3"/>
  <c r="G42" i="11"/>
  <c r="J42" i="11"/>
  <c r="M42" i="11"/>
  <c r="P42" i="11"/>
  <c r="P48" i="19" s="1"/>
  <c r="H9" i="17"/>
  <c r="E9" i="17"/>
  <c r="F47" i="17"/>
  <c r="F33" i="17"/>
  <c r="F46" i="17"/>
  <c r="G53" i="17"/>
  <c r="G46" i="17"/>
  <c r="G35" i="17"/>
  <c r="J34" i="4"/>
  <c r="D34" i="4"/>
  <c r="E36" i="4"/>
  <c r="E47" i="4"/>
  <c r="H39" i="4"/>
  <c r="H47" i="4"/>
  <c r="F39" i="4"/>
  <c r="F47" i="4"/>
  <c r="I39" i="4"/>
  <c r="I47" i="4"/>
  <c r="G39" i="4"/>
  <c r="G47" i="4"/>
  <c r="I22" i="4"/>
  <c r="N22" i="4"/>
  <c r="E22" i="4"/>
  <c r="F22" i="4"/>
  <c r="G22" i="4"/>
  <c r="M22" i="4"/>
  <c r="D17" i="4"/>
  <c r="K17" i="4"/>
  <c r="G62" i="17"/>
  <c r="G36" i="17"/>
  <c r="G47" i="17"/>
  <c r="G34" i="17"/>
  <c r="F53" i="17"/>
  <c r="E68" i="17"/>
  <c r="E65" i="17"/>
  <c r="B14" i="17" a="1"/>
  <c r="B14" i="17" s="1"/>
  <c r="M15" i="6" s="1"/>
  <c r="L17" i="17" a="1"/>
  <c r="J17" i="17" a="1"/>
  <c r="J17" i="17" s="1"/>
  <c r="N17" i="17" a="1"/>
  <c r="N17" i="17" s="1"/>
  <c r="C14" i="17" a="1"/>
  <c r="C14" i="17" s="1"/>
  <c r="C17" i="17" a="1"/>
  <c r="C17" i="17" s="1"/>
  <c r="M13" i="17" a="1"/>
  <c r="M13" i="17" s="1"/>
  <c r="M16" i="17" a="1"/>
  <c r="M16" i="17" s="1"/>
  <c r="D129" i="17"/>
  <c r="G44" i="11"/>
  <c r="G43" i="11"/>
  <c r="N49" i="11"/>
  <c r="N54" i="19" s="1"/>
  <c r="M22" i="9"/>
  <c r="L19" i="11"/>
  <c r="L49" i="11"/>
  <c r="L17" i="17"/>
  <c r="D47" i="4"/>
  <c r="H4" i="4"/>
  <c r="G20" i="11"/>
  <c r="K44" i="11"/>
  <c r="K22" i="4"/>
  <c r="K34" i="4"/>
  <c r="J47" i="4"/>
  <c r="I19" i="11"/>
  <c r="I49" i="11"/>
  <c r="N43" i="11"/>
  <c r="N49" i="19" s="1"/>
  <c r="N44" i="11"/>
  <c r="N51" i="19" s="1"/>
  <c r="L43" i="11"/>
  <c r="L44" i="11"/>
  <c r="L45" i="11"/>
  <c r="O47" i="19"/>
  <c r="I43" i="11"/>
  <c r="J116" i="9"/>
  <c r="I45" i="11" s="1"/>
  <c r="I44" i="11"/>
  <c r="L22" i="4"/>
  <c r="D22" i="4"/>
  <c r="Q35" i="11"/>
  <c r="I35" i="3"/>
  <c r="I32" i="3"/>
  <c r="I36" i="3"/>
  <c r="I33" i="3"/>
  <c r="I30" i="3"/>
  <c r="I34" i="3"/>
  <c r="I37" i="3"/>
  <c r="I31" i="3"/>
  <c r="R35" i="11"/>
  <c r="M24" i="9"/>
  <c r="L34" i="4"/>
  <c r="K47" i="4"/>
  <c r="I4" i="4"/>
  <c r="J13" i="4"/>
  <c r="J17" i="4"/>
  <c r="J20" i="4"/>
  <c r="M66" i="9"/>
  <c r="J8" i="4"/>
  <c r="J7" i="4"/>
  <c r="J19" i="4"/>
  <c r="J21" i="4"/>
  <c r="J18" i="4"/>
  <c r="M34" i="4"/>
  <c r="J10" i="4"/>
  <c r="J15" i="4"/>
  <c r="J9" i="4"/>
  <c r="J22" i="4"/>
  <c r="J4" i="4"/>
  <c r="J6" i="4"/>
  <c r="L63" i="11"/>
  <c r="M74" i="9"/>
  <c r="N34" i="4"/>
  <c r="O34" i="4"/>
  <c r="P34" i="4"/>
  <c r="Q34" i="4"/>
  <c r="R34" i="4"/>
  <c r="S34" i="4"/>
  <c r="K82" i="17" a="1"/>
  <c r="H82" i="17" a="1"/>
  <c r="N83" i="17" a="1"/>
  <c r="N82" i="17" a="1"/>
  <c r="K83" i="17" a="1"/>
  <c r="F83" i="17" a="1"/>
  <c r="K8" i="17" l="1" a="1"/>
  <c r="K8" i="17" s="1"/>
  <c r="O8" i="17" a="1"/>
  <c r="O8" i="17" s="1"/>
  <c r="L47" i="4"/>
  <c r="U170" i="17"/>
  <c r="V169" i="17"/>
  <c r="V170" i="17"/>
  <c r="G24" i="8"/>
  <c r="J57" i="17"/>
  <c r="O13" i="17" a="1"/>
  <c r="O13" i="17" s="1"/>
  <c r="L57" i="17"/>
  <c r="B17" i="17" a="1"/>
  <c r="B17" i="17" s="1"/>
  <c r="B16" i="28" s="1"/>
  <c r="B86" i="28" s="1"/>
  <c r="K17" i="17" a="1"/>
  <c r="K17" i="17" s="1"/>
  <c r="U180" i="17"/>
  <c r="T178" i="17"/>
  <c r="B13" i="17" a="1"/>
  <c r="B13" i="17" s="1"/>
  <c r="B12" i="28" s="1"/>
  <c r="B82" i="28" s="1"/>
  <c r="E64" i="17"/>
  <c r="K57" i="17"/>
  <c r="N14" i="17" a="1"/>
  <c r="N14" i="17" s="1"/>
  <c r="T176" i="17"/>
  <c r="U176" i="17"/>
  <c r="J13" i="17" a="1"/>
  <c r="J13" i="17" s="1"/>
  <c r="O17" i="17" a="1"/>
  <c r="O17" i="17" s="1"/>
  <c r="M18" i="6"/>
  <c r="K13" i="17" a="1"/>
  <c r="K13" i="17" s="1"/>
  <c r="I57" i="17"/>
  <c r="N57" i="17"/>
  <c r="V176" i="17"/>
  <c r="E17" i="8"/>
  <c r="E19" i="8" s="1"/>
  <c r="T171" i="17"/>
  <c r="E24" i="8"/>
  <c r="U171" i="17"/>
  <c r="U178" i="17"/>
  <c r="F17" i="8"/>
  <c r="F18" i="19" s="1"/>
  <c r="F24" i="8"/>
  <c r="F21" i="19" s="1"/>
  <c r="H57" i="17"/>
  <c r="N29" i="17"/>
  <c r="N80" i="17" s="1"/>
  <c r="T169" i="17"/>
  <c r="G17" i="8"/>
  <c r="B13" i="28"/>
  <c r="B83" i="28" s="1"/>
  <c r="J16" i="17" a="1"/>
  <c r="J16" i="17" s="1"/>
  <c r="L16" i="17" a="1"/>
  <c r="L16" i="17" s="1"/>
  <c r="O16" i="17" a="1"/>
  <c r="O16" i="17" s="1"/>
  <c r="C16" i="17" a="1"/>
  <c r="C16" i="17" s="1"/>
  <c r="N12" i="17" a="1"/>
  <c r="N12" i="17" s="1"/>
  <c r="M12" i="17" a="1"/>
  <c r="M12" i="17" s="1"/>
  <c r="C12" i="17" a="1"/>
  <c r="C12" i="17" s="1"/>
  <c r="O12" i="17" a="1"/>
  <c r="O12" i="17" s="1"/>
  <c r="K12" i="17" a="1"/>
  <c r="K12" i="17" s="1"/>
  <c r="L15" i="17" a="1"/>
  <c r="L15" i="17" s="1"/>
  <c r="J15" i="17" a="1"/>
  <c r="J15" i="17" s="1"/>
  <c r="B15" i="17" a="1"/>
  <c r="B15" i="17" s="1"/>
  <c r="K15" i="17" a="1"/>
  <c r="K15" i="17" s="1"/>
  <c r="L12" i="17" a="1"/>
  <c r="L12" i="17" s="1"/>
  <c r="O15" i="17" a="1"/>
  <c r="O15" i="17" s="1"/>
  <c r="B12" i="17" a="1"/>
  <c r="B12" i="17" s="1"/>
  <c r="K29" i="17"/>
  <c r="C15" i="17" a="1"/>
  <c r="C15" i="17" s="1"/>
  <c r="J12" i="17" a="1"/>
  <c r="J12" i="17" s="1"/>
  <c r="N15" i="17" a="1"/>
  <c r="N15" i="17" s="1"/>
  <c r="F57" i="17"/>
  <c r="C13" i="17" a="1"/>
  <c r="C13" i="17" s="1"/>
  <c r="K16" i="17" a="1"/>
  <c r="K16" i="17" s="1"/>
  <c r="L13" i="17" a="1"/>
  <c r="L13" i="17" s="1"/>
  <c r="B16" i="17" a="1"/>
  <c r="B16" i="17" s="1"/>
  <c r="B30" i="28"/>
  <c r="R44" i="28"/>
  <c r="R13" i="28"/>
  <c r="R40" i="28"/>
  <c r="J4" i="28"/>
  <c r="K4" i="28" s="1"/>
  <c r="L4" i="28" s="1"/>
  <c r="M4" i="28" s="1"/>
  <c r="N4" i="28" s="1"/>
  <c r="O4" i="28" s="1"/>
  <c r="P4" i="28" s="1"/>
  <c r="Q4" i="28" s="1"/>
  <c r="R36" i="28" s="1"/>
  <c r="R43" i="28"/>
  <c r="R58" i="28"/>
  <c r="R79" i="28"/>
  <c r="R24" i="28"/>
  <c r="R22" i="28"/>
  <c r="R57" i="28"/>
  <c r="R71" i="28"/>
  <c r="R72" i="28"/>
  <c r="R76" i="28"/>
  <c r="R39" i="28"/>
  <c r="R30" i="28"/>
  <c r="R65" i="28"/>
  <c r="R26" i="28"/>
  <c r="R54" i="28"/>
  <c r="R37" i="28"/>
  <c r="R41" i="28"/>
  <c r="R11" i="28"/>
  <c r="R77" i="28"/>
  <c r="R80" i="28"/>
  <c r="R64" i="28"/>
  <c r="R23" i="28"/>
  <c r="R7" i="28"/>
  <c r="R55" i="28"/>
  <c r="R69" i="28"/>
  <c r="R53" i="28"/>
  <c r="R8" i="28"/>
  <c r="R9" i="28"/>
  <c r="R20" i="28"/>
  <c r="R14" i="28"/>
  <c r="R35" i="28"/>
  <c r="R78" i="28"/>
  <c r="R48" i="28"/>
  <c r="R21" i="28"/>
  <c r="R68" i="28"/>
  <c r="R67" i="28"/>
  <c r="B54" i="28"/>
  <c r="F123" i="8"/>
  <c r="F246" i="8"/>
  <c r="F195" i="8"/>
  <c r="D6" i="17"/>
  <c r="D18" i="17" s="1"/>
  <c r="D19" i="17" s="1"/>
  <c r="F118" i="8"/>
  <c r="F101" i="8"/>
  <c r="G118" i="8"/>
  <c r="H34" i="8"/>
  <c r="G88" i="8"/>
  <c r="G173" i="8"/>
  <c r="G219" i="8" s="1"/>
  <c r="G125" i="8"/>
  <c r="G234" i="8"/>
  <c r="H234" i="8" s="1"/>
  <c r="I234" i="8" s="1"/>
  <c r="J234" i="8" s="1"/>
  <c r="K234" i="8" s="1"/>
  <c r="L234" i="8" s="1"/>
  <c r="M234" i="8" s="1"/>
  <c r="N234" i="8" s="1"/>
  <c r="O234" i="8" s="1"/>
  <c r="P234" i="8" s="1"/>
  <c r="Q234" i="8" s="1"/>
  <c r="H24" i="8"/>
  <c r="G21" i="19"/>
  <c r="F26" i="8"/>
  <c r="F23" i="19" s="1"/>
  <c r="G22" i="8"/>
  <c r="G19" i="8"/>
  <c r="G20" i="19" s="1"/>
  <c r="G18" i="19"/>
  <c r="H36" i="11"/>
  <c r="E6" i="17"/>
  <c r="E18" i="17" s="1"/>
  <c r="E19" i="17" s="1"/>
  <c r="B8" i="17" a="1"/>
  <c r="B8" i="17" s="1"/>
  <c r="E29" i="17" s="1"/>
  <c r="E80" i="17" s="1"/>
  <c r="C8" i="17" a="1"/>
  <c r="C8" i="17" s="1"/>
  <c r="B30" i="3" a="1"/>
  <c r="B30" i="3" s="1"/>
  <c r="J49" i="11"/>
  <c r="J19" i="11"/>
  <c r="K22" i="9"/>
  <c r="G22" i="9"/>
  <c r="G24" i="9" s="1"/>
  <c r="O46" i="19"/>
  <c r="S13" i="9"/>
  <c r="M50" i="11"/>
  <c r="M51" i="11"/>
  <c r="M18" i="11"/>
  <c r="N16" i="9"/>
  <c r="H24" i="9"/>
  <c r="H117" i="9"/>
  <c r="H118" i="9" s="1"/>
  <c r="G17" i="11" s="1"/>
  <c r="F20" i="11"/>
  <c r="G117" i="9"/>
  <c r="G118" i="9" s="1"/>
  <c r="H50" i="11"/>
  <c r="H51" i="11"/>
  <c r="I16" i="9"/>
  <c r="H18" i="11"/>
  <c r="I15" i="11"/>
  <c r="I23" i="11"/>
  <c r="I56" i="11"/>
  <c r="I16" i="11"/>
  <c r="I57" i="11"/>
  <c r="M4" i="9"/>
  <c r="L57" i="11"/>
  <c r="L16" i="11"/>
  <c r="J66" i="9"/>
  <c r="L56" i="11"/>
  <c r="I20" i="11"/>
  <c r="D124" i="17"/>
  <c r="K19" i="11"/>
  <c r="K49" i="11"/>
  <c r="L22" i="9"/>
  <c r="M117" i="9"/>
  <c r="M118" i="9" s="1"/>
  <c r="L17" i="11" s="1"/>
  <c r="L20" i="11"/>
  <c r="L15" i="11"/>
  <c r="J44" i="11"/>
  <c r="J43" i="11"/>
  <c r="K116" i="9"/>
  <c r="J45" i="11" s="1"/>
  <c r="P116" i="9"/>
  <c r="F67" i="8" s="1"/>
  <c r="E27" i="19"/>
  <c r="F175" i="8"/>
  <c r="L23" i="11"/>
  <c r="J117" i="9"/>
  <c r="J118" i="9" s="1"/>
  <c r="I17" i="11" s="1"/>
  <c r="H44" i="11"/>
  <c r="H43" i="11"/>
  <c r="I116" i="9"/>
  <c r="H45" i="11" s="1"/>
  <c r="G27" i="17"/>
  <c r="G26" i="17"/>
  <c r="G24" i="17"/>
  <c r="G25" i="17"/>
  <c r="K43" i="11"/>
  <c r="L116" i="9"/>
  <c r="K45" i="11" s="1"/>
  <c r="P46" i="19"/>
  <c r="P47" i="19"/>
  <c r="Q210" i="8"/>
  <c r="G175" i="8"/>
  <c r="E28" i="19"/>
  <c r="D123" i="17"/>
  <c r="Q116" i="9"/>
  <c r="G20" i="6"/>
  <c r="G18" i="6"/>
  <c r="G23" i="6" s="1"/>
  <c r="G19" i="6" s="1"/>
  <c r="G49" i="11"/>
  <c r="G19" i="11"/>
  <c r="D104" i="17"/>
  <c r="G66" i="8"/>
  <c r="N47" i="19"/>
  <c r="Q208" i="8"/>
  <c r="I26" i="17"/>
  <c r="I25" i="17"/>
  <c r="I27" i="17"/>
  <c r="O22" i="9"/>
  <c r="F141" i="8"/>
  <c r="F46" i="8"/>
  <c r="E70" i="8"/>
  <c r="T7" i="9"/>
  <c r="Z8" i="9"/>
  <c r="AE9" i="8"/>
  <c r="AG9" i="8" s="1"/>
  <c r="G46" i="8"/>
  <c r="F98" i="8"/>
  <c r="N113" i="9"/>
  <c r="U7" i="9"/>
  <c r="AA8" i="9"/>
  <c r="G101" i="8"/>
  <c r="G95" i="8"/>
  <c r="H95" i="8" s="1"/>
  <c r="F95" i="8"/>
  <c r="F106" i="8"/>
  <c r="G49" i="8"/>
  <c r="P12" i="9"/>
  <c r="O44" i="11" s="1"/>
  <c r="V7" i="9"/>
  <c r="G113" i="9"/>
  <c r="E57" i="8"/>
  <c r="F70" i="8"/>
  <c r="G141" i="8"/>
  <c r="F73" i="8"/>
  <c r="O61" i="9"/>
  <c r="N46" i="19" s="1"/>
  <c r="G92" i="8"/>
  <c r="AD9" i="8" s="1"/>
  <c r="W7" i="9"/>
  <c r="N99" i="9"/>
  <c r="L100" i="9"/>
  <c r="Q8" i="9"/>
  <c r="X7" i="9"/>
  <c r="E36" i="8"/>
  <c r="E101" i="8" s="1"/>
  <c r="N19" i="11"/>
  <c r="N30" i="19" s="1"/>
  <c r="P99" i="9"/>
  <c r="N37" i="9"/>
  <c r="F115" i="8"/>
  <c r="E98" i="8"/>
  <c r="F49" i="8"/>
  <c r="G70" i="8"/>
  <c r="F43" i="8"/>
  <c r="E248" i="8"/>
  <c r="AC7" i="8" s="1"/>
  <c r="G36" i="11"/>
  <c r="G37" i="8"/>
  <c r="G176" i="8" s="1"/>
  <c r="D48" i="17"/>
  <c r="O48" i="17" s="1"/>
  <c r="L36" i="11"/>
  <c r="I36" i="11"/>
  <c r="O36" i="11"/>
  <c r="O41" i="19" s="1"/>
  <c r="J8" i="17" a="1"/>
  <c r="J8" i="17" s="1"/>
  <c r="D67" i="17"/>
  <c r="O67" i="17" s="1"/>
  <c r="E127" i="8"/>
  <c r="E240" i="8" s="1"/>
  <c r="F159" i="8"/>
  <c r="F248" i="8"/>
  <c r="AC8" i="8" s="1"/>
  <c r="G40" i="8"/>
  <c r="E181" i="8"/>
  <c r="F40" i="8"/>
  <c r="D65" i="17"/>
  <c r="O65" i="17" s="1"/>
  <c r="P36" i="11"/>
  <c r="P41" i="19" s="1"/>
  <c r="H125" i="8"/>
  <c r="H88" i="8"/>
  <c r="I34" i="8"/>
  <c r="H173" i="8"/>
  <c r="H219" i="8" s="1"/>
  <c r="G261" i="8"/>
  <c r="H261" i="8" s="1"/>
  <c r="I261" i="8" s="1"/>
  <c r="J261" i="8" s="1"/>
  <c r="K261" i="8" s="1"/>
  <c r="L261" i="8" s="1"/>
  <c r="M261" i="8" s="1"/>
  <c r="N261" i="8" s="1"/>
  <c r="O261" i="8" s="1"/>
  <c r="P261" i="8" s="1"/>
  <c r="Q261" i="8" s="1"/>
  <c r="G18" i="8"/>
  <c r="G19" i="19" s="1"/>
  <c r="K40" i="8"/>
  <c r="E26" i="8"/>
  <c r="G26" i="8"/>
  <c r="F110" i="8"/>
  <c r="F103" i="8"/>
  <c r="F28" i="8"/>
  <c r="F25" i="8"/>
  <c r="F22" i="19" s="1"/>
  <c r="A6" i="17"/>
  <c r="G144" i="8"/>
  <c r="E159" i="8"/>
  <c r="E263" i="8"/>
  <c r="AA7" i="8" s="1"/>
  <c r="F22" i="8"/>
  <c r="F130" i="8"/>
  <c r="H17" i="8"/>
  <c r="F19" i="8"/>
  <c r="F20" i="19" s="1"/>
  <c r="H19" i="8"/>
  <c r="H20" i="19" s="1"/>
  <c r="M19" i="8"/>
  <c r="O19" i="8"/>
  <c r="N19" i="8"/>
  <c r="I19" i="8"/>
  <c r="I20" i="19" s="1"/>
  <c r="L98" i="8"/>
  <c r="S209" i="8"/>
  <c r="G248" i="8"/>
  <c r="AC9" i="8" s="1"/>
  <c r="D74" i="17" a="1"/>
  <c r="D74" i="17" s="1"/>
  <c r="O74" i="17" s="1"/>
  <c r="F57" i="8"/>
  <c r="F189" i="8"/>
  <c r="B9" i="17" a="1"/>
  <c r="B9" i="17" s="1"/>
  <c r="F29" i="17" s="1"/>
  <c r="B31" i="3" a="1"/>
  <c r="B31" i="3" s="1"/>
  <c r="D68" i="17"/>
  <c r="O68" i="17" s="1"/>
  <c r="E103" i="8"/>
  <c r="F36" i="11"/>
  <c r="N8" i="17" a="1"/>
  <c r="N8" i="17" s="1"/>
  <c r="F144" i="8"/>
  <c r="G263" i="8"/>
  <c r="AA9" i="8" s="1"/>
  <c r="N36" i="11"/>
  <c r="N41" i="19" s="1"/>
  <c r="D64" i="17"/>
  <c r="O64" i="17" s="1"/>
  <c r="F191" i="8"/>
  <c r="E144" i="8"/>
  <c r="D53" i="17"/>
  <c r="O53" i="17" s="1"/>
  <c r="D56" i="17"/>
  <c r="O56" i="17" s="1"/>
  <c r="J36" i="11"/>
  <c r="L11" i="17" a="1"/>
  <c r="L11" i="17" s="1"/>
  <c r="M36" i="11"/>
  <c r="D17" i="27"/>
  <c r="F18" i="27"/>
  <c r="F19" i="27"/>
  <c r="L13" i="27"/>
  <c r="E18" i="27"/>
  <c r="L12" i="27"/>
  <c r="F17" i="27"/>
  <c r="D19" i="27"/>
  <c r="D18" i="27"/>
  <c r="E19" i="27"/>
  <c r="E17" i="27"/>
  <c r="L14" i="27"/>
  <c r="L15" i="27"/>
  <c r="O9" i="17" a="1"/>
  <c r="O9" i="17" s="1"/>
  <c r="N9" i="17" a="1"/>
  <c r="N9" i="17" s="1"/>
  <c r="M9" i="17" a="1"/>
  <c r="M9" i="17" s="1"/>
  <c r="L9" i="17" a="1"/>
  <c r="L9" i="17" s="1"/>
  <c r="J9" i="17" a="1"/>
  <c r="J9" i="17" s="1"/>
  <c r="K9" i="17" a="1"/>
  <c r="K9" i="17" s="1"/>
  <c r="G11" i="6"/>
  <c r="G16" i="6"/>
  <c r="B10" i="17" a="1"/>
  <c r="B10" i="17" s="1"/>
  <c r="B9" i="28" s="1"/>
  <c r="E195" i="8"/>
  <c r="E110" i="8"/>
  <c r="M11" i="17" a="1"/>
  <c r="M11" i="17" s="1"/>
  <c r="L8" i="17" a="1"/>
  <c r="L8" i="17" s="1"/>
  <c r="B33" i="3" a="1"/>
  <c r="B33" i="3" s="1"/>
  <c r="B11" i="17" a="1"/>
  <c r="B11" i="17" s="1"/>
  <c r="E115" i="8"/>
  <c r="I26" i="19"/>
  <c r="F263" i="8"/>
  <c r="AA8" i="8" s="1"/>
  <c r="O10" i="17" a="1"/>
  <c r="O10" i="17" s="1"/>
  <c r="C10" i="17" a="1"/>
  <c r="C10" i="17" s="1"/>
  <c r="E130" i="8"/>
  <c r="N50" i="19"/>
  <c r="E242" i="8"/>
  <c r="M8" i="17" a="1"/>
  <c r="M8" i="17" s="1"/>
  <c r="K36" i="11"/>
  <c r="G110" i="8"/>
  <c r="G246" i="8"/>
  <c r="D47" i="17"/>
  <c r="O47" i="17" s="1"/>
  <c r="G123" i="8"/>
  <c r="G115" i="8"/>
  <c r="G98" i="8"/>
  <c r="G103" i="8"/>
  <c r="G106" i="8"/>
  <c r="G191" i="8"/>
  <c r="G130" i="8"/>
  <c r="D61" i="17"/>
  <c r="O61" i="17" s="1"/>
  <c r="G57" i="8"/>
  <c r="G127" i="8"/>
  <c r="D54" i="17"/>
  <c r="O54" i="17" s="1"/>
  <c r="D52" i="17"/>
  <c r="D55" i="17"/>
  <c r="O55" i="17" s="1"/>
  <c r="G29" i="3"/>
  <c r="I28" i="19"/>
  <c r="G159" i="8"/>
  <c r="D66" i="17"/>
  <c r="O66" i="17" s="1"/>
  <c r="D46" i="17"/>
  <c r="O46" i="17" s="1"/>
  <c r="F83" i="17"/>
  <c r="K82" i="17"/>
  <c r="N82" i="17"/>
  <c r="K83" i="17"/>
  <c r="H82" i="17"/>
  <c r="N83" i="17"/>
  <c r="G75" i="17"/>
  <c r="N11" i="6" s="1"/>
  <c r="N19" i="6" s="1"/>
  <c r="G13" i="6" s="1"/>
  <c r="O85" i="17"/>
  <c r="I201" i="8"/>
  <c r="K11" i="17" a="1"/>
  <c r="K11" i="17" s="1"/>
  <c r="N11" i="17" a="1"/>
  <c r="N11" i="17" s="1"/>
  <c r="J11" i="17" a="1"/>
  <c r="J11" i="17" s="1"/>
  <c r="N10" i="17" a="1"/>
  <c r="N10" i="17" s="1"/>
  <c r="M10" i="17" a="1"/>
  <c r="M10" i="17" s="1"/>
  <c r="K10" i="17" a="1"/>
  <c r="K10" i="17" s="1"/>
  <c r="J10" i="17" a="1"/>
  <c r="J10" i="17" s="1"/>
  <c r="L10" i="17" a="1"/>
  <c r="L10" i="17" s="1"/>
  <c r="O11" i="17" a="1"/>
  <c r="O11" i="17" s="1"/>
  <c r="L84" i="17" a="1"/>
  <c r="M84" i="17" a="1"/>
  <c r="N84" i="17" a="1"/>
  <c r="K84" i="17" a="1"/>
  <c r="F84" i="17" a="1"/>
  <c r="E83" i="17" a="1"/>
  <c r="M83" i="17" a="1"/>
  <c r="H83" i="17" a="1"/>
  <c r="J83" i="17" a="1"/>
  <c r="H84" i="17" a="1"/>
  <c r="L82" i="17" a="1"/>
  <c r="I82" i="17" a="1"/>
  <c r="M82" i="17" a="1"/>
  <c r="L83" i="17" a="1"/>
  <c r="I83" i="17" a="1"/>
  <c r="F82" i="17" a="1"/>
  <c r="J82" i="17" a="1"/>
  <c r="G84" i="17" a="1"/>
  <c r="O40" i="17" l="1"/>
  <c r="D40" i="17"/>
  <c r="I95" i="8"/>
  <c r="B41" i="28"/>
  <c r="F18" i="8"/>
  <c r="F19" i="19" s="1"/>
  <c r="B26" i="28"/>
  <c r="B68" i="28"/>
  <c r="B40" i="28"/>
  <c r="B55" i="28"/>
  <c r="L19" i="8"/>
  <c r="J19" i="8"/>
  <c r="K19" i="8"/>
  <c r="B58" i="28"/>
  <c r="B44" i="28"/>
  <c r="M47" i="4"/>
  <c r="B69" i="28"/>
  <c r="N38" i="17"/>
  <c r="N59" i="17" s="1"/>
  <c r="M14" i="6"/>
  <c r="B27" i="28"/>
  <c r="B72" i="28"/>
  <c r="N71" i="17"/>
  <c r="N50" i="17"/>
  <c r="N44" i="17"/>
  <c r="G25" i="8"/>
  <c r="G22" i="19" s="1"/>
  <c r="M83" i="17"/>
  <c r="M82" i="17"/>
  <c r="L84" i="17"/>
  <c r="J82" i="17"/>
  <c r="J83" i="17"/>
  <c r="L83" i="17"/>
  <c r="L82" i="17"/>
  <c r="I83" i="17"/>
  <c r="I82" i="17"/>
  <c r="M84" i="17"/>
  <c r="N84" i="17"/>
  <c r="K84" i="17"/>
  <c r="M16" i="6"/>
  <c r="B14" i="28"/>
  <c r="L29" i="17"/>
  <c r="I29" i="17"/>
  <c r="B11" i="28"/>
  <c r="M13" i="6"/>
  <c r="J29" i="17"/>
  <c r="M17" i="6"/>
  <c r="B15" i="28"/>
  <c r="M29" i="17"/>
  <c r="K71" i="17"/>
  <c r="K44" i="17"/>
  <c r="K80" i="17"/>
  <c r="K50" i="17"/>
  <c r="K38" i="17"/>
  <c r="K59" i="17" s="1"/>
  <c r="H83" i="17"/>
  <c r="Q33" i="11"/>
  <c r="R16" i="28"/>
  <c r="R38" i="28"/>
  <c r="R52" i="28"/>
  <c r="R28" i="28"/>
  <c r="R29" i="28"/>
  <c r="R27" i="28"/>
  <c r="R25" i="28"/>
  <c r="R66" i="28"/>
  <c r="R12" i="28"/>
  <c r="R34" i="28"/>
  <c r="R50" i="28"/>
  <c r="R62" i="28"/>
  <c r="R49" i="28"/>
  <c r="R10" i="28"/>
  <c r="R70" i="28"/>
  <c r="R56" i="28"/>
  <c r="R42" i="28"/>
  <c r="R63" i="28"/>
  <c r="R6" i="28"/>
  <c r="R51" i="28"/>
  <c r="R18" i="28"/>
  <c r="R60" i="28"/>
  <c r="R74" i="28"/>
  <c r="R4" i="28"/>
  <c r="R32" i="28"/>
  <c r="R46" i="28"/>
  <c r="R15" i="28"/>
  <c r="E50" i="17"/>
  <c r="E38" i="17"/>
  <c r="E59" i="17" s="1"/>
  <c r="E44" i="17"/>
  <c r="E106" i="8"/>
  <c r="H106" i="8" s="1"/>
  <c r="E95" i="8"/>
  <c r="H84" i="17"/>
  <c r="F84" i="17"/>
  <c r="B8" i="28"/>
  <c r="B78" i="28" s="1"/>
  <c r="B7" i="28"/>
  <c r="B77" i="28" s="1"/>
  <c r="M9" i="6"/>
  <c r="E71" i="17"/>
  <c r="H75" i="8"/>
  <c r="H18" i="19"/>
  <c r="H26" i="8"/>
  <c r="G23" i="19"/>
  <c r="I24" i="8"/>
  <c r="H21" i="19"/>
  <c r="Q207" i="8"/>
  <c r="E83" i="17"/>
  <c r="J14" i="17" a="1"/>
  <c r="J14" i="17" s="1"/>
  <c r="L14" i="17" a="1"/>
  <c r="L14" i="17" s="1"/>
  <c r="M14" i="17" a="1"/>
  <c r="M14" i="17" s="1"/>
  <c r="K14" i="17" a="1"/>
  <c r="K14" i="17" s="1"/>
  <c r="G67" i="8"/>
  <c r="J20" i="11"/>
  <c r="K117" i="9"/>
  <c r="K118" i="9" s="1"/>
  <c r="J17" i="11" s="1"/>
  <c r="K24" i="9"/>
  <c r="H101" i="8"/>
  <c r="I101" i="8" s="1"/>
  <c r="O51" i="19"/>
  <c r="O50" i="19"/>
  <c r="P21" i="11"/>
  <c r="P31" i="19" s="1"/>
  <c r="G42" i="8"/>
  <c r="G43" i="8" s="1"/>
  <c r="D101" i="17"/>
  <c r="Q12" i="9"/>
  <c r="E141" i="8"/>
  <c r="E46" i="8"/>
  <c r="P45" i="11"/>
  <c r="F37" i="8"/>
  <c r="F176" i="8" s="1"/>
  <c r="L117" i="9"/>
  <c r="L118" i="9" s="1"/>
  <c r="K17" i="11" s="1"/>
  <c r="K20" i="11"/>
  <c r="L24" i="9"/>
  <c r="O117" i="9"/>
  <c r="O118" i="9" s="1"/>
  <c r="N17" i="11" s="1"/>
  <c r="N28" i="19" s="1"/>
  <c r="N20" i="11"/>
  <c r="E80" i="8"/>
  <c r="E83" i="8" s="1"/>
  <c r="E187" i="8" s="1"/>
  <c r="AB7" i="8" s="1"/>
  <c r="H26" i="19" s="1"/>
  <c r="O24" i="9"/>
  <c r="E40" i="8"/>
  <c r="E43" i="8"/>
  <c r="G56" i="11"/>
  <c r="G16" i="11"/>
  <c r="G15" i="11"/>
  <c r="G57" i="11"/>
  <c r="H66" i="9"/>
  <c r="G23" i="11"/>
  <c r="E189" i="8"/>
  <c r="E123" i="8"/>
  <c r="H123" i="8" s="1"/>
  <c r="I123" i="8" s="1"/>
  <c r="O45" i="11"/>
  <c r="I63" i="11"/>
  <c r="J74" i="9"/>
  <c r="I22" i="9"/>
  <c r="H19" i="11"/>
  <c r="H49" i="11"/>
  <c r="N22" i="9"/>
  <c r="M49" i="11"/>
  <c r="M19" i="11"/>
  <c r="E64" i="8"/>
  <c r="E118" i="8"/>
  <c r="F43" i="11"/>
  <c r="F44" i="11"/>
  <c r="G116" i="9"/>
  <c r="F45" i="11" s="1"/>
  <c r="O43" i="11"/>
  <c r="O49" i="19" s="1"/>
  <c r="E37" i="8"/>
  <c r="E176" i="8" s="1"/>
  <c r="E26" i="19"/>
  <c r="E175" i="8"/>
  <c r="E54" i="8"/>
  <c r="F53" i="8"/>
  <c r="F54" i="8" s="1"/>
  <c r="D97" i="17"/>
  <c r="F6" i="17" s="1"/>
  <c r="F18" i="17" s="1"/>
  <c r="F19" i="17" s="1"/>
  <c r="O50" i="11"/>
  <c r="O55" i="19" s="1"/>
  <c r="P16" i="9"/>
  <c r="O51" i="11"/>
  <c r="O56" i="19" s="1"/>
  <c r="O18" i="11"/>
  <c r="O29" i="19" s="1"/>
  <c r="E49" i="8"/>
  <c r="S208" i="8"/>
  <c r="R208" i="8"/>
  <c r="N4" i="9"/>
  <c r="F17" i="11"/>
  <c r="M43" i="11"/>
  <c r="N116" i="9"/>
  <c r="M44" i="11"/>
  <c r="F57" i="11"/>
  <c r="F15" i="11"/>
  <c r="F16" i="11"/>
  <c r="G66" i="9"/>
  <c r="F23" i="11"/>
  <c r="F56" i="11"/>
  <c r="M10" i="6"/>
  <c r="J34" i="8"/>
  <c r="I173" i="8"/>
  <c r="I219" i="8" s="1"/>
  <c r="I125" i="8"/>
  <c r="I88" i="8"/>
  <c r="J6" i="17" a="1"/>
  <c r="J6" i="17" s="1"/>
  <c r="V31" i="19"/>
  <c r="H144" i="8"/>
  <c r="I144" i="8" s="1"/>
  <c r="H27" i="8"/>
  <c r="H28" i="8" s="1"/>
  <c r="K6" i="17" a="1"/>
  <c r="K6" i="17" s="1"/>
  <c r="D24" i="17" s="1"/>
  <c r="J24" i="17" s="1"/>
  <c r="P19" i="8"/>
  <c r="Q19" i="8" s="1"/>
  <c r="L40" i="8"/>
  <c r="B6" i="17" a="1"/>
  <c r="B6" i="17" s="1"/>
  <c r="P24" i="17" a="1"/>
  <c r="P24" i="17" s="1"/>
  <c r="C6" i="17" a="1"/>
  <c r="C6" i="17" s="1"/>
  <c r="I17" i="8"/>
  <c r="I21" i="8" s="1"/>
  <c r="H21" i="8"/>
  <c r="M98" i="8"/>
  <c r="M11" i="6"/>
  <c r="G29" i="17"/>
  <c r="G44" i="17" s="1"/>
  <c r="B10" i="28"/>
  <c r="H29" i="17"/>
  <c r="M12" i="6"/>
  <c r="G40" i="3"/>
  <c r="I40" i="3" s="1"/>
  <c r="I29" i="3"/>
  <c r="G189" i="8"/>
  <c r="G240" i="8"/>
  <c r="H115" i="8"/>
  <c r="H130" i="8"/>
  <c r="D57" i="17"/>
  <c r="O57" i="17" s="1"/>
  <c r="O52" i="17"/>
  <c r="G84" i="17"/>
  <c r="F82" i="17"/>
  <c r="B23" i="28"/>
  <c r="B37" i="28"/>
  <c r="B65" i="28"/>
  <c r="B79" i="28"/>
  <c r="B51" i="28"/>
  <c r="J201" i="8"/>
  <c r="G10" i="6"/>
  <c r="G27" i="6" s="1"/>
  <c r="F71" i="17"/>
  <c r="F80" i="17"/>
  <c r="F50" i="17"/>
  <c r="F38" i="17"/>
  <c r="F59" i="17" s="1"/>
  <c r="F44" i="17"/>
  <c r="J84" i="17" a="1"/>
  <c r="I84" i="17" a="1"/>
  <c r="G82" i="17" a="1"/>
  <c r="J98" i="9" a="1"/>
  <c r="G83" i="17" a="1"/>
  <c r="E82" i="17" a="1"/>
  <c r="E84" i="17" a="1"/>
  <c r="N47" i="4" l="1"/>
  <c r="J84" i="17"/>
  <c r="I84" i="17"/>
  <c r="B85" i="28"/>
  <c r="B43" i="28"/>
  <c r="B29" i="28"/>
  <c r="B57" i="28"/>
  <c r="B71" i="28"/>
  <c r="B42" i="28"/>
  <c r="B70" i="28"/>
  <c r="B28" i="28"/>
  <c r="B56" i="28"/>
  <c r="B84" i="28"/>
  <c r="B67" i="28"/>
  <c r="B39" i="28"/>
  <c r="B81" i="28"/>
  <c r="B53" i="28"/>
  <c r="B25" i="28"/>
  <c r="I80" i="17"/>
  <c r="I44" i="17"/>
  <c r="I50" i="17"/>
  <c r="I38" i="17"/>
  <c r="I59" i="17" s="1"/>
  <c r="I71" i="17"/>
  <c r="M50" i="17"/>
  <c r="M44" i="17"/>
  <c r="M38" i="17"/>
  <c r="M59" i="17" s="1"/>
  <c r="M80" i="17"/>
  <c r="M71" i="17"/>
  <c r="J80" i="17"/>
  <c r="J44" i="17"/>
  <c r="J71" i="17"/>
  <c r="J38" i="17"/>
  <c r="J59" i="17" s="1"/>
  <c r="J50" i="17"/>
  <c r="L71" i="17"/>
  <c r="L44" i="17"/>
  <c r="L50" i="17"/>
  <c r="L38" i="17"/>
  <c r="L59" i="17" s="1"/>
  <c r="L80" i="17"/>
  <c r="J98" i="9"/>
  <c r="J4" i="27"/>
  <c r="AN290" i="8"/>
  <c r="AN300" i="8"/>
  <c r="J95" i="8"/>
  <c r="K95" i="8" s="1"/>
  <c r="B50" i="28"/>
  <c r="R33" i="11"/>
  <c r="J101" i="8"/>
  <c r="K101" i="8" s="1"/>
  <c r="L101" i="8" s="1"/>
  <c r="B36" i="28"/>
  <c r="B22" i="28"/>
  <c r="B64" i="28"/>
  <c r="B35" i="28"/>
  <c r="B49" i="28"/>
  <c r="B63" i="28"/>
  <c r="J18" i="17"/>
  <c r="J19" i="17" s="1"/>
  <c r="G82" i="17"/>
  <c r="G83" i="17"/>
  <c r="E82" i="17"/>
  <c r="E84" i="17"/>
  <c r="B21" i="28"/>
  <c r="I21" i="19"/>
  <c r="J24" i="8"/>
  <c r="I75" i="8"/>
  <c r="I18" i="19"/>
  <c r="I26" i="8"/>
  <c r="I27" i="8" s="1"/>
  <c r="I28" i="8" s="1"/>
  <c r="H23" i="19"/>
  <c r="J57" i="11"/>
  <c r="J56" i="11"/>
  <c r="J15" i="11"/>
  <c r="K66" i="9"/>
  <c r="J23" i="11"/>
  <c r="J16" i="11"/>
  <c r="L6" i="17" a="1"/>
  <c r="L6" i="17" s="1"/>
  <c r="L18" i="17" s="1"/>
  <c r="L19" i="17" s="1"/>
  <c r="N24" i="9"/>
  <c r="M20" i="11"/>
  <c r="N117" i="9"/>
  <c r="N118" i="9" s="1"/>
  <c r="M17" i="11" s="1"/>
  <c r="G63" i="11"/>
  <c r="H74" i="9"/>
  <c r="K15" i="11"/>
  <c r="L66" i="9"/>
  <c r="K57" i="11"/>
  <c r="K16" i="11"/>
  <c r="K23" i="11"/>
  <c r="K56" i="11"/>
  <c r="M45" i="11"/>
  <c r="E67" i="8"/>
  <c r="Q16" i="9"/>
  <c r="P18" i="11"/>
  <c r="P29" i="19" s="1"/>
  <c r="P50" i="11"/>
  <c r="P55" i="19" s="1"/>
  <c r="G53" i="8"/>
  <c r="G54" i="8" s="1"/>
  <c r="P51" i="11"/>
  <c r="P56" i="19" s="1"/>
  <c r="D102" i="17"/>
  <c r="P43" i="11"/>
  <c r="P49" i="19" s="1"/>
  <c r="P44" i="11"/>
  <c r="O4" i="9"/>
  <c r="N57" i="11"/>
  <c r="O66" i="9"/>
  <c r="N23" i="11"/>
  <c r="N33" i="19" s="1"/>
  <c r="N56" i="11"/>
  <c r="N16" i="11"/>
  <c r="N27" i="19" s="1"/>
  <c r="N15" i="11"/>
  <c r="N26" i="19" s="1"/>
  <c r="E85" i="8"/>
  <c r="E197" i="8"/>
  <c r="E198" i="8" s="1"/>
  <c r="G74" i="9"/>
  <c r="F63" i="11"/>
  <c r="I24" i="9"/>
  <c r="I117" i="9"/>
  <c r="I118" i="9" s="1"/>
  <c r="H17" i="11" s="1"/>
  <c r="H20" i="11"/>
  <c r="E182" i="8"/>
  <c r="F26" i="19"/>
  <c r="P22" i="9"/>
  <c r="O19" i="11"/>
  <c r="O30" i="19" s="1"/>
  <c r="O49" i="11"/>
  <c r="O54" i="19" s="1"/>
  <c r="F63" i="8"/>
  <c r="H143" i="8"/>
  <c r="G80" i="17"/>
  <c r="D25" i="17"/>
  <c r="J25" i="17" s="1"/>
  <c r="M25" i="17" s="1" a="1"/>
  <c r="M25" i="17" s="1"/>
  <c r="K18" i="17"/>
  <c r="K19" i="17" s="1"/>
  <c r="D27" i="17"/>
  <c r="J27" i="17" s="1"/>
  <c r="M27" i="17" s="1" a="1"/>
  <c r="M27" i="17" s="1"/>
  <c r="M24" i="17" a="1"/>
  <c r="M24" i="17" s="1"/>
  <c r="J88" i="8"/>
  <c r="J173" i="8"/>
  <c r="J219" i="8" s="1"/>
  <c r="K34" i="8"/>
  <c r="J125" i="8"/>
  <c r="D26" i="17"/>
  <c r="J26" i="17" s="1"/>
  <c r="M26" i="17" s="1" a="1"/>
  <c r="M26" i="17" s="1"/>
  <c r="H22" i="8"/>
  <c r="H32" i="8" s="1"/>
  <c r="I22" i="8"/>
  <c r="M40" i="8"/>
  <c r="J17" i="8"/>
  <c r="J21" i="8" s="1"/>
  <c r="B13" i="27"/>
  <c r="B4" i="27"/>
  <c r="D29" i="17"/>
  <c r="B6" i="28"/>
  <c r="N98" i="8"/>
  <c r="G71" i="17"/>
  <c r="G38" i="17"/>
  <c r="G59" i="17" s="1"/>
  <c r="G50" i="17"/>
  <c r="B24" i="28"/>
  <c r="B80" i="28"/>
  <c r="B66" i="28"/>
  <c r="B38" i="28"/>
  <c r="B52" i="28"/>
  <c r="H38" i="17"/>
  <c r="H59" i="17" s="1"/>
  <c r="H71" i="17"/>
  <c r="H80" i="17"/>
  <c r="H44" i="17"/>
  <c r="H50" i="17"/>
  <c r="Q34" i="11"/>
  <c r="Q36" i="11" s="1"/>
  <c r="Q41" i="19" s="1"/>
  <c r="J123" i="8"/>
  <c r="K123" i="8" s="1"/>
  <c r="I106" i="8"/>
  <c r="J106" i="8" s="1"/>
  <c r="I130" i="8"/>
  <c r="I9" i="8"/>
  <c r="L9" i="8" s="1"/>
  <c r="J144" i="8"/>
  <c r="I115" i="8"/>
  <c r="J115" i="8" s="1"/>
  <c r="K201" i="8"/>
  <c r="Q98" i="9" a="1"/>
  <c r="O98" i="9" a="1"/>
  <c r="I98" i="9" a="1"/>
  <c r="K98" i="9" a="1"/>
  <c r="D84" i="17" a="1"/>
  <c r="D82" i="17" a="1"/>
  <c r="P98" i="9" a="1"/>
  <c r="N98" i="9" a="1"/>
  <c r="L98" i="9" a="1"/>
  <c r="H98" i="9" a="1"/>
  <c r="D83" i="17" a="1"/>
  <c r="G98" i="9" a="1"/>
  <c r="M98" i="9" a="1"/>
  <c r="O47" i="4" l="1"/>
  <c r="H31" i="8"/>
  <c r="H36" i="8" s="1"/>
  <c r="H122" i="8" s="1"/>
  <c r="I32" i="8"/>
  <c r="I31" i="8" s="1"/>
  <c r="I36" i="8" s="1"/>
  <c r="N98" i="9"/>
  <c r="N103" i="9" s="1"/>
  <c r="M9" i="11" s="1"/>
  <c r="K98" i="9"/>
  <c r="J7" i="11" s="1"/>
  <c r="G98" i="9"/>
  <c r="F11" i="11" s="1"/>
  <c r="H98" i="9"/>
  <c r="G10" i="11" s="1"/>
  <c r="O98" i="9"/>
  <c r="N7" i="11" s="1"/>
  <c r="N19" i="19" s="1"/>
  <c r="I98" i="9"/>
  <c r="I103" i="9" s="1"/>
  <c r="H6" i="11" s="1"/>
  <c r="Q98" i="9"/>
  <c r="Q103" i="9" s="1"/>
  <c r="P6" i="11" s="1"/>
  <c r="P18" i="19" s="1"/>
  <c r="M98" i="9"/>
  <c r="L10" i="11" s="1"/>
  <c r="P98" i="9"/>
  <c r="O7" i="11" s="1"/>
  <c r="O19" i="19" s="1"/>
  <c r="L98" i="9"/>
  <c r="K11" i="11" s="1"/>
  <c r="L95" i="8"/>
  <c r="M95" i="8" s="1"/>
  <c r="N95" i="8" s="1"/>
  <c r="O95" i="8" s="1"/>
  <c r="D82" i="17"/>
  <c r="O82" i="17" s="1"/>
  <c r="I10" i="11"/>
  <c r="D84" i="17"/>
  <c r="O84" i="17" s="1"/>
  <c r="D83" i="17"/>
  <c r="O83" i="17" s="1"/>
  <c r="X7" i="8"/>
  <c r="K24" i="8"/>
  <c r="J26" i="8"/>
  <c r="K26" i="8" s="1"/>
  <c r="L26" i="8" s="1"/>
  <c r="M26" i="8" s="1"/>
  <c r="N26" i="8" s="1"/>
  <c r="O26" i="8" s="1"/>
  <c r="P26" i="8" s="1"/>
  <c r="Q26" i="8" s="1"/>
  <c r="I23" i="19"/>
  <c r="K74" i="9"/>
  <c r="J63" i="11"/>
  <c r="H56" i="11"/>
  <c r="H15" i="11"/>
  <c r="H16" i="11"/>
  <c r="I66" i="9"/>
  <c r="H57" i="11"/>
  <c r="H23" i="11"/>
  <c r="O20" i="11"/>
  <c r="P24" i="9"/>
  <c r="P117" i="9"/>
  <c r="P118" i="9" s="1"/>
  <c r="O17" i="11" s="1"/>
  <c r="O28" i="19" s="1"/>
  <c r="F80" i="8"/>
  <c r="F83" i="8" s="1"/>
  <c r="K63" i="11"/>
  <c r="L74" i="9"/>
  <c r="N63" i="11"/>
  <c r="N42" i="19" s="1"/>
  <c r="O74" i="9"/>
  <c r="E134" i="8" s="1"/>
  <c r="G6" i="17"/>
  <c r="G18" i="17" s="1"/>
  <c r="G19" i="17" s="1"/>
  <c r="D41" i="17"/>
  <c r="O41" i="17" s="1"/>
  <c r="M6" i="17" a="1"/>
  <c r="M6" i="17" s="1"/>
  <c r="M23" i="11"/>
  <c r="M56" i="11"/>
  <c r="M16" i="11"/>
  <c r="M57" i="11"/>
  <c r="N66" i="9"/>
  <c r="M15" i="11"/>
  <c r="F236" i="8"/>
  <c r="F181" i="8"/>
  <c r="F64" i="8"/>
  <c r="P4" i="9"/>
  <c r="H4" i="17" s="1"/>
  <c r="B95" i="17"/>
  <c r="D4" i="17"/>
  <c r="E86" i="8"/>
  <c r="E156" i="8"/>
  <c r="E238" i="8"/>
  <c r="E250" i="8" s="1"/>
  <c r="E153" i="8"/>
  <c r="P51" i="19"/>
  <c r="P50" i="19"/>
  <c r="G63" i="8"/>
  <c r="Q22" i="9"/>
  <c r="D103" i="17"/>
  <c r="P49" i="11"/>
  <c r="P54" i="19" s="1"/>
  <c r="P19" i="11"/>
  <c r="P30" i="19" s="1"/>
  <c r="K125" i="8"/>
  <c r="K173" i="8"/>
  <c r="K219" i="8" s="1"/>
  <c r="L34" i="8"/>
  <c r="K88" i="8"/>
  <c r="H37" i="8"/>
  <c r="E29" i="19"/>
  <c r="H39" i="8"/>
  <c r="H42" i="8" s="1"/>
  <c r="S42" i="8"/>
  <c r="H140" i="8"/>
  <c r="H138" i="8" s="1"/>
  <c r="H104" i="8" s="1"/>
  <c r="H94" i="8"/>
  <c r="J22" i="8"/>
  <c r="K17" i="8"/>
  <c r="K75" i="8" s="1"/>
  <c r="J75" i="8"/>
  <c r="N40" i="8"/>
  <c r="B20" i="28"/>
  <c r="B76" i="28"/>
  <c r="B34" i="28"/>
  <c r="B62" i="28"/>
  <c r="B48" i="28"/>
  <c r="D50" i="17"/>
  <c r="D80" i="17"/>
  <c r="D71" i="17"/>
  <c r="D44" i="17"/>
  <c r="D38" i="17"/>
  <c r="D59" i="17" s="1"/>
  <c r="O98" i="8"/>
  <c r="C12" i="8"/>
  <c r="F9" i="8"/>
  <c r="M101" i="8"/>
  <c r="N101" i="8" s="1"/>
  <c r="L123" i="8"/>
  <c r="M123" i="8" s="1"/>
  <c r="R34" i="11"/>
  <c r="R36" i="11" s="1"/>
  <c r="R41" i="19" s="1"/>
  <c r="K144" i="8"/>
  <c r="L144" i="8" s="1"/>
  <c r="J130" i="8"/>
  <c r="L201" i="8"/>
  <c r="P47" i="4" l="1"/>
  <c r="H105" i="8"/>
  <c r="H158" i="8" s="1"/>
  <c r="I45" i="8"/>
  <c r="I46" i="8" s="1"/>
  <c r="R22" i="11" s="1"/>
  <c r="R32" i="19" s="1"/>
  <c r="I37" i="8"/>
  <c r="I178" i="8" s="1"/>
  <c r="I94" i="8"/>
  <c r="I105" i="8"/>
  <c r="I158" i="8" s="1"/>
  <c r="I140" i="8"/>
  <c r="I122" i="8"/>
  <c r="E30" i="19"/>
  <c r="I39" i="8"/>
  <c r="I97" i="8" s="1"/>
  <c r="P7" i="11"/>
  <c r="P19" i="19" s="1"/>
  <c r="P9" i="11"/>
  <c r="P21" i="19" s="1"/>
  <c r="P8" i="11"/>
  <c r="P20" i="19" s="1"/>
  <c r="P11" i="11"/>
  <c r="P23" i="19" s="1"/>
  <c r="H103" i="9"/>
  <c r="G8" i="11" s="1"/>
  <c r="I177" i="8"/>
  <c r="I176" i="8" s="1"/>
  <c r="I179" i="8"/>
  <c r="H9" i="11"/>
  <c r="H8" i="11"/>
  <c r="I7" i="11"/>
  <c r="I11" i="11"/>
  <c r="J103" i="9"/>
  <c r="I8" i="11" s="1"/>
  <c r="L7" i="11"/>
  <c r="O11" i="11"/>
  <c r="O23" i="19" s="1"/>
  <c r="H7" i="11"/>
  <c r="P103" i="9"/>
  <c r="O9" i="11" s="1"/>
  <c r="O21" i="19" s="1"/>
  <c r="H11" i="11"/>
  <c r="K10" i="11"/>
  <c r="M8" i="11"/>
  <c r="G11" i="11"/>
  <c r="G7" i="11"/>
  <c r="L11" i="11"/>
  <c r="M103" i="9"/>
  <c r="L6" i="11" s="1"/>
  <c r="M11" i="11"/>
  <c r="M6" i="11"/>
  <c r="F7" i="11"/>
  <c r="F10" i="11"/>
  <c r="G103" i="9"/>
  <c r="F8" i="11" s="1"/>
  <c r="M10" i="11"/>
  <c r="P95" i="8"/>
  <c r="Q95" i="8" s="1"/>
  <c r="M7" i="11"/>
  <c r="H10" i="11"/>
  <c r="N10" i="11"/>
  <c r="N22" i="19" s="1"/>
  <c r="N11" i="11"/>
  <c r="N23" i="19" s="1"/>
  <c r="J11" i="11"/>
  <c r="K103" i="9"/>
  <c r="J6" i="11" s="1"/>
  <c r="L103" i="9"/>
  <c r="K9" i="11" s="1"/>
  <c r="K7" i="11"/>
  <c r="J10" i="11"/>
  <c r="O103" i="9"/>
  <c r="N9" i="11" s="1"/>
  <c r="N21" i="19" s="1"/>
  <c r="F187" i="8"/>
  <c r="AB8" i="8" s="1"/>
  <c r="H27" i="19" s="1"/>
  <c r="J27" i="8"/>
  <c r="J28" i="8" s="1"/>
  <c r="J32" i="8" s="1"/>
  <c r="J31" i="8" s="1"/>
  <c r="J36" i="8" s="1"/>
  <c r="L24" i="8"/>
  <c r="K27" i="8"/>
  <c r="E164" i="8"/>
  <c r="Y7" i="8"/>
  <c r="F27" i="19"/>
  <c r="F182" i="8"/>
  <c r="I74" i="9"/>
  <c r="H63" i="11"/>
  <c r="D31" i="17"/>
  <c r="O31" i="17" s="1"/>
  <c r="D42" i="17"/>
  <c r="O42" i="17" s="1"/>
  <c r="E264" i="8"/>
  <c r="E265" i="8" s="1"/>
  <c r="M18" i="17"/>
  <c r="M19" i="17" s="1"/>
  <c r="E26" i="17"/>
  <c r="K26" i="17" s="1"/>
  <c r="N26" i="17" s="1" a="1"/>
  <c r="N26" i="17" s="1"/>
  <c r="E25" i="17"/>
  <c r="K25" i="17" s="1"/>
  <c r="N25" i="17" s="1" a="1"/>
  <c r="N25" i="17" s="1"/>
  <c r="E27" i="17"/>
  <c r="K27" i="17" s="1"/>
  <c r="N27" i="17" s="1" a="1"/>
  <c r="N27" i="17" s="1"/>
  <c r="E24" i="17"/>
  <c r="K24" i="17" s="1"/>
  <c r="N24" i="17" s="1" a="1"/>
  <c r="N24" i="17" s="1"/>
  <c r="B96" i="17"/>
  <c r="Q4" i="9"/>
  <c r="R84" i="9" s="1"/>
  <c r="E4" i="17"/>
  <c r="R61" i="9"/>
  <c r="R121" i="9"/>
  <c r="R83" i="9"/>
  <c r="R68" i="9"/>
  <c r="R14" i="9"/>
  <c r="R47" i="9"/>
  <c r="R17" i="9"/>
  <c r="R46" i="9"/>
  <c r="R18" i="9"/>
  <c r="R51" i="9"/>
  <c r="R39" i="9"/>
  <c r="R34" i="9"/>
  <c r="R21" i="9"/>
  <c r="R114" i="9"/>
  <c r="R55" i="9"/>
  <c r="R48" i="9"/>
  <c r="R82" i="9"/>
  <c r="R90" i="9"/>
  <c r="R10" i="9"/>
  <c r="R26" i="9"/>
  <c r="R77" i="9"/>
  <c r="R120" i="9"/>
  <c r="R36" i="9"/>
  <c r="R94" i="9"/>
  <c r="R20" i="9"/>
  <c r="R56" i="9"/>
  <c r="R49" i="9"/>
  <c r="R113" i="9"/>
  <c r="R59" i="9"/>
  <c r="R85" i="9"/>
  <c r="R119" i="9"/>
  <c r="R11" i="9"/>
  <c r="R25" i="9"/>
  <c r="R80" i="9"/>
  <c r="R50" i="9"/>
  <c r="R88" i="9"/>
  <c r="R35" i="9"/>
  <c r="R93" i="9"/>
  <c r="R41" i="9"/>
  <c r="D105" i="17"/>
  <c r="Q24" i="9"/>
  <c r="Q117" i="9"/>
  <c r="G80" i="8"/>
  <c r="G83" i="8" s="1"/>
  <c r="H83" i="8" s="1"/>
  <c r="P20" i="11"/>
  <c r="R43" i="9"/>
  <c r="R8" i="9"/>
  <c r="O56" i="11"/>
  <c r="O23" i="11"/>
  <c r="O33" i="19" s="1"/>
  <c r="P66" i="9"/>
  <c r="O15" i="11"/>
  <c r="O26" i="19" s="1"/>
  <c r="O57" i="11"/>
  <c r="O16" i="11"/>
  <c r="O27" i="19" s="1"/>
  <c r="F85" i="8"/>
  <c r="D98" i="17"/>
  <c r="O10" i="11"/>
  <c r="O22" i="19" s="1"/>
  <c r="G181" i="8"/>
  <c r="G64" i="8"/>
  <c r="G236" i="8"/>
  <c r="R57" i="9"/>
  <c r="R12" i="9"/>
  <c r="M63" i="11"/>
  <c r="N74" i="9"/>
  <c r="R53" i="9"/>
  <c r="R115" i="9"/>
  <c r="R37" i="9"/>
  <c r="R60" i="9"/>
  <c r="R79" i="9"/>
  <c r="R91" i="9"/>
  <c r="I129" i="8"/>
  <c r="I191" i="8" s="1"/>
  <c r="L17" i="8"/>
  <c r="L75" i="8" s="1"/>
  <c r="K21" i="8"/>
  <c r="K22" i="8" s="1"/>
  <c r="L88" i="8"/>
  <c r="M34" i="8"/>
  <c r="L173" i="8"/>
  <c r="L219" i="8" s="1"/>
  <c r="L125" i="8"/>
  <c r="H43" i="8"/>
  <c r="Q21" i="11" s="1"/>
  <c r="Q31" i="19" s="1"/>
  <c r="H46" i="8"/>
  <c r="Q22" i="11" s="1"/>
  <c r="Q32" i="19" s="1"/>
  <c r="H129" i="8"/>
  <c r="I29" i="19"/>
  <c r="H195" i="8"/>
  <c r="H246" i="8" s="1"/>
  <c r="H97" i="8"/>
  <c r="H114" i="8"/>
  <c r="H51" i="8"/>
  <c r="H48" i="8"/>
  <c r="H61" i="8"/>
  <c r="I61" i="8" s="1"/>
  <c r="H78" i="8"/>
  <c r="H100" i="8"/>
  <c r="H59" i="8"/>
  <c r="H107" i="8" s="1"/>
  <c r="H117" i="8"/>
  <c r="H178" i="8"/>
  <c r="H166" i="8"/>
  <c r="H148" i="8"/>
  <c r="H150" i="8" s="1"/>
  <c r="O40" i="8"/>
  <c r="P98" i="8"/>
  <c r="N123" i="8"/>
  <c r="K115" i="8"/>
  <c r="K106" i="8"/>
  <c r="K130" i="8"/>
  <c r="O101" i="8"/>
  <c r="P101" i="8" s="1"/>
  <c r="M201" i="8"/>
  <c r="H103" i="8" l="1"/>
  <c r="I42" i="8"/>
  <c r="I43" i="8" s="1"/>
  <c r="R21" i="11" s="1"/>
  <c r="R31" i="19" s="1"/>
  <c r="I114" i="8"/>
  <c r="Q47" i="4"/>
  <c r="G9" i="11"/>
  <c r="G6" i="11"/>
  <c r="I6" i="11"/>
  <c r="I9" i="11"/>
  <c r="O8" i="11"/>
  <c r="O20" i="19" s="1"/>
  <c r="O6" i="11"/>
  <c r="O18" i="19" s="1"/>
  <c r="L9" i="11"/>
  <c r="J9" i="11"/>
  <c r="L8" i="11"/>
  <c r="K8" i="11"/>
  <c r="J8" i="11"/>
  <c r="F6" i="11"/>
  <c r="F9" i="11"/>
  <c r="K6" i="11"/>
  <c r="N8" i="11"/>
  <c r="N20" i="19" s="1"/>
  <c r="N6" i="11"/>
  <c r="N18" i="19" s="1"/>
  <c r="F197" i="8"/>
  <c r="X8" i="8" s="1"/>
  <c r="H179" i="8"/>
  <c r="H177" i="8"/>
  <c r="H176" i="8" s="1"/>
  <c r="H175" i="8" s="1"/>
  <c r="I175" i="8" s="1"/>
  <c r="J140" i="8"/>
  <c r="E31" i="19"/>
  <c r="J39" i="8"/>
  <c r="J42" i="8" s="1"/>
  <c r="J43" i="8" s="1"/>
  <c r="J94" i="8"/>
  <c r="J122" i="8"/>
  <c r="J105" i="8"/>
  <c r="J158" i="8" s="1"/>
  <c r="J45" i="8"/>
  <c r="J37" i="8"/>
  <c r="J178" i="8" s="1"/>
  <c r="K28" i="8"/>
  <c r="K32" i="8" s="1"/>
  <c r="K31" i="8" s="1"/>
  <c r="K36" i="8" s="1"/>
  <c r="L27" i="8"/>
  <c r="L28" i="8" s="1"/>
  <c r="M24" i="8"/>
  <c r="M17" i="8"/>
  <c r="N17" i="8" s="1"/>
  <c r="L21" i="8"/>
  <c r="L22" i="8" s="1"/>
  <c r="P56" i="11"/>
  <c r="Q66" i="9"/>
  <c r="P23" i="11"/>
  <c r="P33" i="19" s="1"/>
  <c r="G85" i="8"/>
  <c r="D107" i="17"/>
  <c r="P57" i="11"/>
  <c r="P15" i="11"/>
  <c r="P26" i="19" s="1"/>
  <c r="P16" i="11"/>
  <c r="P27" i="19" s="1"/>
  <c r="R24" i="9"/>
  <c r="P10" i="11"/>
  <c r="P22" i="19" s="1"/>
  <c r="D34" i="17"/>
  <c r="O34" i="17" s="1"/>
  <c r="D75" i="17"/>
  <c r="O75" i="17" s="1"/>
  <c r="H6" i="17"/>
  <c r="D62" i="17"/>
  <c r="O62" i="17" s="1"/>
  <c r="N6" i="17" a="1"/>
  <c r="N6" i="17" s="1"/>
  <c r="N18" i="17" s="1"/>
  <c r="N19" i="17" s="1"/>
  <c r="F86" i="8"/>
  <c r="F156" i="8"/>
  <c r="F238" i="8"/>
  <c r="F250" i="8" s="1"/>
  <c r="F153" i="8"/>
  <c r="R4" i="9"/>
  <c r="R111" i="9"/>
  <c r="R30" i="9"/>
  <c r="B99" i="17"/>
  <c r="R64" i="9"/>
  <c r="R52" i="9"/>
  <c r="R67" i="9"/>
  <c r="R38" i="9"/>
  <c r="R16" i="9"/>
  <c r="R22" i="9"/>
  <c r="R19" i="9"/>
  <c r="R32" i="9"/>
  <c r="R76" i="9"/>
  <c r="R86" i="9"/>
  <c r="R7" i="9"/>
  <c r="R87" i="9"/>
  <c r="R33" i="9"/>
  <c r="R116" i="9"/>
  <c r="R92" i="9"/>
  <c r="R54" i="9"/>
  <c r="R78" i="9"/>
  <c r="R42" i="9"/>
  <c r="R15" i="9"/>
  <c r="R9" i="9"/>
  <c r="R81" i="9"/>
  <c r="R58" i="9"/>
  <c r="I4" i="17"/>
  <c r="R13" i="9"/>
  <c r="G187" i="8"/>
  <c r="R40" i="9"/>
  <c r="R75" i="9"/>
  <c r="R27" i="9"/>
  <c r="R89" i="9"/>
  <c r="R28" i="9"/>
  <c r="R23" i="9"/>
  <c r="R6" i="9"/>
  <c r="R44" i="9"/>
  <c r="I83" i="8"/>
  <c r="G182" i="8"/>
  <c r="F28" i="19"/>
  <c r="O63" i="11"/>
  <c r="O42" i="19" s="1"/>
  <c r="P74" i="9"/>
  <c r="F134" i="8" s="1"/>
  <c r="R117" i="9"/>
  <c r="Q118" i="9"/>
  <c r="H222" i="8"/>
  <c r="Z7" i="8" s="1"/>
  <c r="I242" i="8"/>
  <c r="N34" i="8"/>
  <c r="M125" i="8"/>
  <c r="M88" i="8"/>
  <c r="M173" i="8"/>
  <c r="M219" i="8" s="1"/>
  <c r="I100" i="8"/>
  <c r="I143" i="8"/>
  <c r="I138" i="8" s="1"/>
  <c r="I78" i="8"/>
  <c r="H132" i="8"/>
  <c r="H193" i="8" s="1"/>
  <c r="H244" i="8" s="1"/>
  <c r="I148" i="8"/>
  <c r="I48" i="8"/>
  <c r="H109" i="8"/>
  <c r="H242" i="8"/>
  <c r="H191" i="8"/>
  <c r="H56" i="8"/>
  <c r="I59" i="8"/>
  <c r="I107" i="8" s="1"/>
  <c r="I166" i="8"/>
  <c r="I51" i="8"/>
  <c r="H53" i="8"/>
  <c r="H118" i="8"/>
  <c r="I117" i="8"/>
  <c r="AH10" i="8"/>
  <c r="P40" i="8"/>
  <c r="M75" i="8"/>
  <c r="Q98" i="8"/>
  <c r="O123" i="8"/>
  <c r="L115" i="8"/>
  <c r="L106" i="8"/>
  <c r="M106" i="8" s="1"/>
  <c r="Q101" i="8"/>
  <c r="M144" i="8"/>
  <c r="L130" i="8"/>
  <c r="M130" i="8" s="1"/>
  <c r="N201" i="8"/>
  <c r="S47" i="4" l="1"/>
  <c r="R47" i="4"/>
  <c r="K94" i="8"/>
  <c r="K105" i="8"/>
  <c r="K158" i="8" s="1"/>
  <c r="J166" i="8"/>
  <c r="K166" i="8" s="1"/>
  <c r="K37" i="8"/>
  <c r="K178" i="8" s="1"/>
  <c r="K177" i="8" s="1"/>
  <c r="K45" i="8"/>
  <c r="K46" i="8" s="1"/>
  <c r="K39" i="8"/>
  <c r="K97" i="8" s="1"/>
  <c r="K140" i="8"/>
  <c r="L32" i="8"/>
  <c r="L31" i="8" s="1"/>
  <c r="L36" i="8" s="1"/>
  <c r="L94" i="8" s="1"/>
  <c r="K122" i="8"/>
  <c r="E32" i="19"/>
  <c r="J177" i="8"/>
  <c r="J179" i="8"/>
  <c r="F198" i="8"/>
  <c r="J176" i="8"/>
  <c r="J175" i="8" s="1"/>
  <c r="K129" i="8"/>
  <c r="K191" i="8" s="1"/>
  <c r="M21" i="8"/>
  <c r="M22" i="8" s="1"/>
  <c r="M32" i="8" s="1"/>
  <c r="M31" i="8" s="1"/>
  <c r="M36" i="8" s="1"/>
  <c r="N24" i="8"/>
  <c r="M27" i="8"/>
  <c r="M28" i="8" s="1"/>
  <c r="J97" i="8"/>
  <c r="J114" i="8"/>
  <c r="J46" i="8"/>
  <c r="J129" i="8"/>
  <c r="J61" i="8"/>
  <c r="F264" i="8"/>
  <c r="F265" i="8" s="1"/>
  <c r="R118" i="9"/>
  <c r="P17" i="11"/>
  <c r="P28" i="19" s="1"/>
  <c r="J83" i="8"/>
  <c r="K83" i="8" s="1"/>
  <c r="I222" i="8"/>
  <c r="Z8" i="8" s="1"/>
  <c r="AB9" i="8"/>
  <c r="H28" i="19" s="1"/>
  <c r="G197" i="8"/>
  <c r="H18" i="17"/>
  <c r="H19" i="17" s="1"/>
  <c r="D35" i="17"/>
  <c r="O35" i="17" s="1"/>
  <c r="D33" i="17"/>
  <c r="O33" i="17" s="1"/>
  <c r="D32" i="17"/>
  <c r="O32" i="17" s="1"/>
  <c r="D36" i="17"/>
  <c r="O36" i="17" s="1"/>
  <c r="D63" i="17"/>
  <c r="O63" i="17" s="1"/>
  <c r="I6" i="17"/>
  <c r="I18" i="17" s="1"/>
  <c r="I19" i="17" s="1"/>
  <c r="O6" i="17" a="1"/>
  <c r="O6" i="17" s="1"/>
  <c r="G238" i="8"/>
  <c r="G250" i="8" s="1"/>
  <c r="G156" i="8"/>
  <c r="G86" i="8"/>
  <c r="G153" i="8"/>
  <c r="Y8" i="8"/>
  <c r="F164" i="8"/>
  <c r="Q74" i="9"/>
  <c r="P63" i="11"/>
  <c r="P42" i="19" s="1"/>
  <c r="R66" i="9"/>
  <c r="AH11" i="8"/>
  <c r="N173" i="8"/>
  <c r="N219" i="8" s="1"/>
  <c r="O34" i="8"/>
  <c r="N125" i="8"/>
  <c r="N88" i="8"/>
  <c r="L122" i="8"/>
  <c r="J148" i="8"/>
  <c r="K148" i="8" s="1"/>
  <c r="Q44" i="11"/>
  <c r="Q51" i="11"/>
  <c r="Q56" i="19" s="1"/>
  <c r="H54" i="8"/>
  <c r="Q18" i="11" s="1"/>
  <c r="Q29" i="19" s="1"/>
  <c r="Q50" i="11"/>
  <c r="Q55" i="19" s="1"/>
  <c r="H63" i="8"/>
  <c r="Q45" i="11"/>
  <c r="Q43" i="11"/>
  <c r="Q49" i="19" s="1"/>
  <c r="J51" i="8"/>
  <c r="I56" i="8"/>
  <c r="I127" i="8" s="1"/>
  <c r="J59" i="8"/>
  <c r="J107" i="8" s="1"/>
  <c r="H127" i="8"/>
  <c r="H57" i="8"/>
  <c r="I104" i="8"/>
  <c r="I103" i="8" s="1"/>
  <c r="I195" i="8"/>
  <c r="I246" i="8" s="1"/>
  <c r="I30" i="19"/>
  <c r="I150" i="8"/>
  <c r="I109" i="8"/>
  <c r="J48" i="8"/>
  <c r="I53" i="8"/>
  <c r="K176" i="8"/>
  <c r="J117" i="8"/>
  <c r="I118" i="8"/>
  <c r="J78" i="8"/>
  <c r="J100" i="8"/>
  <c r="I132" i="8"/>
  <c r="I193" i="8" s="1"/>
  <c r="I244" i="8" s="1"/>
  <c r="Q40" i="8"/>
  <c r="O17" i="8"/>
  <c r="N75" i="8"/>
  <c r="N21" i="8"/>
  <c r="P123" i="8"/>
  <c r="M115" i="8"/>
  <c r="N106" i="8"/>
  <c r="O106" i="8" s="1"/>
  <c r="N130" i="8"/>
  <c r="O130" i="8" s="1"/>
  <c r="N144" i="8"/>
  <c r="O201" i="8"/>
  <c r="K114" i="8" l="1"/>
  <c r="L105" i="8"/>
  <c r="L158" i="8" s="1"/>
  <c r="L37" i="8"/>
  <c r="L178" i="8" s="1"/>
  <c r="K179" i="8"/>
  <c r="K61" i="8"/>
  <c r="L61" i="8" s="1"/>
  <c r="K42" i="8"/>
  <c r="K43" i="8" s="1"/>
  <c r="L45" i="8"/>
  <c r="L46" i="8" s="1"/>
  <c r="E33" i="19"/>
  <c r="L39" i="8"/>
  <c r="L42" i="8" s="1"/>
  <c r="L43" i="8" s="1"/>
  <c r="L140" i="8"/>
  <c r="L166" i="8"/>
  <c r="L177" i="8"/>
  <c r="L179" i="8"/>
  <c r="K242" i="8"/>
  <c r="J242" i="8"/>
  <c r="J191" i="8"/>
  <c r="O24" i="8"/>
  <c r="N27" i="8"/>
  <c r="N28" i="8" s="1"/>
  <c r="G264" i="8"/>
  <c r="G265" i="8" s="1"/>
  <c r="F26" i="17"/>
  <c r="L26" i="17" s="1"/>
  <c r="O26" i="17" s="1" a="1"/>
  <c r="O26" i="17" s="1"/>
  <c r="O18" i="17"/>
  <c r="O19" i="17" s="1"/>
  <c r="F24" i="17"/>
  <c r="L24" i="17" s="1"/>
  <c r="O24" i="17" s="1" a="1"/>
  <c r="O24" i="17" s="1"/>
  <c r="F25" i="17"/>
  <c r="L25" i="17" s="1"/>
  <c r="O25" i="17" s="1" a="1"/>
  <c r="O25" i="17" s="1"/>
  <c r="F27" i="17"/>
  <c r="L27" i="17" s="1"/>
  <c r="O27" i="17" s="1" a="1"/>
  <c r="O27" i="17" s="1"/>
  <c r="L83" i="8"/>
  <c r="M83" i="8" s="1"/>
  <c r="K222" i="8"/>
  <c r="Z10" i="8" s="1"/>
  <c r="X9" i="8"/>
  <c r="G198" i="8"/>
  <c r="J222" i="8"/>
  <c r="Z9" i="8" s="1"/>
  <c r="H161" i="8"/>
  <c r="G164" i="8"/>
  <c r="H163" i="8"/>
  <c r="Y9" i="8"/>
  <c r="G134" i="8"/>
  <c r="R74" i="9"/>
  <c r="K175" i="8"/>
  <c r="O88" i="8"/>
  <c r="O125" i="8"/>
  <c r="P34" i="8"/>
  <c r="O173" i="8"/>
  <c r="O219" i="8" s="1"/>
  <c r="L148" i="8"/>
  <c r="Q50" i="19"/>
  <c r="Q51" i="19"/>
  <c r="K78" i="8"/>
  <c r="M140" i="8"/>
  <c r="M45" i="8"/>
  <c r="M37" i="8"/>
  <c r="M178" i="8" s="1"/>
  <c r="M94" i="8"/>
  <c r="M39" i="8"/>
  <c r="M97" i="8" s="1"/>
  <c r="M122" i="8"/>
  <c r="H189" i="8"/>
  <c r="H240" i="8"/>
  <c r="I54" i="8"/>
  <c r="R18" i="11" s="1"/>
  <c r="R29" i="19" s="1"/>
  <c r="R50" i="11"/>
  <c r="R55" i="19" s="1"/>
  <c r="I63" i="8"/>
  <c r="R51" i="11"/>
  <c r="R56" i="19" s="1"/>
  <c r="K59" i="8"/>
  <c r="K107" i="8" s="1"/>
  <c r="J56" i="8"/>
  <c r="J127" i="8" s="1"/>
  <c r="I240" i="8"/>
  <c r="I189" i="8"/>
  <c r="N22" i="8"/>
  <c r="N32" i="8" s="1"/>
  <c r="N31" i="8" s="1"/>
  <c r="N36" i="8" s="1"/>
  <c r="N105" i="8" s="1"/>
  <c r="N158" i="8" s="1"/>
  <c r="J118" i="8"/>
  <c r="K117" i="8"/>
  <c r="L117" i="8" s="1"/>
  <c r="L118" i="8" s="1"/>
  <c r="K48" i="8"/>
  <c r="J53" i="8"/>
  <c r="M105" i="8"/>
  <c r="M158" i="8" s="1"/>
  <c r="K51" i="8"/>
  <c r="H236" i="8"/>
  <c r="H64" i="8"/>
  <c r="H80" i="8"/>
  <c r="H82" i="8"/>
  <c r="L176" i="8"/>
  <c r="K100" i="8"/>
  <c r="J132" i="8"/>
  <c r="J193" i="8" s="1"/>
  <c r="J244" i="8" s="1"/>
  <c r="I57" i="8"/>
  <c r="J109" i="8"/>
  <c r="J143" i="8"/>
  <c r="J138" i="8" s="1"/>
  <c r="J104" i="8" s="1"/>
  <c r="Q123" i="8"/>
  <c r="O21" i="8"/>
  <c r="P17" i="8"/>
  <c r="O75" i="8"/>
  <c r="N115" i="8"/>
  <c r="O115" i="8" s="1"/>
  <c r="M114" i="8"/>
  <c r="P106" i="8"/>
  <c r="O144" i="8"/>
  <c r="P130" i="8"/>
  <c r="P201" i="8"/>
  <c r="L129" i="8" l="1"/>
  <c r="L191" i="8" s="1"/>
  <c r="L97" i="8"/>
  <c r="L114" i="8"/>
  <c r="M148" i="8"/>
  <c r="M177" i="8"/>
  <c r="M176" i="8" s="1"/>
  <c r="M179" i="8"/>
  <c r="O27" i="8"/>
  <c r="O28" i="8" s="1"/>
  <c r="P24" i="8"/>
  <c r="Q61" i="11"/>
  <c r="J57" i="8"/>
  <c r="H134" i="8"/>
  <c r="L222" i="8"/>
  <c r="Z11" i="8" s="1"/>
  <c r="H120" i="8"/>
  <c r="H248" i="8"/>
  <c r="AC10" i="8" s="1"/>
  <c r="N83" i="8"/>
  <c r="N222" i="8" s="1"/>
  <c r="Z13" i="8" s="1"/>
  <c r="M222" i="8"/>
  <c r="Z12" i="8" s="1"/>
  <c r="L175" i="8"/>
  <c r="M166" i="8"/>
  <c r="P173" i="8"/>
  <c r="P219" i="8" s="1"/>
  <c r="P125" i="8"/>
  <c r="P88" i="8"/>
  <c r="Q34" i="8"/>
  <c r="M61" i="8"/>
  <c r="L100" i="8"/>
  <c r="K132" i="8"/>
  <c r="K193" i="8" s="1"/>
  <c r="K244" i="8" s="1"/>
  <c r="M117" i="8"/>
  <c r="J240" i="8"/>
  <c r="J189" i="8"/>
  <c r="M46" i="8"/>
  <c r="M129" i="8"/>
  <c r="K109" i="8"/>
  <c r="L51" i="8"/>
  <c r="M51" i="8" s="1"/>
  <c r="K56" i="8"/>
  <c r="K127" i="8" s="1"/>
  <c r="L59" i="8"/>
  <c r="L107" i="8" s="1"/>
  <c r="M42" i="8"/>
  <c r="N140" i="8"/>
  <c r="N45" i="8"/>
  <c r="N37" i="8"/>
  <c r="N178" i="8" s="1"/>
  <c r="N94" i="8"/>
  <c r="N39" i="8"/>
  <c r="N97" i="8" s="1"/>
  <c r="N122" i="8"/>
  <c r="O22" i="8"/>
  <c r="J54" i="8"/>
  <c r="J63" i="8"/>
  <c r="I236" i="8"/>
  <c r="I80" i="8"/>
  <c r="I64" i="8"/>
  <c r="I82" i="8"/>
  <c r="J103" i="8"/>
  <c r="K143" i="8"/>
  <c r="K138" i="8" s="1"/>
  <c r="H85" i="8"/>
  <c r="Q20" i="11"/>
  <c r="K53" i="8"/>
  <c r="L48" i="8"/>
  <c r="J195" i="8"/>
  <c r="J246" i="8" s="1"/>
  <c r="I31" i="19"/>
  <c r="J150" i="8"/>
  <c r="F29" i="19"/>
  <c r="Q19" i="11"/>
  <c r="Q30" i="19" s="1"/>
  <c r="H184" i="8"/>
  <c r="K118" i="8"/>
  <c r="L78" i="8"/>
  <c r="Q17" i="8"/>
  <c r="P21" i="8"/>
  <c r="P75" i="8"/>
  <c r="P115" i="8"/>
  <c r="Q106" i="8"/>
  <c r="Q130" i="8"/>
  <c r="P144" i="8"/>
  <c r="Q201" i="8"/>
  <c r="L242" i="8" l="1"/>
  <c r="L132" i="8"/>
  <c r="L193" i="8" s="1"/>
  <c r="L244" i="8" s="1"/>
  <c r="O32" i="8"/>
  <c r="O31" i="8" s="1"/>
  <c r="O36" i="8" s="1"/>
  <c r="N177" i="8"/>
  <c r="N179" i="8"/>
  <c r="H183" i="8"/>
  <c r="H185" i="8"/>
  <c r="P27" i="8"/>
  <c r="P28" i="8" s="1"/>
  <c r="Q24" i="8"/>
  <c r="Q27" i="8" s="1"/>
  <c r="R210" i="8"/>
  <c r="H67" i="8"/>
  <c r="AF10" i="8"/>
  <c r="R44" i="11"/>
  <c r="R43" i="11"/>
  <c r="R49" i="19" s="1"/>
  <c r="O83" i="8"/>
  <c r="O222" i="8" s="1"/>
  <c r="Z14" i="8" s="1"/>
  <c r="I134" i="8"/>
  <c r="J134" i="8" s="1"/>
  <c r="M175" i="8"/>
  <c r="K57" i="8"/>
  <c r="N61" i="8"/>
  <c r="L109" i="8"/>
  <c r="N51" i="8"/>
  <c r="N148" i="8"/>
  <c r="N166" i="8"/>
  <c r="Q88" i="8"/>
  <c r="Q125" i="8"/>
  <c r="Q173" i="8"/>
  <c r="Q219" i="8" s="1"/>
  <c r="N117" i="8"/>
  <c r="N118" i="8" s="1"/>
  <c r="O37" i="8"/>
  <c r="O178" i="8" s="1"/>
  <c r="O140" i="8"/>
  <c r="O45" i="8"/>
  <c r="O94" i="8"/>
  <c r="O39" i="8"/>
  <c r="O42" i="8" s="1"/>
  <c r="O122" i="8"/>
  <c r="O105" i="8"/>
  <c r="O158" i="8" s="1"/>
  <c r="R20" i="11"/>
  <c r="I85" i="8"/>
  <c r="M118" i="8"/>
  <c r="P152" i="8"/>
  <c r="Q152" i="8"/>
  <c r="H152" i="8"/>
  <c r="H238" i="8"/>
  <c r="H250" i="8" s="1"/>
  <c r="O152" i="8"/>
  <c r="H86" i="8"/>
  <c r="Q23" i="11" s="1"/>
  <c r="Q33" i="19" s="1"/>
  <c r="H136" i="8"/>
  <c r="Q63" i="11" s="1"/>
  <c r="Q42" i="19" s="1"/>
  <c r="H155" i="8"/>
  <c r="K152" i="8"/>
  <c r="I152" i="8"/>
  <c r="M152" i="8"/>
  <c r="L152" i="8"/>
  <c r="J152" i="8"/>
  <c r="N152" i="8"/>
  <c r="K104" i="8"/>
  <c r="I32" i="19"/>
  <c r="K195" i="8"/>
  <c r="K246" i="8" s="1"/>
  <c r="K150" i="8"/>
  <c r="J80" i="8"/>
  <c r="J64" i="8"/>
  <c r="J82" i="8"/>
  <c r="J236" i="8"/>
  <c r="N42" i="8"/>
  <c r="M43" i="8"/>
  <c r="M100" i="8"/>
  <c r="M132" i="8" s="1"/>
  <c r="M193" i="8" s="1"/>
  <c r="M244" i="8" s="1"/>
  <c r="P22" i="8"/>
  <c r="P32" i="8" s="1"/>
  <c r="P31" i="8" s="1"/>
  <c r="P36" i="8" s="1"/>
  <c r="N114" i="8"/>
  <c r="M191" i="8"/>
  <c r="M242" i="8"/>
  <c r="M78" i="8"/>
  <c r="N78" i="8" s="1"/>
  <c r="H182" i="8"/>
  <c r="H181" i="8" s="1"/>
  <c r="H187" i="8" s="1"/>
  <c r="M48" i="8"/>
  <c r="M53" i="8" s="1"/>
  <c r="L53" i="8"/>
  <c r="N176" i="8"/>
  <c r="K54" i="8"/>
  <c r="K63" i="8"/>
  <c r="N46" i="8"/>
  <c r="N129" i="8"/>
  <c r="M59" i="8"/>
  <c r="M107" i="8" s="1"/>
  <c r="L56" i="8"/>
  <c r="L127" i="8" s="1"/>
  <c r="I184" i="8"/>
  <c r="R19" i="11"/>
  <c r="R30" i="19" s="1"/>
  <c r="F30" i="19"/>
  <c r="K240" i="8"/>
  <c r="K189" i="8"/>
  <c r="Q115" i="8"/>
  <c r="Q21" i="8"/>
  <c r="Q75" i="8"/>
  <c r="Q144" i="8"/>
  <c r="O148" i="8" l="1"/>
  <c r="O51" i="8"/>
  <c r="Q28" i="8"/>
  <c r="O179" i="8"/>
  <c r="O177" i="8"/>
  <c r="O176" i="8" s="1"/>
  <c r="I183" i="8"/>
  <c r="I185" i="8"/>
  <c r="O117" i="8"/>
  <c r="O118" i="8" s="1"/>
  <c r="O61" i="8"/>
  <c r="K134" i="8"/>
  <c r="L134" i="8" s="1"/>
  <c r="P83" i="8"/>
  <c r="R51" i="19"/>
  <c r="R50" i="19"/>
  <c r="N175" i="8"/>
  <c r="N48" i="8"/>
  <c r="N53" i="8" s="1"/>
  <c r="O166" i="8"/>
  <c r="M109" i="8"/>
  <c r="N100" i="8"/>
  <c r="O100" i="8" s="1"/>
  <c r="J85" i="8"/>
  <c r="J155" i="8" s="1"/>
  <c r="J263" i="8" s="1"/>
  <c r="O78" i="8"/>
  <c r="H263" i="8"/>
  <c r="AA10" i="8" s="1"/>
  <c r="P37" i="8"/>
  <c r="P178" i="8" s="1"/>
  <c r="P140" i="8"/>
  <c r="P45" i="8"/>
  <c r="P94" i="8"/>
  <c r="P39" i="8"/>
  <c r="P42" i="8" s="1"/>
  <c r="P122" i="8"/>
  <c r="P105" i="8"/>
  <c r="P158" i="8" s="1"/>
  <c r="I182" i="8"/>
  <c r="I181" i="8" s="1"/>
  <c r="I187" i="8" s="1"/>
  <c r="L54" i="8"/>
  <c r="L63" i="8"/>
  <c r="Q22" i="8"/>
  <c r="Q32" i="8" s="1"/>
  <c r="Q31" i="8" s="1"/>
  <c r="Q36" i="8" s="1"/>
  <c r="F31" i="19"/>
  <c r="J184" i="8"/>
  <c r="Q57" i="11"/>
  <c r="Q55" i="11"/>
  <c r="Q58" i="11"/>
  <c r="Q60" i="11"/>
  <c r="Q59" i="11"/>
  <c r="O97" i="8"/>
  <c r="O114" i="8"/>
  <c r="L240" i="8"/>
  <c r="L189" i="8"/>
  <c r="I155" i="8"/>
  <c r="I263" i="8" s="1"/>
  <c r="I86" i="8"/>
  <c r="R23" i="11" s="1"/>
  <c r="R33" i="19" s="1"/>
  <c r="I136" i="8"/>
  <c r="R63" i="11" s="1"/>
  <c r="R42" i="19" s="1"/>
  <c r="I238" i="8"/>
  <c r="O46" i="8"/>
  <c r="O129" i="8"/>
  <c r="K64" i="8"/>
  <c r="K80" i="8"/>
  <c r="K82" i="8"/>
  <c r="K236" i="8"/>
  <c r="O43" i="8"/>
  <c r="H197" i="8"/>
  <c r="H198" i="8" s="1"/>
  <c r="AB10" i="8"/>
  <c r="H29" i="19" s="1"/>
  <c r="M56" i="8"/>
  <c r="M127" i="8" s="1"/>
  <c r="N59" i="8"/>
  <c r="N107" i="8" s="1"/>
  <c r="M54" i="8"/>
  <c r="H251" i="8"/>
  <c r="I163" i="8"/>
  <c r="I161" i="8"/>
  <c r="Y10" i="8"/>
  <c r="N242" i="8"/>
  <c r="N191" i="8"/>
  <c r="H168" i="8"/>
  <c r="Q62" i="11" s="1"/>
  <c r="N43" i="8"/>
  <c r="K103" i="8"/>
  <c r="L57" i="8" s="1"/>
  <c r="L143" i="8"/>
  <c r="L138" i="8" s="1"/>
  <c r="L104" i="8" s="1"/>
  <c r="P51" i="8" l="1"/>
  <c r="R61" i="11"/>
  <c r="H199" i="8"/>
  <c r="P179" i="8"/>
  <c r="P177" i="8"/>
  <c r="P176" i="8" s="1"/>
  <c r="J183" i="8"/>
  <c r="J185" i="8"/>
  <c r="P148" i="8"/>
  <c r="M134" i="8"/>
  <c r="O48" i="8"/>
  <c r="P48" i="8" s="1"/>
  <c r="Q83" i="8"/>
  <c r="Q222" i="8" s="1"/>
  <c r="Q226" i="8" s="1"/>
  <c r="Q227" i="8" s="1"/>
  <c r="P222" i="8"/>
  <c r="N132" i="8"/>
  <c r="N193" i="8" s="1"/>
  <c r="N244" i="8" s="1"/>
  <c r="P100" i="8"/>
  <c r="J238" i="8"/>
  <c r="J86" i="8"/>
  <c r="J136" i="8"/>
  <c r="O175" i="8"/>
  <c r="M63" i="8"/>
  <c r="M236" i="8" s="1"/>
  <c r="P61" i="8"/>
  <c r="P117" i="8"/>
  <c r="P118" i="8" s="1"/>
  <c r="H267" i="8"/>
  <c r="N109" i="8"/>
  <c r="P78" i="8"/>
  <c r="I168" i="8"/>
  <c r="R62" i="11" s="1"/>
  <c r="P166" i="8"/>
  <c r="P43" i="8"/>
  <c r="Q140" i="8"/>
  <c r="Q37" i="8"/>
  <c r="Q45" i="8"/>
  <c r="Q94" i="8"/>
  <c r="Q39" i="8"/>
  <c r="Q122" i="8"/>
  <c r="Q105" i="8"/>
  <c r="Q158" i="8" s="1"/>
  <c r="M240" i="8"/>
  <c r="M189" i="8"/>
  <c r="F32" i="19"/>
  <c r="K184" i="8"/>
  <c r="R60" i="11"/>
  <c r="I248" i="8"/>
  <c r="AC11" i="8" s="1"/>
  <c r="I120" i="8"/>
  <c r="H221" i="8"/>
  <c r="X10" i="8"/>
  <c r="H170" i="8"/>
  <c r="AA12" i="8"/>
  <c r="J267" i="8"/>
  <c r="P97" i="8"/>
  <c r="P114" i="8"/>
  <c r="R55" i="11"/>
  <c r="R57" i="11"/>
  <c r="R59" i="11"/>
  <c r="R58" i="11"/>
  <c r="L80" i="8"/>
  <c r="L64" i="8"/>
  <c r="L236" i="8"/>
  <c r="L82" i="8"/>
  <c r="AB11" i="8"/>
  <c r="H30" i="19" s="1"/>
  <c r="I197" i="8"/>
  <c r="I198" i="8" s="1"/>
  <c r="T199" i="8" s="1"/>
  <c r="L103" i="8"/>
  <c r="M57" i="8" s="1"/>
  <c r="M143" i="8"/>
  <c r="M138" i="8" s="1"/>
  <c r="I33" i="19"/>
  <c r="L150" i="8"/>
  <c r="L195" i="8"/>
  <c r="L246" i="8" s="1"/>
  <c r="N56" i="8"/>
  <c r="N127" i="8" s="1"/>
  <c r="O59" i="8"/>
  <c r="O107" i="8" s="1"/>
  <c r="K85" i="8"/>
  <c r="AA11" i="8"/>
  <c r="I267" i="8"/>
  <c r="P46" i="8"/>
  <c r="P129" i="8"/>
  <c r="N54" i="8"/>
  <c r="O242" i="8"/>
  <c r="O191" i="8"/>
  <c r="O132" i="8"/>
  <c r="O193" i="8" s="1"/>
  <c r="O244" i="8" s="1"/>
  <c r="J182" i="8"/>
  <c r="J181" i="8" s="1"/>
  <c r="J187" i="8" s="1"/>
  <c r="P53" i="8" l="1"/>
  <c r="P54" i="8" s="1"/>
  <c r="K183" i="8"/>
  <c r="K185" i="8"/>
  <c r="Q166" i="8"/>
  <c r="O109" i="8"/>
  <c r="P109" i="8" s="1"/>
  <c r="O53" i="8"/>
  <c r="O54" i="8" s="1"/>
  <c r="M64" i="8"/>
  <c r="M184" i="8" s="1"/>
  <c r="N134" i="8"/>
  <c r="O134" i="8" s="1"/>
  <c r="P175" i="8"/>
  <c r="M80" i="8"/>
  <c r="M82" i="8"/>
  <c r="Q61" i="8"/>
  <c r="I250" i="8"/>
  <c r="J161" i="8" s="1"/>
  <c r="I170" i="8"/>
  <c r="R56" i="11" s="1"/>
  <c r="P132" i="8"/>
  <c r="P193" i="8" s="1"/>
  <c r="P244" i="8" s="1"/>
  <c r="N63" i="8"/>
  <c r="N80" i="8" s="1"/>
  <c r="L85" i="8"/>
  <c r="L238" i="8" s="1"/>
  <c r="K182" i="8"/>
  <c r="K181" i="8" s="1"/>
  <c r="K187" i="8" s="1"/>
  <c r="Q46" i="8"/>
  <c r="Q129" i="8"/>
  <c r="Q178" i="8"/>
  <c r="Q148" i="8"/>
  <c r="Q78" i="8"/>
  <c r="M150" i="8"/>
  <c r="M195" i="8"/>
  <c r="M246" i="8" s="1"/>
  <c r="I221" i="8"/>
  <c r="X11" i="8"/>
  <c r="I199" i="8"/>
  <c r="Q56" i="11"/>
  <c r="H92" i="8"/>
  <c r="Q64" i="11"/>
  <c r="Q43" i="19" s="1"/>
  <c r="AF11" i="8"/>
  <c r="I67" i="8"/>
  <c r="S210" i="8"/>
  <c r="Q48" i="8"/>
  <c r="K86" i="8"/>
  <c r="K136" i="8"/>
  <c r="K238" i="8"/>
  <c r="K155" i="8"/>
  <c r="K263" i="8" s="1"/>
  <c r="L184" i="8"/>
  <c r="F33" i="19"/>
  <c r="M104" i="8"/>
  <c r="P191" i="8"/>
  <c r="P242" i="8"/>
  <c r="O56" i="8"/>
  <c r="O127" i="8" s="1"/>
  <c r="P59" i="8"/>
  <c r="P107" i="8" s="1"/>
  <c r="N189" i="8"/>
  <c r="N240" i="8"/>
  <c r="Q100" i="8"/>
  <c r="Q117" i="8"/>
  <c r="Q118" i="8" s="1"/>
  <c r="Q51" i="8"/>
  <c r="Q42" i="8"/>
  <c r="Q97" i="8"/>
  <c r="Q114" i="8"/>
  <c r="J197" i="8"/>
  <c r="J198" i="8" s="1"/>
  <c r="U199" i="8" s="1"/>
  <c r="AB12" i="8"/>
  <c r="H31" i="19" s="1"/>
  <c r="U197" i="8" l="1"/>
  <c r="Q179" i="8"/>
  <c r="Q177" i="8"/>
  <c r="R64" i="11"/>
  <c r="R43" i="19" s="1"/>
  <c r="M182" i="8"/>
  <c r="M181" i="8" s="1"/>
  <c r="M187" i="8" s="1"/>
  <c r="M197" i="8" s="1"/>
  <c r="M183" i="8"/>
  <c r="M185" i="8"/>
  <c r="L183" i="8"/>
  <c r="L185" i="8"/>
  <c r="Q109" i="8"/>
  <c r="P134" i="8"/>
  <c r="Q134" i="8" s="1"/>
  <c r="L155" i="8"/>
  <c r="L263" i="8" s="1"/>
  <c r="AA14" i="8" s="1"/>
  <c r="I251" i="8"/>
  <c r="M85" i="8"/>
  <c r="M136" i="8" s="1"/>
  <c r="N64" i="8"/>
  <c r="N184" i="8" s="1"/>
  <c r="J163" i="8"/>
  <c r="J168" i="8" s="1"/>
  <c r="J170" i="8" s="1"/>
  <c r="Y11" i="8"/>
  <c r="N236" i="8"/>
  <c r="N82" i="8"/>
  <c r="N85" i="8" s="1"/>
  <c r="N86" i="8" s="1"/>
  <c r="L136" i="8"/>
  <c r="L86" i="8"/>
  <c r="Q132" i="8"/>
  <c r="Q193" i="8" s="1"/>
  <c r="Q244" i="8" s="1"/>
  <c r="Q43" i="8"/>
  <c r="Q53" i="8"/>
  <c r="Q176" i="8"/>
  <c r="Q175" i="8" s="1"/>
  <c r="M103" i="8"/>
  <c r="N57" i="8" s="1"/>
  <c r="N143" i="8"/>
  <c r="N138" i="8" s="1"/>
  <c r="Q242" i="8"/>
  <c r="Q191" i="8"/>
  <c r="L182" i="8"/>
  <c r="L181" i="8" s="1"/>
  <c r="L187" i="8" s="1"/>
  <c r="J199" i="8"/>
  <c r="X12" i="8"/>
  <c r="J221" i="8"/>
  <c r="AA13" i="8"/>
  <c r="K267" i="8"/>
  <c r="O63" i="8"/>
  <c r="P56" i="8"/>
  <c r="Q59" i="8"/>
  <c r="Q56" i="8" s="1"/>
  <c r="Q127" i="8" s="1"/>
  <c r="Q28" i="11"/>
  <c r="Q37" i="19" s="1"/>
  <c r="I92" i="8"/>
  <c r="AE10" i="8"/>
  <c r="Q42" i="11" s="1"/>
  <c r="AD10" i="8"/>
  <c r="Q27" i="11"/>
  <c r="Q36" i="19" s="1"/>
  <c r="AI10" i="8"/>
  <c r="R207" i="8"/>
  <c r="R45" i="11"/>
  <c r="AB13" i="8"/>
  <c r="H32" i="19" s="1"/>
  <c r="K197" i="8"/>
  <c r="K198" i="8" s="1"/>
  <c r="V199" i="8" s="1"/>
  <c r="O189" i="8"/>
  <c r="O240" i="8"/>
  <c r="V197" i="8" l="1"/>
  <c r="N183" i="8"/>
  <c r="N185" i="8"/>
  <c r="M86" i="8"/>
  <c r="M155" i="8"/>
  <c r="M263" i="8" s="1"/>
  <c r="M267" i="8" s="1"/>
  <c r="M238" i="8"/>
  <c r="Q48" i="19"/>
  <c r="R42" i="11"/>
  <c r="R48" i="19" s="1"/>
  <c r="N155" i="8"/>
  <c r="N263" i="8" s="1"/>
  <c r="N267" i="8" s="1"/>
  <c r="N182" i="8"/>
  <c r="N181" i="8" s="1"/>
  <c r="N187" i="8" s="1"/>
  <c r="J248" i="8"/>
  <c r="AC12" i="8" s="1"/>
  <c r="L267" i="8"/>
  <c r="J120" i="8"/>
  <c r="J67" i="8" s="1"/>
  <c r="M221" i="8"/>
  <c r="M198" i="8"/>
  <c r="Q107" i="8"/>
  <c r="N238" i="8"/>
  <c r="N136" i="8"/>
  <c r="O80" i="8"/>
  <c r="O64" i="8"/>
  <c r="O184" i="8" s="1"/>
  <c r="O236" i="8"/>
  <c r="O82" i="8"/>
  <c r="R15" i="11"/>
  <c r="R26" i="19" s="1"/>
  <c r="AE11" i="8"/>
  <c r="AG11" i="8" s="1"/>
  <c r="AG10" i="8"/>
  <c r="Q15" i="11"/>
  <c r="Q26" i="19" s="1"/>
  <c r="K221" i="8"/>
  <c r="K199" i="8"/>
  <c r="X13" i="8"/>
  <c r="AI11" i="8"/>
  <c r="J92" i="8"/>
  <c r="AD12" i="8" s="1"/>
  <c r="S207" i="8"/>
  <c r="R28" i="11"/>
  <c r="R37" i="19" s="1"/>
  <c r="AD11" i="8"/>
  <c r="R27" i="11"/>
  <c r="R36" i="19" s="1"/>
  <c r="Q54" i="8"/>
  <c r="Q63" i="8"/>
  <c r="AB14" i="8"/>
  <c r="H33" i="19" s="1"/>
  <c r="L197" i="8"/>
  <c r="L198" i="8" s="1"/>
  <c r="W199" i="8" s="1"/>
  <c r="N104" i="8"/>
  <c r="N195" i="8"/>
  <c r="N150" i="8"/>
  <c r="Q189" i="8"/>
  <c r="Q240" i="8"/>
  <c r="P127" i="8"/>
  <c r="P63" i="8"/>
  <c r="Q29" i="11"/>
  <c r="Q38" i="19" s="1"/>
  <c r="R29" i="11"/>
  <c r="R38" i="19" s="1"/>
  <c r="X197" i="8" l="1"/>
  <c r="X199" i="8"/>
  <c r="W197" i="8"/>
  <c r="M199" i="8"/>
  <c r="G26" i="19" a="1"/>
  <c r="G26" i="19" s="1"/>
  <c r="O183" i="8"/>
  <c r="O185" i="8"/>
  <c r="J250" i="8"/>
  <c r="K163" i="8" s="1"/>
  <c r="N103" i="8"/>
  <c r="O57" i="8" s="1"/>
  <c r="O143" i="8"/>
  <c r="O138" i="8" s="1"/>
  <c r="N246" i="8"/>
  <c r="N197" i="8"/>
  <c r="N198" i="8" s="1"/>
  <c r="Y199" i="8" s="1"/>
  <c r="P189" i="8"/>
  <c r="P240" i="8"/>
  <c r="Q82" i="8"/>
  <c r="Q80" i="8"/>
  <c r="Q64" i="8"/>
  <c r="Q184" i="8" s="1"/>
  <c r="Q236" i="8"/>
  <c r="R41" i="11"/>
  <c r="R47" i="19" s="1"/>
  <c r="Q16" i="11"/>
  <c r="Q27" i="19" s="1"/>
  <c r="R40" i="11"/>
  <c r="R46" i="19" s="1"/>
  <c r="Q40" i="11"/>
  <c r="Q46" i="19" s="1"/>
  <c r="R16" i="11"/>
  <c r="R27" i="19" s="1"/>
  <c r="R17" i="11"/>
  <c r="R28" i="19" s="1"/>
  <c r="Q17" i="11"/>
  <c r="Q28" i="19" s="1"/>
  <c r="Q41" i="11"/>
  <c r="Q47" i="19" s="1"/>
  <c r="O182" i="8"/>
  <c r="O181" i="8" s="1"/>
  <c r="O187" i="8" s="1"/>
  <c r="L221" i="8"/>
  <c r="L199" i="8"/>
  <c r="X14" i="8"/>
  <c r="P236" i="8"/>
  <c r="P80" i="8"/>
  <c r="P64" i="8"/>
  <c r="P184" i="8" s="1"/>
  <c r="P82" i="8"/>
  <c r="O85" i="8"/>
  <c r="Y197" i="8" l="1"/>
  <c r="P183" i="8"/>
  <c r="P185" i="8"/>
  <c r="Q183" i="8"/>
  <c r="Q185" i="8"/>
  <c r="J251" i="8"/>
  <c r="K161" i="8"/>
  <c r="K120" i="8" s="1"/>
  <c r="Y12" i="8"/>
  <c r="P85" i="8"/>
  <c r="P136" i="8" s="1"/>
  <c r="Q85" i="8"/>
  <c r="N199" i="8"/>
  <c r="N221" i="8"/>
  <c r="O104" i="8"/>
  <c r="O195" i="8"/>
  <c r="O246" i="8" s="1"/>
  <c r="O150" i="8"/>
  <c r="Q182" i="8"/>
  <c r="Q181" i="8" s="1"/>
  <c r="Q187" i="8" s="1"/>
  <c r="O155" i="8"/>
  <c r="O263" i="8" s="1"/>
  <c r="O267" i="8" s="1"/>
  <c r="O238" i="8"/>
  <c r="O136" i="8"/>
  <c r="O86" i="8"/>
  <c r="P182" i="8"/>
  <c r="P181" i="8" s="1"/>
  <c r="P187" i="8" s="1"/>
  <c r="P155" i="8" l="1"/>
  <c r="P263" i="8" s="1"/>
  <c r="P267" i="8" s="1"/>
  <c r="K168" i="8"/>
  <c r="K170" i="8" s="1"/>
  <c r="K92" i="8" s="1"/>
  <c r="AD13" i="8" s="1"/>
  <c r="K248" i="8"/>
  <c r="K250" i="8" s="1"/>
  <c r="P86" i="8"/>
  <c r="P238" i="8"/>
  <c r="K67" i="8"/>
  <c r="O103" i="8"/>
  <c r="P57" i="8" s="1"/>
  <c r="P143" i="8"/>
  <c r="P138" i="8" s="1"/>
  <c r="P104" i="8" s="1"/>
  <c r="Q136" i="8"/>
  <c r="Q155" i="8"/>
  <c r="Q263" i="8" s="1"/>
  <c r="Q267" i="8" s="1"/>
  <c r="Q269" i="8" s="1"/>
  <c r="Q270" i="8" s="1"/>
  <c r="Q238" i="8"/>
  <c r="Q86" i="8"/>
  <c r="O197" i="8"/>
  <c r="O198" i="8" s="1"/>
  <c r="Z197" i="8" l="1"/>
  <c r="Z199" i="8"/>
  <c r="AC13" i="8"/>
  <c r="P103" i="8"/>
  <c r="Q57" i="8" s="1"/>
  <c r="Q143" i="8"/>
  <c r="Q138" i="8" s="1"/>
  <c r="Q104" i="8" s="1"/>
  <c r="Q103" i="8" s="1"/>
  <c r="O199" i="8"/>
  <c r="O221" i="8"/>
  <c r="P150" i="8"/>
  <c r="P195" i="8"/>
  <c r="Q273" i="8"/>
  <c r="Q275" i="8" s="1"/>
  <c r="Q271" i="8"/>
  <c r="Y13" i="8"/>
  <c r="K251" i="8"/>
  <c r="L161" i="8"/>
  <c r="L163" i="8"/>
  <c r="L168" i="8" l="1"/>
  <c r="L170" i="8" s="1"/>
  <c r="L92" i="8" s="1"/>
  <c r="AD14" i="8" s="1"/>
  <c r="L248" i="8"/>
  <c r="L120" i="8"/>
  <c r="Q150" i="8"/>
  <c r="Q195" i="8"/>
  <c r="P246" i="8"/>
  <c r="P197" i="8"/>
  <c r="P198" i="8" s="1"/>
  <c r="AA197" i="8" l="1"/>
  <c r="AA199" i="8"/>
  <c r="P199" i="8"/>
  <c r="P221" i="8"/>
  <c r="Q197" i="8"/>
  <c r="Q198" i="8" s="1"/>
  <c r="Q246" i="8"/>
  <c r="L67" i="8"/>
  <c r="L250" i="8"/>
  <c r="AC14" i="8"/>
  <c r="AB197" i="8" l="1"/>
  <c r="AB199" i="8"/>
  <c r="Q221" i="8"/>
  <c r="Q224" i="8"/>
  <c r="Q225" i="8" s="1"/>
  <c r="L251" i="8"/>
  <c r="M163" i="8"/>
  <c r="M161" i="8"/>
  <c r="Y14" i="8"/>
  <c r="Q228" i="8" l="1"/>
  <c r="Q229" i="8" s="1"/>
  <c r="Q230" i="8" s="1"/>
  <c r="Q232" i="8" s="1"/>
  <c r="Q204" i="8"/>
  <c r="Q199" i="8"/>
  <c r="M248" i="8"/>
  <c r="M250" i="8" s="1"/>
  <c r="M168" i="8"/>
  <c r="M170" i="8" s="1"/>
  <c r="M92" i="8" s="1"/>
  <c r="M120" i="8"/>
  <c r="M67" i="8" l="1"/>
  <c r="N163" i="8"/>
  <c r="M251" i="8"/>
  <c r="N161" i="8"/>
  <c r="Q205" i="8"/>
  <c r="Q206" i="8" s="1"/>
  <c r="R205" i="8"/>
  <c r="R206" i="8" s="1"/>
  <c r="S205" i="8"/>
  <c r="S206" i="8" s="1"/>
  <c r="Q211" i="8" l="1"/>
  <c r="Q214" i="8" s="1"/>
  <c r="U10" i="19" s="1"/>
  <c r="R211" i="8"/>
  <c r="Q8" i="11"/>
  <c r="Q20" i="19" s="1"/>
  <c r="Q9" i="11"/>
  <c r="Q21" i="19" s="1"/>
  <c r="Q6" i="11"/>
  <c r="Q18" i="19" s="1"/>
  <c r="N248" i="8"/>
  <c r="N250" i="8" s="1"/>
  <c r="N168" i="8"/>
  <c r="N170" i="8" s="1"/>
  <c r="N92" i="8" s="1"/>
  <c r="N120" i="8"/>
  <c r="S211" i="8"/>
  <c r="R8" i="11"/>
  <c r="R20" i="19" s="1"/>
  <c r="R9" i="11"/>
  <c r="R21" i="19" s="1"/>
  <c r="R6" i="11"/>
  <c r="R18" i="19" s="1"/>
  <c r="Q217" i="8" l="1"/>
  <c r="U11" i="19" s="1"/>
  <c r="R10" i="11"/>
  <c r="R22" i="19" s="1"/>
  <c r="R11" i="11"/>
  <c r="R23" i="19" s="1"/>
  <c r="R7" i="11"/>
  <c r="R19" i="19" s="1"/>
  <c r="N67" i="8"/>
  <c r="O161" i="8"/>
  <c r="O163" i="8"/>
  <c r="N251" i="8"/>
  <c r="Q11" i="11"/>
  <c r="Q23" i="19" s="1"/>
  <c r="Q7" i="11"/>
  <c r="Q19" i="19" s="1"/>
  <c r="Q10" i="11"/>
  <c r="Q22" i="19" s="1"/>
  <c r="O248" i="8" l="1"/>
  <c r="O250" i="8" s="1"/>
  <c r="O168" i="8"/>
  <c r="O170" i="8" s="1"/>
  <c r="O92" i="8" s="1"/>
  <c r="O120" i="8"/>
  <c r="O67" i="8" l="1"/>
  <c r="P163" i="8"/>
  <c r="P161" i="8"/>
  <c r="O251" i="8"/>
  <c r="P168" i="8" l="1"/>
  <c r="P170" i="8" s="1"/>
  <c r="P92" i="8" s="1"/>
  <c r="P248" i="8"/>
  <c r="P250" i="8" s="1"/>
  <c r="P120" i="8"/>
  <c r="P67" i="8" l="1"/>
  <c r="Q163" i="8"/>
  <c r="Q161" i="8"/>
  <c r="P251" i="8"/>
  <c r="Q168" i="8" l="1"/>
  <c r="Q170" i="8" s="1"/>
  <c r="Q92" i="8" s="1"/>
  <c r="Q248" i="8"/>
  <c r="Q250" i="8" s="1"/>
  <c r="Q120" i="8"/>
  <c r="Q67" i="8" s="1"/>
  <c r="Q251" i="8" l="1"/>
  <c r="Q253" i="8"/>
  <c r="Q254" i="8" s="1"/>
  <c r="Q255" i="8" l="1"/>
  <c r="Q257" i="8" s="1"/>
  <c r="Q25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s>
  <commentList>
    <comment ref="H18" authorId="0" shapeId="0" xr:uid="{00000000-0006-0000-0100-000001000000}">
      <text>
        <r>
          <rPr>
            <sz val="11"/>
            <color theme="1"/>
            <rFont val="Arial"/>
            <family val="2"/>
          </rPr>
          <t xml:space="preserve">Raul Vasconcelos da Silva:
"The NAND flash market revenue decreased 35.4% in 2023. Demand collapsed. Inventory glut became uncontrollable. Unprecedented production cuts continued. Pricing reached below cash cost. Every player struggled for survival," says Soo Kyoum Kim, associate vice president, Semiconductors research program, IDC.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João Pedro Botelho Pereira de Rodrigues Ferreira</author>
    <author>Maria Ana Serra Gama Rocha</author>
  </authors>
  <commentList>
    <comment ref="G30" authorId="0" shapeId="0" xr:uid="{00000000-0006-0000-0200-000001000000}">
      <text>
        <r>
          <rPr>
            <sz val="11"/>
            <color theme="1"/>
            <rFont val="Arial"/>
            <family val="2"/>
          </rPr>
          <t>Memory only</t>
        </r>
      </text>
    </comment>
    <comment ref="E46" authorId="1" shapeId="0" xr:uid="{00000000-0006-0000-0200-000002000000}">
      <text>
        <r>
          <rPr>
            <sz val="11"/>
            <color theme="1"/>
            <rFont val="Arial"/>
            <family val="2"/>
          </rPr>
          <t xml:space="preserve">Maria Ana Serra Gama Rocha:
"SK Hynix's HBM capacity is 5x larger than Micron's" (J.P. Morgan Feb 2025)
</t>
        </r>
      </text>
    </comment>
    <comment ref="E47" authorId="1" shapeId="0" xr:uid="{00000000-0006-0000-0200-000003000000}">
      <text>
        <r>
          <rPr>
            <sz val="11"/>
            <color theme="1"/>
            <rFont val="Arial"/>
            <family val="2"/>
          </rPr>
          <t>Maria Ana Serra Gama Rocha:
"MR-MUF packaging yields 85% vs industry's 65%" (Bloomberg BI Mar 2025)</t>
        </r>
      </text>
    </comment>
    <comment ref="E48" authorId="1" shapeId="0" xr:uid="{00000000-0006-0000-0200-000004000000}">
      <text>
        <r>
          <rPr>
            <sz val="11"/>
            <color theme="1"/>
            <rFont val="Arial"/>
            <family val="2"/>
          </rPr>
          <t>Maria Ana Serra Gama Rocha:
"$13.5B needed for competitive HBM production" (J.P. Morgan p.4)</t>
        </r>
      </text>
    </comment>
    <comment ref="E49" authorId="1" shapeId="0" xr:uid="{00000000-0006-0000-0200-000005000000}">
      <text>
        <r>
          <rPr>
            <sz val="11"/>
            <color theme="1"/>
            <rFont val="Arial"/>
            <family val="2"/>
          </rPr>
          <t>Maria Ana Serra Gama Rocha:
"HBM requires direct integration with GPU makers (NVIDIA/AMD) through complex co-design partnerships" (J.P. Morgan, Feb 2025, p.3)</t>
        </r>
      </text>
    </comment>
    <comment ref="E50" authorId="1" shapeId="0" xr:uid="{00000000-0006-0000-0200-000006000000}">
      <text>
        <r>
          <rPr>
            <sz val="11"/>
            <color theme="1"/>
            <rFont val="Arial"/>
            <family val="2"/>
          </rPr>
          <t>Maria Ana Serra Gama Rocha:
"US export controls limit China's CXMT to legacy nodes" (Bloomberg BI)</t>
        </r>
      </text>
    </comment>
    <comment ref="E51" authorId="1" shapeId="0" xr:uid="{00000000-0006-0000-0200-000007000000}">
      <text>
        <r>
          <rPr>
            <sz val="11"/>
            <color theme="1"/>
            <rFont val="Arial"/>
            <family val="2"/>
          </rPr>
          <t>Maria Ana Serra Gama Rocha:
"HBM3E qualification takes 6-9 months with customers; redesigning systems for alternatives is prohibitively expensive" (Bloomberg BI, Mar 2025)</t>
        </r>
      </text>
    </comment>
    <comment ref="E53" authorId="1" shapeId="0" xr:uid="{00000000-0006-0000-0200-000008000000}">
      <text>
        <r>
          <rPr>
            <sz val="11"/>
            <color theme="1"/>
            <rFont val="Arial"/>
            <family val="2"/>
          </rPr>
          <t>Maria Ana Serra Gama Rocha:
"ASML monopolizes EUV lithography tools" (SEMI)</t>
        </r>
      </text>
    </comment>
    <comment ref="E54" authorId="1" shapeId="0" xr:uid="{00000000-0006-0000-0200-000009000000}">
      <text>
        <r>
          <rPr>
            <sz val="11"/>
            <color theme="1"/>
            <rFont val="Arial"/>
            <family val="2"/>
          </rPr>
          <t>Maria Ana Serra Gama Rocha:
"HBM requires specialized TSV equipment" (J.P. Morgan p.2)</t>
        </r>
      </text>
    </comment>
    <comment ref="E55" authorId="1" shapeId="0" xr:uid="{00000000-0006-0000-0200-00000A000000}">
      <text>
        <r>
          <rPr>
            <sz val="11"/>
            <color theme="1"/>
            <rFont val="Arial"/>
            <family val="2"/>
          </rPr>
          <t>Maria Ana Serra Gama Rocha:
"Transitioning from ASML EUV to alternative lithography would require 2+ years of re-qualification" (SEMI, cited in Bloomberg BI)</t>
        </r>
      </text>
    </comment>
    <comment ref="E57" authorId="1" shapeId="0" xr:uid="{00000000-0006-0000-0200-00000B000000}">
      <text>
        <r>
          <rPr>
            <sz val="11"/>
            <color theme="1"/>
            <rFont val="Arial"/>
            <family val="2"/>
          </rPr>
          <t>Maria Ana Serra Gama Rocha:
"Memory accounts for 30% of semiconductor equipment spending" (Bloomberg BI)</t>
        </r>
      </text>
    </comment>
    <comment ref="E59" authorId="1" shapeId="0" xr:uid="{00000000-0006-0000-0200-00000C000000}">
      <text>
        <r>
          <rPr>
            <sz val="11"/>
            <color theme="1"/>
            <rFont val="Arial"/>
            <family val="2"/>
          </rPr>
          <t>Maria Ana Serra Gama Rocha:
"Nvidia/Apple account for 40% of HBM demand" (J.P. Morgan)</t>
        </r>
      </text>
    </comment>
    <comment ref="E61" authorId="1" shapeId="0" xr:uid="{00000000-0006-0000-0200-00000D000000}">
      <text>
        <r>
          <rPr>
            <sz val="11"/>
            <color theme="1"/>
            <rFont val="Arial"/>
            <family val="2"/>
          </rPr>
          <t>Maria Ana Serra Gama Rocha:
"HBM3E qualification takes 6-9 months" (Bloomberg BI)</t>
        </r>
      </text>
    </comment>
    <comment ref="E62" authorId="1" shapeId="0" xr:uid="{00000000-0006-0000-0200-00000E000000}">
      <text>
        <r>
          <rPr>
            <sz val="11"/>
            <color theme="1"/>
            <rFont val="Arial"/>
            <family val="2"/>
          </rPr>
          <t>Maria Ana Serra Gama Rocha:
"AI chips prioritize performance over cost" (TrendForce)</t>
        </r>
      </text>
    </comment>
    <comment ref="E65" authorId="1" shapeId="0" xr:uid="{00000000-0006-0000-0200-00000F000000}">
      <text>
        <r>
          <rPr>
            <sz val="11"/>
            <color theme="1"/>
            <rFont val="Arial"/>
            <family val="2"/>
          </rPr>
          <t>Maria Ana Serra Gama Rocha:
"Only 3 players (SK Hynix, Samsung, Micron) control 92% of HBM production capacity"
(Bloomberg BI, Mar 2025 Competitive Landscape Report)
"Chinese CXMT limited to legacy DDR4 due to export controls"
(J.P. Morgan, Feb 2025 Geopolitical Risk Section)</t>
        </r>
      </text>
    </comment>
    <comment ref="E66" authorId="1" shapeId="0" xr:uid="{00000000-0006-0000-0200-000010000000}">
      <text>
        <r>
          <rPr>
            <sz val="11"/>
            <color theme="1"/>
            <rFont val="Arial"/>
            <family val="2"/>
          </rPr>
          <t>Maria Ana Serra Gama Rocha:
"HBM market projected to grow 8x to $30B by 2025"
(Bloomberg BI, Mar 2025 Market Forecast)
"AI server demand driving 120% YoY HBM revenue growth for SK Hynix"
(J.P. Morgan, Feb 2025 Earnings Model)</t>
        </r>
      </text>
    </comment>
    <comment ref="E67" authorId="1" shapeId="0" xr:uid="{00000000-0006-0000-0200-000011000000}">
      <text>
        <r>
          <rPr>
            <sz val="11"/>
            <color theme="1"/>
            <rFont val="Arial"/>
            <family val="2"/>
          </rPr>
          <t>Maria Ana Serra Gama Rocha:
"All HBM3E products use similar TSV architectures, but SK Hynix's MR-MUF yields 20% higher"
(Bloomberg BI, Mar 18 Technology Comparison)
"Samsung's HBM4 uses 1cm interconnects vs. SK Hynix's 1bnm standard"
(J.P. Morgan, Feb 2025, p.2)</t>
        </r>
      </text>
    </comment>
    <comment ref="E68" authorId="1" shapeId="0" xr:uid="{00000000-0006-0000-0200-000012000000}">
      <text>
        <r>
          <rPr>
            <sz val="11"/>
            <color theme="1"/>
            <rFont val="Arial"/>
            <family val="2"/>
          </rPr>
          <t>Maria Ana Serra Gama Rocha:
"Fabs require $10B+ investments with 5-7 year payback periods"
(SEMI Capital Intensity Report, 2025)
"SK Hynix's M15X fab represents 35% of total company capex"
(J.P. Morgan, Feb 2025, p.4)</t>
        </r>
      </text>
    </comment>
    <comment ref="E69" authorId="1" shapeId="0" xr:uid="{00000000-0006-0000-0200-000013000000}">
      <text>
        <r>
          <rPr>
            <sz val="11"/>
            <color theme="1"/>
            <rFont val="Arial"/>
            <family val="2"/>
          </rPr>
          <t>Maria Ana Serra Gama Rocha:
"EUV lithography tools cost $200M+ per unit with 60% utilization needed to break even"
(Bloomberg BI Equipment Analysis, Mar 2025)
"HBM back-end processing requires dedicated cleanrooms"
(J.P. Morgan, Feb 2025, p.2)</t>
        </r>
      </text>
    </comment>
    <comment ref="E71" authorId="1" shapeId="0" xr:uid="{00000000-0006-0000-0200-000014000000}">
      <text>
        <r>
          <rPr>
            <sz val="11"/>
            <color theme="1"/>
            <rFont val="Arial"/>
            <family val="2"/>
          </rPr>
          <t>Maria Ana Serra Gama Rocha:
"HBM's bandwidth-per-dollar is unmatched; alternatives like GDDR6 consume 3x more power for similar AI workloads"
(J.P. Morgan Korea Conference, Feb 2025, p.3)
"CXL-based memory solutions cost 40% more per GB for AI inference"
(Bloomberg BI, Mar 13 2025)</t>
        </r>
      </text>
    </comment>
    <comment ref="E72" authorId="1" shapeId="0" xr:uid="{00000000-0006-0000-0200-000015000000}">
      <text>
        <r>
          <rPr>
            <sz val="11"/>
            <color theme="1"/>
            <rFont val="Arial"/>
            <family val="2"/>
          </rPr>
          <t>Maria Ana Serra Gama Rocha:
"NVIDIA's Blackwell GPUs are architecturally locked to HBM3E; redesign for alternatives would delay products by 18+ months"
(J.P. Morgan, Feb 2025, p.4)
"Top 5 cloud providers have standardized on HBM for AI training clusters through 2027"
(Bloomberg BI, Mar 2025)</t>
        </r>
      </text>
    </comment>
    <comment ref="E73" authorId="1" shapeId="0" xr:uid="{00000000-0006-0000-0200-000016000000}">
      <text>
        <r>
          <rPr>
            <sz val="11"/>
            <color theme="1"/>
            <rFont val="Arial"/>
            <family val="2"/>
          </rPr>
          <t>Maria Ana Serra Gama Rocha:
"No existing memory technology combines HBM's bandwidth (1TB/s+) and power efficiency (&lt;5pJ/bit)"
(Bloomberg BI, Mar 18 2025)
"Emerging memories (MRAM/ReRAM) address different use cases (storage-class memory)"
(SEMI Emerging Memory Report, 2025)</t>
        </r>
      </text>
    </comment>
    <comment ref="E74" authorId="1" shapeId="0" xr:uid="{00000000-0006-0000-0200-000017000000}">
      <text>
        <r>
          <rPr>
            <sz val="11"/>
            <color theme="1"/>
            <rFont val="Arial"/>
            <family val="2"/>
          </rPr>
          <t xml:space="preserve">Maria Ana Serra Gama Rocha:
"Samsung's 'AXIOM' architecture remains 2+ years behind in stacked memory validation"
(Bloomberg BI, Mar 2025 Competitive Analysis)
"Optane discontinuation left no viable alternative for persistent memory workloads"
(TrendForce, Q1 2025)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Rodrigo Ji</author>
  </authors>
  <commentList>
    <comment ref="I10" authorId="0" shapeId="0" xr:uid="{EFE5657A-81FA-4AD2-802E-58B743DC9E78}">
      <text>
        <r>
          <rPr>
            <b/>
            <sz val="9"/>
            <color indexed="81"/>
            <rFont val="Tahoma"/>
            <family val="2"/>
          </rPr>
          <t>Rodrigo Ji:</t>
        </r>
        <r>
          <rPr>
            <sz val="9"/>
            <color indexed="81"/>
            <rFont val="Tahoma"/>
            <family val="2"/>
          </rPr>
          <t xml:space="preserve">
Kioxia and western digitar were not able to recover as the others because they were outperformed technologicly </t>
        </r>
      </text>
    </comment>
    <comment ref="G114" authorId="0" shapeId="0" xr:uid="{00000000-0006-0000-0300-000001000000}">
      <text>
        <r>
          <rPr>
            <b/>
            <sz val="9"/>
            <color indexed="81"/>
            <rFont val="Tahoma"/>
            <family val="2"/>
          </rPr>
          <t>Rodrigo Ji:</t>
        </r>
        <r>
          <rPr>
            <sz val="9"/>
            <color indexed="81"/>
            <rFont val="Tahoma"/>
            <family val="2"/>
          </rPr>
          <t xml:space="preserve">
The company doesn’t have accounts receivable separated form notes receivable, therefore this is the value of accounts and notes receivable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Raul Vasconcelos da Silva</author>
    <author>tc={CB5C8E83-E3D0-4441-B6E0-D862C650B5F5}</author>
    <author>tc={CE396053-595E-4126-9C71-0875E5897884}</author>
    <author>tc={E2CDF95A-7B2F-4661-BCB3-C007122C6CFD}</author>
    <author>tc={CD092673-94DE-4108-B6AF-FC73424C056A}</author>
    <author>tc={62E50C66-BA1C-4031-B660-F25771E0B7AB}</author>
    <author>tc={9EF6C6D7-5E70-49FE-A672-ED08A0372EC5}</author>
  </authors>
  <commentList>
    <comment ref="B76" authorId="0" shapeId="0" xr:uid="{00000000-0006-0000-0600-000003000000}">
      <text>
        <r>
          <rPr>
            <sz val="11"/>
            <color theme="1"/>
            <rFont val="Arial"/>
            <family val="2"/>
          </rPr>
          <t>Forecast as % of revenue for maximum simplicity. It is encouraged to build a more complex model using bond yields, exchange rates and exposure to each region (not always necessary)</t>
        </r>
      </text>
    </comment>
    <comment ref="B110" authorId="0" shapeId="0" xr:uid="{00000000-0006-0000-0600-000004000000}">
      <text>
        <r>
          <rPr>
            <sz val="11"/>
            <color theme="1"/>
            <rFont val="Arial"/>
            <family val="2"/>
          </rPr>
          <t>Growth with R&amp;D or with part of the capex, should find what is the most reliable method for the company</t>
        </r>
      </text>
    </comment>
    <comment ref="B127" authorId="1" shapeId="0" xr:uid="{00000000-0006-0000-0600-000005000000}">
      <text>
        <t>[Threaded comment]
Your version of Excel allows you to read this threaded comment; however, any edits to it will get removed if the file is opened in a newer version of Excel. Learn more: https://go.microsoft.com/fwlink/?linkid=870924
Comment:
    Chipotle does not have any Intangibles in its Balance Sheet, except for Goodwill. Hence Depreciation and Amortization are forecasted only as % of PP&amp;E.</t>
      </text>
    </comment>
    <comment ref="B129" authorId="0" shapeId="0" xr:uid="{00000000-0006-0000-0600-000006000000}">
      <text>
        <r>
          <rPr>
            <sz val="11"/>
            <color theme="1"/>
            <rFont val="Arial"/>
            <family val="2"/>
          </rPr>
          <t xml:space="preserve">Usually part of SG&amp;A expenses, but sometimes can be part of R&amp;D expenses, i.e. tech/engineering companies </t>
        </r>
      </text>
    </comment>
    <comment ref="B140" authorId="2" shapeId="0" xr:uid="{00000000-0006-0000-0600-000007000000}">
      <text>
        <t xml:space="preserve">[Threaded comment]
Your version of Excel allows you to read this threaded comment; however, any edits to it will get removed if the file is opened in a newer version of Excel. Learn more: https://go.microsoft.com/fwlink/?linkid=870924
Comment:
    Forecasted based on net number of stores opening </t>
      </text>
    </comment>
    <comment ref="B146" authorId="0" shapeId="0" xr:uid="{00000000-0006-0000-0600-000008000000}">
      <text>
        <r>
          <rPr>
            <sz val="11"/>
            <color theme="1"/>
            <rFont val="Arial"/>
            <family val="2"/>
          </rPr>
          <t>Forecast separately based on what you find to be the best factor</t>
        </r>
      </text>
    </comment>
    <comment ref="B158" authorId="3" shapeId="0" xr:uid="{00000000-0006-0000-0600-000009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1" authorId="4" shapeId="0" xr:uid="{00000000-0006-0000-0600-00000A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63" authorId="5" shapeId="0" xr:uid="{00000000-0006-0000-0600-00000B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 ref="B170" authorId="6" shapeId="0" xr:uid="{00000000-0006-0000-0600-00000C000000}">
      <text>
        <t>[Threaded comment]
Your version of Excel allows you to read this threaded comment; however, any edits to it will get removed if the file is opened in a newer version of Excel. Learn more: https://go.microsoft.com/fwlink/?linkid=870924
Comment:
    Payment for Right of Use Assets are recognized as occupancy costs under SG&amp;A expenses.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Raul Vasconcelos</author>
  </authors>
  <commentList>
    <comment ref="B50" authorId="0" shapeId="0" xr:uid="{00000000-0006-0000-0700-000001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0" shapeId="0" xr:uid="{00000000-0006-0000-07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8">
    <bk>
      <extLst>
        <ext uri="{3e2802c4-a4d2-4d8b-9148-e3be6c30e623}">
          <xlrd:rvb i="2"/>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2"/>
        </ext>
      </extLst>
    </bk>
    <bk>
      <extLst>
        <ext uri="{3e2802c4-a4d2-4d8b-9148-e3be6c30e623}">
          <xlrd:rvb i="14"/>
        </ext>
      </extLst>
    </bk>
    <bk>
      <extLst>
        <ext uri="{3e2802c4-a4d2-4d8b-9148-e3be6c30e623}">
          <xlrd:rvb i="16"/>
        </ext>
      </extLst>
    </bk>
    <bk>
      <extLst>
        <ext uri="{3e2802c4-a4d2-4d8b-9148-e3be6c30e623}">
          <xlrd:rvb i="23"/>
        </ext>
      </extLst>
    </bk>
  </futureMetadata>
  <futureMetadata name="XLDAPR" count="1">
    <bk>
      <extLst>
        <ext uri="{bdbb8cdc-fa1e-496e-a857-3c3f30c029c3}">
          <xda:dynamicArrayProperties fDynamic="1" fCollapsed="0"/>
        </ext>
      </extLst>
    </bk>
  </futureMetadata>
  <cellMetadata count="1">
    <bk>
      <rc t="2" v="0"/>
    </bk>
  </cell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<sst xmlns="http://schemas.openxmlformats.org/spreadsheetml/2006/main" count="11912" uniqueCount="1209">
  <si>
    <t xml:space="preserve">             |   EQUITY RESEARCH </t>
  </si>
  <si>
    <t>Lisbon Investment Society Equity Research</t>
  </si>
  <si>
    <t>April 5, 2025</t>
  </si>
  <si>
    <t>Strong Buy</t>
  </si>
  <si>
    <t>Investment Thesis</t>
  </si>
  <si>
    <t xml:space="preserve">SK Hynix is uniquely positioned to benefit from the accelerating demand for advanced memory driven by the global AI boom. As the leading supplier of high-bandwidth memory (HBM) to NVIDIA, and with HBM4 production on track for late 2025, the company sits at the core of AI infrastructure buildout. Despite this strategic positioning, SK Hynix trades at a 72% TTM EV/EBITDA discount to the NASDAQ 100, far below the historical Korean average of 45%, reflecting an exaggerated valuation gap rather than fundamentals. With DRAM recovering, NAND bottoming, and HBM supply sold out for 2025, SK Hynix offers rare exposure to both cyclical recovery and structural growth, at a deeply mispriced entry point.
</t>
  </si>
  <si>
    <t>Market Data</t>
  </si>
  <si>
    <t>Valuation Multiples</t>
  </si>
  <si>
    <t>Raul Vasconcelos, Co-head of ER</t>
  </si>
  <si>
    <t>EV / Sales</t>
  </si>
  <si>
    <t>raul.vasconcelos@aln.iseg.ulisboa.pt</t>
  </si>
  <si>
    <t>Price / Sales</t>
  </si>
  <si>
    <t>(+351) 960 242 437</t>
  </si>
  <si>
    <t>EV / EBITDA</t>
  </si>
  <si>
    <t>Maria Ana Rocha, ER Analyst</t>
  </si>
  <si>
    <t>EV / EBIT</t>
  </si>
  <si>
    <t>maria.ana.rocha@aln.iseg.ulisboa.pt</t>
  </si>
  <si>
    <t>Price / Earnings</t>
  </si>
  <si>
    <t>(+351) 935 474 506</t>
  </si>
  <si>
    <t>Price / Book</t>
  </si>
  <si>
    <t>Rodrigo Ji, ER Analyst</t>
  </si>
  <si>
    <t>l63970@aln.iseg.ulisboa.pt</t>
  </si>
  <si>
    <t>Year</t>
  </si>
  <si>
    <t>Net Sales</t>
  </si>
  <si>
    <t>EBIT Margin</t>
  </si>
  <si>
    <t>FCFF</t>
  </si>
  <si>
    <t>Net Capex</t>
  </si>
  <si>
    <t>Profitability Ratios</t>
  </si>
  <si>
    <t>(+351) 963 757 458</t>
  </si>
  <si>
    <t>Return on Assets</t>
  </si>
  <si>
    <t>Joao Branco, ER Analyst</t>
  </si>
  <si>
    <t>Return on Equity</t>
  </si>
  <si>
    <t>l61862@aln.iseg.ulisboa.pt</t>
  </si>
  <si>
    <t>Return on Total Capital</t>
  </si>
  <si>
    <t>(+351) 924 355 215</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</si>
  <si>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</si>
  <si>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</si>
  <si>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</si>
  <si>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</si>
  <si>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</si>
  <si>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</si>
  <si>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</si>
  <si>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</si>
  <si>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</si>
  <si>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</si>
  <si>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</si>
  <si>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</si>
  <si>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</si>
  <si>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</si>
  <si>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</si>
  <si>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t>HBM market leadership, supplying NVIDIA's Blackwell. Strong positioning in DRAM (36% market share). Vertical integration, reducing supplier dependency.</t>
  </si>
  <si>
    <t>Heavy exposure to China, with multiple manufacturing facilities located there. Volatile NAND margins. High dependence of geopolitical waivers.</t>
  </si>
  <si>
    <t>Quick Ratio</t>
  </si>
  <si>
    <t>Ownership Structure</t>
  </si>
  <si>
    <t>Current Ratio</t>
  </si>
  <si>
    <t>Foreigner</t>
  </si>
  <si>
    <t>The only foreign fund that owns more than 5% of stock is The Capital Group Companies, Inc. Totalling 6.7% of shares</t>
  </si>
  <si>
    <t>SK Square</t>
  </si>
  <si>
    <t>Opportunities</t>
  </si>
  <si>
    <t>Threats</t>
  </si>
  <si>
    <t>Cash Flow Ratios</t>
  </si>
  <si>
    <t>National Pension Service</t>
  </si>
  <si>
    <t>Mass production of HBM. Growing AI and HPC. Recovery in NAND pricing. Potential correction in Korean equities prices (current EV/EBITDA discount 72% vs usual 45%)</t>
  </si>
  <si>
    <t>Samsung's aggresive HBM4 roadmap and R&amp;D. Micron's geopolitical advantage. U.S.-China trade tensions, disrupting Chinese production. KRW appreciation risk. Decreasing demand for conventional memory.</t>
  </si>
  <si>
    <t>Cash Conversion Cycle</t>
  </si>
  <si>
    <t>Domestic Individual</t>
  </si>
  <si>
    <t>Net Income / Op Cash Flow</t>
  </si>
  <si>
    <t>Domestic Institutions</t>
  </si>
  <si>
    <t>Chg in Cash / Op Cash Flow</t>
  </si>
  <si>
    <t>Others</t>
  </si>
  <si>
    <t>Treasury Stock</t>
  </si>
  <si>
    <t>Revenue by Region</t>
  </si>
  <si>
    <t>Revenue by Segment</t>
  </si>
  <si>
    <t>Leverage Ratios</t>
  </si>
  <si>
    <t>Total Debt / Equity</t>
  </si>
  <si>
    <t>ESG Traffic Light</t>
  </si>
  <si>
    <t>Total Debt / Capital</t>
  </si>
  <si>
    <t>LSEG ESG Score</t>
  </si>
  <si>
    <t>Total Liabilities / Total Assets</t>
  </si>
  <si>
    <t xml:space="preserve">   E-Score</t>
  </si>
  <si>
    <t>Total Debt / EBITDA</t>
  </si>
  <si>
    <t xml:space="preserve">   S-Score</t>
  </si>
  <si>
    <t>Total Debt / (EBITDA - Capex)</t>
  </si>
  <si>
    <t xml:space="preserve">   G-Score</t>
  </si>
  <si>
    <t>Net Debt / EBITDA</t>
  </si>
  <si>
    <t>S&amp;P Global ESG Score</t>
  </si>
  <si>
    <t xml:space="preserve">   Environmental</t>
  </si>
  <si>
    <t>Solvency Ratios</t>
  </si>
  <si>
    <t xml:space="preserve">   Social</t>
  </si>
  <si>
    <t>EBIT / Interest Expense</t>
  </si>
  <si>
    <t xml:space="preserve">   Governance &amp; Economic</t>
  </si>
  <si>
    <t>EBITDA / Interest Expense</t>
  </si>
  <si>
    <t>Sustainalytics</t>
  </si>
  <si>
    <t>(EBITDA - Capex) / Interest Expense</t>
  </si>
  <si>
    <t>ISS ESG Corporate Rating</t>
  </si>
  <si>
    <t xml:space="preserve">   SDG Impact Rating</t>
  </si>
  <si>
    <t>Debt Schedule</t>
  </si>
  <si>
    <t>Stock Performance</t>
  </si>
  <si>
    <t xml:space="preserve">   Governance Quality Score</t>
  </si>
  <si>
    <t>MSCI ESG Ratings</t>
  </si>
  <si>
    <t>Extra Notes</t>
  </si>
  <si>
    <t>Segments</t>
  </si>
  <si>
    <t>Regions</t>
  </si>
  <si>
    <t>Weight</t>
  </si>
  <si>
    <t>South Korea</t>
  </si>
  <si>
    <t>China</t>
  </si>
  <si>
    <t>Asia (without China)</t>
  </si>
  <si>
    <t>United States</t>
  </si>
  <si>
    <t>Europe</t>
  </si>
  <si>
    <t>Total</t>
  </si>
  <si>
    <t>DRAM</t>
  </si>
  <si>
    <t>Nand</t>
  </si>
  <si>
    <t>Other</t>
  </si>
  <si>
    <t>Categories</t>
  </si>
  <si>
    <t>Description</t>
  </si>
  <si>
    <t>Graphs</t>
  </si>
  <si>
    <t>DRAM (Dynamic Random-Access Memory)</t>
  </si>
  <si>
    <t>High-speed, volatile memory used for temporary data storage in computers and devices. Unlike permanent storage, DRAM loses data when powered off. It stores bits in tiny capacitors that require constant refreshing, enabling cost-effective, dense memory for system RAM. This makes DRAM essential for multitasking and performance in PCs, smartphones, and servers.</t>
  </si>
  <si>
    <t>Non-volatile storage technology that retains data even when powered off. Unlike DRAM, it doesn't require constant refreshing, making it ideal for long-term data storage in devices like SSDs, USB drives, and smartphones. NAND stores data in memory cells organized in blocks, enabling high density and cost efficiency. While slower than DRAM, its persistence and endurance make it the backbone of modern storage solutions.</t>
  </si>
  <si>
    <t>Products</t>
  </si>
  <si>
    <t>CAGR</t>
  </si>
  <si>
    <t>Stellar</t>
  </si>
  <si>
    <t>% growth</t>
  </si>
  <si>
    <t>GMI</t>
  </si>
  <si>
    <t>Product 3</t>
  </si>
  <si>
    <t>Product 4</t>
  </si>
  <si>
    <t>Product 5</t>
  </si>
  <si>
    <t>Company's Strategy / Extra Notes</t>
  </si>
  <si>
    <t>Industry Overview</t>
  </si>
  <si>
    <t>Sales Growth Forecast</t>
  </si>
  <si>
    <t>Sources</t>
  </si>
  <si>
    <t>Semiconductor Market</t>
  </si>
  <si>
    <t>6,8%</t>
  </si>
  <si>
    <t xml:space="preserve">Precendence Research
</t>
  </si>
  <si>
    <t>Weighted Average</t>
  </si>
  <si>
    <t>Key Drivers</t>
  </si>
  <si>
    <t>AI/HPC boom</t>
  </si>
  <si>
    <t>Explosive demand for AI accelarators (Nvidia Blackwell/Feynman GPUs, AMD MI400) is driving 8x growth in High-Bandwidth Memory (HBM) through 2030. SK Hynix's HBM3E/HBM4 products command 70% market shre due to (1) TSMC Logic Die Partnership that enables 16-layer stacking (HBM4) with 30% better power efficiency vs competitors; (2) MR-MUF packaging that achieves 85% yield rates vs industry average of 65% (thermal compression).</t>
  </si>
  <si>
    <t>Supply constraints</t>
  </si>
  <si>
    <t>HBM production requires 3x more wafers than standard DRAM, creating shortages (1) capacity lag, since only SK Hynix/Samsung can mass-produce 12Hi+ stacks until 2026; (2) geopolitical risks, since US export controls limit China's CXMT to legacy nodes (&lt;18nm).</t>
  </si>
  <si>
    <t>Automotive/edge AI demand</t>
  </si>
  <si>
    <t>Next-gen vehicles and IoT devices will consume 22% of DRAM by 2030, fueled by (1) LPDDR6 adoption - 30% power savings for autonomous driving systems (2027 rollout); (2) MRAM Pilots - SK Hynix's embedded memory for Tesla Dojo 2.0 (sampling 2026)</t>
  </si>
  <si>
    <t>Geopolitical reshoring</t>
  </si>
  <si>
    <t>US/EU subsidies ($53B CHIPS Act) are accelerating kicak production (1) SK Hynix Indiana Fab, $3.9B facility exempt form US-China trade tariffs; (2) Samsung Taylor, TX, $17B fab ensures HBM supply for Nvidia/AWS.</t>
  </si>
  <si>
    <t>Industry Trends</t>
  </si>
  <si>
    <t>AI is changing memory chip designs</t>
  </si>
  <si>
    <t>The need for faster data processing in AI systems is pushing memory chip makers to develop new solutions. High-Bandwidth Memory (HBM) is now essential for AI chips, with companies like SK Hynix leading in advanced 3D-stacked designs. Their latest HBM3E technology is already used in top AI processors, and even more advanced versions are coming soon. This shift is making HBM a major revenue driver, expected to grow much faster than traditional memory chips.</t>
  </si>
  <si>
    <t>Global politics affects where chips are made</t>
  </si>
  <si>
    <t>Trade tensions and new laws are forcing chip companies to spread their factories across different countries. While many still operate in China, new plants are being built in the U.S. and South Korea to reduce risks. Governments are offering incentives to attract these factories, as having local chip production is now seen as vital for economic and national security.</t>
  </si>
  <si>
    <t>New types of memory for future tech</t>
  </si>
  <si>
    <t>Beyond standard memory chips, new varieties are being developed for specific uses. Cars, smart devices, and AI systems at the "edge" (like phones and sensors) need specialized memory that’s faster, more efficient, or more durable. Companies investing in these new memory types now could gain an advantage as demand grows in the coming years.</t>
  </si>
  <si>
    <t>Chip makers focus on sustainability</t>
  </si>
  <si>
    <t>The industry is working to reduce its environmental impact by cutting water and energy use in manufacturing. New factories are being designed to run on cleaner energy and recycle more resources. These efforts aren’t just about being eco-friendly—they’re becoming important for winning business from big tech companies with strict sustainability goals.</t>
  </si>
  <si>
    <t>HBM is becoming a high-profit oligopoly</t>
  </si>
  <si>
    <t xml:space="preserve">The market for HBM is controlled by just a few companies, allowing them to charge premium prices while other memory chips face price drops. This divide is pushing chip makers to focus more on high-end HBM development, where profits remain strong despite broader industry challenges.
</t>
  </si>
  <si>
    <t>Market Share - Memory</t>
  </si>
  <si>
    <t>Headquarters</t>
  </si>
  <si>
    <t>Revenues</t>
  </si>
  <si>
    <t>(in Billions of KRW)</t>
  </si>
  <si>
    <t>Market Share</t>
  </si>
  <si>
    <t>Japan</t>
  </si>
  <si>
    <t>--</t>
  </si>
  <si>
    <t>Industry Size</t>
  </si>
  <si>
    <t>Statista</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</si>
  <si>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</si>
  <si>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</si>
  <si>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</si>
  <si>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</si>
  <si>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</si>
  <si>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</si>
  <si>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</si>
  <si>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</si>
  <si>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</si>
  <si>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</si>
  <si>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</si>
  <si>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</si>
  <si>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</si>
  <si>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</si>
  <si>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</si>
  <si>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</si>
  <si>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</si>
  <si>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</si>
  <si>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</si>
  <si>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</si>
  <si>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</si>
  <si>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</si>
  <si>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</si>
  <si>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</si>
  <si>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</si>
  <si>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</si>
  <si>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</si>
  <si>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</si>
  <si>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</si>
  <si>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</si>
  <si>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</si>
  <si>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</si>
  <si>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</si>
  <si>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</si>
  <si>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</si>
  <si>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</si>
  <si>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</si>
  <si>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Market cap is in USD, convert to KRW</t>
  </si>
  <si>
    <t>Market cap is in JPY, convert to KRW</t>
  </si>
  <si>
    <t>SANTANDER</t>
  </si>
  <si>
    <t>HAITONG</t>
  </si>
  <si>
    <t>BNP</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</si>
  <si>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</si>
  <si>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</si>
  <si>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</si>
  <si>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</si>
  <si>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</si>
  <si>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</si>
  <si>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</si>
  <si>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</si>
  <si>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</si>
  <si>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</si>
  <si>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</si>
  <si>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</si>
  <si>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</si>
  <si>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</si>
  <si>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</si>
  <si>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</si>
  <si>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</si>
  <si>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</si>
  <si>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</si>
  <si>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</si>
  <si>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</si>
  <si>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</si>
  <si>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</si>
  <si>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</si>
  <si>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</si>
  <si>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</si>
  <si>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</si>
  <si>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</si>
  <si>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</si>
  <si>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</si>
  <si>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</si>
  <si>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</si>
  <si>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</si>
  <si>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</si>
  <si>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</si>
  <si>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</si>
  <si>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</si>
  <si>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</si>
  <si>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</si>
  <si>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</si>
  <si>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</si>
  <si>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</si>
  <si>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</si>
  <si>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</si>
  <si>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</si>
  <si>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</si>
  <si>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</si>
  <si>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</si>
  <si>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</si>
  <si>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</si>
  <si>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</si>
  <si>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</si>
  <si>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</si>
  <si>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</si>
  <si>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</si>
  <si>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</si>
  <si>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</si>
  <si>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Exposure to the US</t>
  </si>
  <si>
    <t>DRAM Revenue</t>
  </si>
  <si>
    <t>NAND Revenue</t>
  </si>
  <si>
    <t>Income Statement</t>
  </si>
  <si>
    <t>PEER 5</t>
  </si>
  <si>
    <t>PEER 6</t>
  </si>
  <si>
    <t>PEER 7</t>
  </si>
  <si>
    <t>PEER 8</t>
  </si>
  <si>
    <t>PEER 9</t>
  </si>
  <si>
    <t>PEER 10</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</si>
  <si>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</si>
  <si>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</si>
  <si>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</si>
  <si>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</si>
  <si>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</si>
  <si>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</si>
  <si>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</si>
  <si>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</si>
  <si>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</si>
  <si>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</si>
  <si>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</si>
  <si>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Balance Sheet</t>
  </si>
  <si>
    <t>Cash &amp; Cash Equivalents</t>
  </si>
  <si>
    <t>Accounts Receivable</t>
  </si>
  <si>
    <t>Beginning Inventory</t>
  </si>
  <si>
    <t>Ending Inventory</t>
  </si>
  <si>
    <t xml:space="preserve"> </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</si>
  <si>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</si>
  <si>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</si>
  <si>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</si>
  <si>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</si>
  <si>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</si>
  <si>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</si>
  <si>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</si>
  <si>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</si>
  <si>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</si>
  <si>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</si>
  <si>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</si>
  <si>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</si>
  <si>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</si>
  <si>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</si>
  <si>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</si>
  <si>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Micron</t>
  </si>
  <si>
    <t>Operates in the same industry, work in the same business and geographic segment and has similar capital cap</t>
  </si>
  <si>
    <t>Kioxia</t>
  </si>
  <si>
    <t>Operates in the same industry, work in the NAND Flash segment but not in the DRAM segment, work in the same geographic segment and has a smaller capital cap</t>
  </si>
  <si>
    <t>6/31/2021</t>
  </si>
  <si>
    <t>9/31/2021</t>
  </si>
  <si>
    <t>6/31/2022</t>
  </si>
  <si>
    <t>9/31/2022</t>
  </si>
  <si>
    <t>6/31/2023</t>
  </si>
  <si>
    <t>9/31/2023</t>
  </si>
  <si>
    <t>6/31/2024</t>
  </si>
  <si>
    <t>9/31/2024</t>
  </si>
  <si>
    <t>Q121</t>
  </si>
  <si>
    <t>Q221</t>
  </si>
  <si>
    <t>Q321</t>
  </si>
  <si>
    <t>Q421</t>
  </si>
  <si>
    <t>Q122</t>
  </si>
  <si>
    <t>Q222</t>
  </si>
  <si>
    <t>Q322</t>
  </si>
  <si>
    <t>Q422</t>
  </si>
  <si>
    <t>Q123</t>
  </si>
  <si>
    <t>Q223</t>
  </si>
  <si>
    <t>Q323</t>
  </si>
  <si>
    <t>Q423</t>
  </si>
  <si>
    <t>Q124</t>
  </si>
  <si>
    <t>Q224</t>
  </si>
  <si>
    <t>Q324</t>
  </si>
  <si>
    <t>Q424</t>
  </si>
  <si>
    <t>CAGR 3Y</t>
  </si>
  <si>
    <t>CAGR 2Y</t>
  </si>
  <si>
    <t>CAGR 1Y</t>
  </si>
  <si>
    <t>SK hynix Inc.</t>
  </si>
  <si>
    <t>000660</t>
  </si>
  <si>
    <t>Samsung Electronics Co., Ltd.</t>
  </si>
  <si>
    <t>005930</t>
  </si>
  <si>
    <t>MICRON TECHNOLOGY, INC.</t>
  </si>
  <si>
    <t>MU</t>
  </si>
  <si>
    <t>NAND</t>
  </si>
  <si>
    <t>Kioxia Holdings Corporation</t>
  </si>
  <si>
    <t>KI5</t>
  </si>
  <si>
    <t>WESTERN DIGITAL CORPORATION</t>
  </si>
  <si>
    <t>WDC</t>
  </si>
  <si>
    <t>Environmental, Social and Governance Analysis</t>
  </si>
  <si>
    <t>Author:</t>
  </si>
  <si>
    <t>João Branco</t>
  </si>
  <si>
    <t>Highlights</t>
  </si>
  <si>
    <t>Recent News</t>
  </si>
  <si>
    <t>Overview</t>
  </si>
  <si>
    <t>.</t>
  </si>
  <si>
    <t>Last Update</t>
  </si>
  <si>
    <t>Latest year with data</t>
  </si>
  <si>
    <t>GICS Sector</t>
  </si>
  <si>
    <t>Informational Technology</t>
  </si>
  <si>
    <t>GICS Industry Group</t>
  </si>
  <si>
    <t>Semiconductor Equipment</t>
  </si>
  <si>
    <t>Final Review</t>
  </si>
  <si>
    <t>ESG Scores</t>
  </si>
  <si>
    <t>GHG Scope 1 and 2 Emissions:</t>
  </si>
  <si>
    <t>Water, Waste, Energy Management:</t>
  </si>
  <si>
    <t>C+</t>
  </si>
  <si>
    <t>A</t>
  </si>
  <si>
    <t>Industry ESG Overview:</t>
  </si>
  <si>
    <t>ENVIRONMENTAL</t>
  </si>
  <si>
    <t>Targets</t>
  </si>
  <si>
    <t>Improvements</t>
  </si>
  <si>
    <t>Comments</t>
  </si>
  <si>
    <t>GHG (or CO2) Scope 1 Emissions</t>
  </si>
  <si>
    <t>SK Hynix wants to reduce their GHG emissions by 40% until 2030</t>
  </si>
  <si>
    <t>The company was able to reduce their GHG Scope 1 emissions by 25% between 2022 and 2023.</t>
  </si>
  <si>
    <t>The company has been able to keep reducing the GHG scope 1 emissions and keep values low when compared to their competitors.</t>
  </si>
  <si>
    <t>Water Consumption</t>
  </si>
  <si>
    <t>The company wants to conserve  600 million tons of water by 2030</t>
  </si>
  <si>
    <t>The company was able to reduce their water consumption by 9% between 2022 and 2023.</t>
  </si>
  <si>
    <t>Although the company was able to reduce their water consumption they still maintain very high levels of consumption.</t>
  </si>
  <si>
    <t>Energy Consumption</t>
  </si>
  <si>
    <t>The company wants to create energy saving of 3000 GWh by 2030.</t>
  </si>
  <si>
    <t>The company increased the energy consumption by 36%</t>
  </si>
  <si>
    <t>The company keeps the 2nd highest energy consumption when compared to the other companies.</t>
  </si>
  <si>
    <t>Waste Management</t>
  </si>
  <si>
    <t>The company reduced their waste by 18%.</t>
  </si>
  <si>
    <t>Even though the company reduced their waste, they still are the 2nd company that produces more waste.</t>
  </si>
  <si>
    <t>SOCIAL</t>
  </si>
  <si>
    <t>Important Sources:</t>
  </si>
  <si>
    <t>Annual Report</t>
  </si>
  <si>
    <t>Employee Turnover %</t>
  </si>
  <si>
    <t>Not Reported</t>
  </si>
  <si>
    <t>Sustainability Report</t>
  </si>
  <si>
    <t>Proxy Statement</t>
  </si>
  <si>
    <t>Salaries &amp; Compensation</t>
  </si>
  <si>
    <t>The company has a higher salary when compared to the industry, paying 1$ extra per hour.</t>
  </si>
  <si>
    <t>Reputation</t>
  </si>
  <si>
    <t>Brand is well known for its high quality and being ahead in technology.</t>
  </si>
  <si>
    <t>Overall the company is well known and has a good reputation.</t>
  </si>
  <si>
    <t>Discrimination Events</t>
  </si>
  <si>
    <t>Could not find any information about discrimination events at Hynix.</t>
  </si>
  <si>
    <t>Work Safety</t>
  </si>
  <si>
    <t>There were only two accidents, one in 2015 killing 3 people and the other was in 2020 injuring 3 people.</t>
  </si>
  <si>
    <t>Damage to consumer health</t>
  </si>
  <si>
    <t>Hynix products cause no damages to consumer health.</t>
  </si>
  <si>
    <t>Pension Plan</t>
  </si>
  <si>
    <t>Could not find anything related to the Pension plan.</t>
  </si>
  <si>
    <t>Supply chain</t>
  </si>
  <si>
    <t>Could not find any information about problems with suppliers at Hynix.</t>
  </si>
  <si>
    <t>Community involvement</t>
  </si>
  <si>
    <t>The company spent 82954 euros on comunity this year in things like an "Happy Lunchbox", an Handball League for Individuals with Developmental Disabilities etc.</t>
  </si>
  <si>
    <t>Public Sector</t>
  </si>
  <si>
    <t>Litigation</t>
  </si>
  <si>
    <t>The company is currently facing a lawsuit over patent infringement. SK hynix sold around 1,500 semiconductor patents to Mimir IP, a non-practicing entity (NPE) which buy patents to sue companies for infrigement and extract settlements.</t>
  </si>
  <si>
    <t>GOVERNANCE</t>
  </si>
  <si>
    <t>Diversity (Gender, Age, Industry, Region)</t>
  </si>
  <si>
    <t>The percentage of women has remained more or less the same.</t>
  </si>
  <si>
    <t>35% of their workers are Women.</t>
  </si>
  <si>
    <t>% Independence</t>
  </si>
  <si>
    <t>There is one less independent member on the board when compared to last year.</t>
  </si>
  <si>
    <t>6 out of 10 members of the board are independent.</t>
  </si>
  <si>
    <t>Average time as independent directors</t>
  </si>
  <si>
    <t>The average time as independent director is 3 years.</t>
  </si>
  <si>
    <t>Departures of C-level executives</t>
  </si>
  <si>
    <t>The CEO changed in 2022.</t>
  </si>
  <si>
    <t>CEO/Chairman duality</t>
  </si>
  <si>
    <t>The CEO and the chairman are two diferent people.</t>
  </si>
  <si>
    <t>Transparency when reporting</t>
  </si>
  <si>
    <t>Overall it was very easy to find specific information but the company lacks some crucial information.</t>
  </si>
  <si>
    <t>Time taken to report</t>
  </si>
  <si>
    <t>ESG/Corporate Governance reports took 8 months to report. Financials are released within 1 month</t>
  </si>
  <si>
    <t>CEO or Chairman in other boards?</t>
  </si>
  <si>
    <t>The CEO and the Chairman are not part of other boards.</t>
  </si>
  <si>
    <t>Audit / Consulting</t>
  </si>
  <si>
    <t>ESG-compensation related</t>
  </si>
  <si>
    <t>Not reported</t>
  </si>
  <si>
    <t>Management compensation schemes</t>
  </si>
  <si>
    <t>The company has performance based compensation. It is important to highlight the huge gap between the compensation that the board receive and the employees. It is also important to keep an eye on the fact that Park Sung-wook earned most of his pay from stock options, not salary</t>
  </si>
  <si>
    <t>BOARD</t>
  </si>
  <si>
    <t>moved to a separate sheet due to formatting</t>
  </si>
  <si>
    <t>ESG Inputs</t>
  </si>
  <si>
    <t>x</t>
  </si>
  <si>
    <t>Total GHG Scope 1 Emissions</t>
  </si>
  <si>
    <t>Total GHG Scope 2 (Location-Based) Emissions</t>
  </si>
  <si>
    <t>Total Energy Usage</t>
  </si>
  <si>
    <t>Total Water Consumption</t>
  </si>
  <si>
    <t>Total Waste Production</t>
  </si>
  <si>
    <t>GHG Scope 1 and 2 Emissions</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</si>
  <si>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</si>
  <si>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</si>
  <si>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</si>
  <si>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</si>
  <si>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</si>
  <si>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</si>
  <si>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</si>
  <si>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</si>
  <si>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</si>
  <si>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</si>
  <si>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</si>
  <si>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</si>
  <si>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</si>
  <si>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</si>
  <si>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</si>
  <si>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WACC</t>
  </si>
  <si>
    <t>Most Recent Quarter End Date</t>
  </si>
  <si>
    <t>TGR</t>
  </si>
  <si>
    <t>Valuation Date</t>
  </si>
  <si>
    <t>DRAM Market</t>
  </si>
  <si>
    <t>Market growth</t>
  </si>
  <si>
    <t>SK Hynix Market Share</t>
  </si>
  <si>
    <t>SK Hynix DRAM Revenue</t>
  </si>
  <si>
    <t>SK Hynix DRAM Growth</t>
  </si>
  <si>
    <t>Nand Market</t>
  </si>
  <si>
    <t>SK Hynix NAND Revenue</t>
  </si>
  <si>
    <t>SK Hynix NAND Growth</t>
  </si>
  <si>
    <t>SK Hynix Others Revenue</t>
  </si>
  <si>
    <t>Growth</t>
  </si>
  <si>
    <t>Revenue (Sales)</t>
  </si>
  <si>
    <t>% of growth</t>
  </si>
  <si>
    <t>% of revenue</t>
  </si>
  <si>
    <t>REVER</t>
  </si>
  <si>
    <t>SG&amp;A (Selling, General &amp; Administrative)</t>
  </si>
  <si>
    <t>Other Operating (Income) Expenses</t>
  </si>
  <si>
    <t>D&amp;A (Depreciation &amp; Amortization)</t>
  </si>
  <si>
    <t>% of PP&amp;E+ROU Assets+Intangibles excl. Goodwill</t>
  </si>
  <si>
    <t>Depreciation Expense</t>
  </si>
  <si>
    <t>Amortization Expense</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</si>
  <si>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</si>
  <si>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</si>
  <si>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</si>
  <si>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</si>
  <si>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</si>
  <si>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</si>
  <si>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</si>
  <si>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</si>
  <si>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</si>
  <si>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</si>
  <si>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</si>
  <si>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</si>
  <si>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</si>
  <si>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</si>
  <si>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</si>
  <si>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</si>
  <si>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</si>
  <si>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</si>
  <si>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</si>
  <si>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with % of R&amp;D</t>
  </si>
  <si>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</si>
  <si>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</si>
  <si>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</si>
  <si>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</si>
  <si>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</si>
  <si>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</si>
  <si>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</si>
  <si>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</si>
  <si>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</si>
  <si>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</si>
  <si>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</si>
  <si>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</si>
  <si>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</si>
  <si>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</si>
  <si>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</si>
  <si>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</si>
  <si>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</si>
  <si>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</si>
  <si>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Dividend payout</t>
  </si>
  <si>
    <t>Increase (Repurchase) of Shares</t>
  </si>
  <si>
    <t>Repurchase payout</t>
  </si>
  <si>
    <t>Lease Payments</t>
  </si>
  <si>
    <t>% of Right-of-Use Assets</t>
  </si>
  <si>
    <t>% of FCFE</t>
  </si>
  <si>
    <t>Other Financing Inflows (Outflows)</t>
  </si>
  <si>
    <t>FCFF Valuation</t>
  </si>
  <si>
    <t>Depreciation &amp; Amortization</t>
  </si>
  <si>
    <t>Changes in NWC</t>
  </si>
  <si>
    <t>FCFF 2025</t>
  </si>
  <si>
    <t>FCFF (Adjusted)</t>
  </si>
  <si>
    <t>Present Value of FCFF</t>
  </si>
  <si>
    <t>FCFF 2026</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</si>
  <si>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</si>
  <si>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</si>
  <si>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</si>
  <si>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</si>
  <si>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</si>
  <si>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</si>
  <si>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</si>
  <si>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</si>
  <si>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</si>
  <si>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</si>
  <si>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</si>
  <si>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</si>
  <si>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</si>
  <si>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</si>
  <si>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</si>
  <si>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</si>
  <si>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</si>
  <si>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</si>
  <si>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</si>
  <si>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</si>
  <si>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</si>
  <si>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</si>
  <si>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</si>
  <si>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</si>
  <si>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</si>
  <si>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</si>
  <si>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</si>
  <si>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</si>
  <si>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DRAM Revenue 2025</t>
  </si>
  <si>
    <t>Company expects segment to grow mid-to-high teen%. Nodes to production of DDR5 LDDR5. such as LPCAMM2 &amp; ZUFS, that offer improved processing speed and power efficiency, for on-device AI demand</t>
  </si>
  <si>
    <t>DRAM Market Growth 2025-2032</t>
  </si>
  <si>
    <t>10.57% CAGR. Source: Stellar Market Research</t>
  </si>
  <si>
    <t>Market Share in DRAM - Competitors</t>
  </si>
  <si>
    <t>Samsung is currently market leader. It has been losing market share due to slower technological advancements. The company has shifted its strategy and governance torwards the semi-conductors market. Aligned with its strong funding capacity from other profitable segments, it is not expected to keep losing market share</t>
  </si>
  <si>
    <t>NAND Revenue 2025</t>
  </si>
  <si>
    <t>NAND Market Growth 2025-2034</t>
  </si>
  <si>
    <t>5.60% CAGR. Source: Global Market Insights</t>
  </si>
  <si>
    <t>Capex</t>
  </si>
  <si>
    <t>Yr‘25 CapEx for infrastructure to increase meaningfully due to new fab construction, though total CapEx increment will be limited. M15X currently under construction in Cheong-ju, scheduled to open in Q4’25. 1stfab in Yong-in will begin construction in ‘25, with target opening in Q2’27</t>
  </si>
  <si>
    <t>Sensitivity Analysis</t>
  </si>
  <si>
    <t>Stock Price (in USD)</t>
  </si>
  <si>
    <t>Notes</t>
  </si>
  <si>
    <t>Inputs</t>
  </si>
  <si>
    <t>in billions of KRW</t>
  </si>
  <si>
    <t>b1</t>
  </si>
  <si>
    <t>b0</t>
  </si>
  <si>
    <t>Y = b0 + xb1</t>
  </si>
  <si>
    <t>Costs = 2363 + 0.02*revenue</t>
  </si>
  <si>
    <t>Revenue growth</t>
  </si>
  <si>
    <t>Standard deviation</t>
  </si>
  <si>
    <t>total d&amp;a</t>
  </si>
  <si>
    <t>opex D&amp;A</t>
  </si>
  <si>
    <t>COGS d&amp;a</t>
  </si>
  <si>
    <t>11y avg</t>
  </si>
  <si>
    <t>6y avg</t>
  </si>
  <si>
    <t>3y avg</t>
  </si>
  <si>
    <t>total d&amp;A % cogs</t>
  </si>
  <si>
    <t>COGS d&amp;a % cogs</t>
  </si>
  <si>
    <t>EPS diluted</t>
  </si>
  <si>
    <t>Basic Weighted Average Shares</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</si>
  <si>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</si>
  <si>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</si>
  <si>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</si>
  <si>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</si>
  <si>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</si>
  <si>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</si>
  <si>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</si>
  <si>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</si>
  <si>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</si>
  <si>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</si>
  <si>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</si>
  <si>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</si>
  <si>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</si>
  <si>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</si>
  <si>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</si>
  <si>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</si>
  <si>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</si>
  <si>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</si>
  <si>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</si>
  <si>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Accounts Payable</t>
  </si>
  <si>
    <t>Increase (Decrease) in Other</t>
  </si>
  <si>
    <t>Acquisitions</t>
  </si>
  <si>
    <t>Divestitures</t>
  </si>
  <si>
    <t>Increase in LT Investment</t>
  </si>
  <si>
    <t>Decrease in LT Investment</t>
  </si>
  <si>
    <t>Effect of Foreign Exchange</t>
  </si>
  <si>
    <t>in billionsof USD</t>
  </si>
  <si>
    <t>Capital Structure</t>
  </si>
  <si>
    <t>Market Capitalization</t>
  </si>
  <si>
    <t>Preferred Stock</t>
  </si>
  <si>
    <t>Cash</t>
  </si>
  <si>
    <t>Corporates</t>
  </si>
  <si>
    <t>Loans</t>
  </si>
  <si>
    <t>Additional</t>
  </si>
  <si>
    <t>Net Debt</t>
  </si>
  <si>
    <t>Effective Tax Rate</t>
  </si>
  <si>
    <t>Total D&amp;A</t>
  </si>
  <si>
    <t>COGS D&amp;A</t>
  </si>
  <si>
    <t>% COGS</t>
  </si>
  <si>
    <t>WACC = % of Equity x Cost of Equity + % de Debt x Cost of Debt x (1 - Tax Rate)</t>
  </si>
  <si>
    <t>Cost of Equity = Risk-Free Rate + Beta x Equity Risk Premium</t>
  </si>
  <si>
    <t>Region</t>
  </si>
  <si>
    <t>ERP</t>
  </si>
  <si>
    <t>Beta (Unlevered)</t>
  </si>
  <si>
    <t> </t>
  </si>
  <si>
    <r>
      <rPr>
        <sz val="11"/>
        <color rgb="FF000000"/>
        <rFont val="Arial"/>
        <family val="2"/>
      </rPr>
      <t>Market Cap</t>
    </r>
    <r>
      <rPr>
        <sz val="9"/>
        <color rgb="FF000000"/>
        <rFont val="Arial"/>
        <family val="2"/>
      </rPr>
      <t xml:space="preserve"> </t>
    </r>
    <r>
      <rPr>
        <i/>
        <sz val="9"/>
        <color rgb="FF000000"/>
        <rFont val="Arial"/>
        <family val="2"/>
      </rPr>
      <t>(in billions)</t>
    </r>
  </si>
  <si>
    <t>% of Equity</t>
  </si>
  <si>
    <t>Cost of Equity</t>
  </si>
  <si>
    <t>Risk-Free Rate</t>
  </si>
  <si>
    <t>Unlevered Beta</t>
  </si>
  <si>
    <t>Equity Risk Premium</t>
  </si>
  <si>
    <t>%Customer Facilities</t>
  </si>
  <si>
    <t>Germany</t>
  </si>
  <si>
    <r>
      <rPr>
        <sz val="11"/>
        <color rgb="FF000000"/>
        <rFont val="Arial"/>
        <family val="2"/>
      </rPr>
      <t>Debt</t>
    </r>
    <r>
      <rPr>
        <i/>
        <sz val="9"/>
        <color rgb="FF000000"/>
        <rFont val="Arial"/>
        <family val="2"/>
      </rPr>
      <t xml:space="preserve"> (in millions)</t>
    </r>
  </si>
  <si>
    <t>United Kingdom</t>
  </si>
  <si>
    <t>France</t>
  </si>
  <si>
    <t>Cost of debt</t>
  </si>
  <si>
    <t>Spain</t>
  </si>
  <si>
    <t>Tax Rate</t>
  </si>
  <si>
    <t>Italy</t>
  </si>
  <si>
    <t>1) damodaran - EUA/Germany 0</t>
  </si>
  <si>
    <t>2) credit default spread</t>
  </si>
  <si>
    <t>expected earnings from indexes</t>
  </si>
  <si>
    <t>Taiwan</t>
  </si>
  <si>
    <t>Country Risk Premium</t>
  </si>
  <si>
    <t>India</t>
  </si>
  <si>
    <t>Malaysia</t>
  </si>
  <si>
    <t>Vietnam</t>
  </si>
  <si>
    <t>Asia</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</si>
  <si>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</si>
  <si>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</si>
  <si>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</si>
  <si>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</si>
  <si>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</si>
  <si>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</si>
  <si>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</si>
  <si>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</si>
  <si>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</si>
  <si>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</si>
  <si>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</si>
  <si>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Implied Upside</t>
  </si>
  <si>
    <t>Variables</t>
  </si>
  <si>
    <t>St Dev</t>
  </si>
  <si>
    <t>Capex Intensity</t>
  </si>
  <si>
    <t>Simulations: 10,000</t>
  </si>
  <si>
    <t>Upside</t>
  </si>
  <si>
    <t>min</t>
  </si>
  <si>
    <t>mean</t>
  </si>
  <si>
    <t>median</t>
  </si>
  <si>
    <t>max</t>
  </si>
  <si>
    <t>st dev</t>
  </si>
  <si>
    <t>skewness</t>
  </si>
  <si>
    <t>kurtosis</t>
  </si>
  <si>
    <t>Iterations</t>
  </si>
  <si>
    <t>Date</t>
  </si>
  <si>
    <t>Last Price</t>
  </si>
  <si>
    <t>Volume</t>
  </si>
  <si>
    <t>normalized</t>
  </si>
  <si>
    <t>Return</t>
  </si>
  <si>
    <t>sk hynix</t>
  </si>
  <si>
    <t>PHILA SEMICONDUCTOR INDEX</t>
  </si>
  <si>
    <t>samsung</t>
  </si>
  <si>
    <t>micron</t>
  </si>
  <si>
    <t>ndx 100</t>
  </si>
  <si>
    <t>kospi100</t>
  </si>
  <si>
    <t>kosdaq</t>
  </si>
  <si>
    <t>kospi 200</t>
  </si>
  <si>
    <t>kospi 50</t>
  </si>
  <si>
    <t>spx</t>
  </si>
  <si>
    <t>SPX</t>
  </si>
  <si>
    <t>SOX</t>
  </si>
  <si>
    <t>NDX100</t>
  </si>
  <si>
    <t>KOSPI100</t>
  </si>
  <si>
    <t>NDX</t>
  </si>
  <si>
    <t>KOSPI</t>
  </si>
  <si>
    <t>PE_RATIO</t>
  </si>
  <si>
    <t xml:space="preserve"> EV_TO_T12M_EBITDA</t>
  </si>
  <si>
    <t xml:space="preserve"> EV_TO_T12M_SALES</t>
  </si>
  <si>
    <t>Discount</t>
  </si>
  <si>
    <t>AVG</t>
  </si>
  <si>
    <t>NDX Index</t>
  </si>
  <si>
    <t>KOSPI100 Index</t>
  </si>
  <si>
    <t>EV/EBITDA</t>
  </si>
  <si>
    <t>EV/Sales</t>
  </si>
  <si>
    <t>SK Hynix Inc (000660 KS) - BBG Adjusted</t>
  </si>
  <si>
    <t>In Billions of KRW except Per Share</t>
  </si>
  <si>
    <t>FY 2014</t>
  </si>
  <si>
    <t>FY 2015</t>
  </si>
  <si>
    <t>FY 2016</t>
  </si>
  <si>
    <t>FY 2017</t>
  </si>
  <si>
    <t>FY 2018</t>
  </si>
  <si>
    <t>FY 2019</t>
  </si>
  <si>
    <t>FY 2020</t>
  </si>
  <si>
    <t>FY 2021</t>
  </si>
  <si>
    <t>FY 2022</t>
  </si>
  <si>
    <t>FY 2023</t>
  </si>
  <si>
    <t>FY 2024</t>
  </si>
  <si>
    <t>Last 12M</t>
  </si>
  <si>
    <t>FY 2025 Est</t>
  </si>
  <si>
    <t>FY 2026 Est</t>
  </si>
  <si>
    <t>12 Months Ending</t>
  </si>
  <si>
    <t xml:space="preserve">    + Sales &amp; Services Revenue</t>
  </si>
  <si>
    <t xml:space="preserve">    + Other Revenue</t>
  </si>
  <si>
    <t>—</t>
  </si>
  <si>
    <t xml:space="preserve">  - Cost of Revenue</t>
  </si>
  <si>
    <t xml:space="preserve">    + Cost of Goods &amp; Services</t>
  </si>
  <si>
    <t xml:space="preserve">    + Depreciation &amp; Amortization</t>
  </si>
  <si>
    <t xml:space="preserve">    + Research &amp; Development</t>
  </si>
  <si>
    <t xml:space="preserve">  + Other Operating Income</t>
  </si>
  <si>
    <t xml:space="preserve">  - Operating Expenses</t>
  </si>
  <si>
    <t xml:space="preserve">    + Selling, General &amp; Admin</t>
  </si>
  <si>
    <t xml:space="preserve">    + Selling &amp; Marketing</t>
  </si>
  <si>
    <t xml:space="preserve">    + General &amp; Administrative</t>
  </si>
  <si>
    <t xml:space="preserve">    + Other Operating Expense</t>
  </si>
  <si>
    <t>Operating Income (Loss)</t>
  </si>
  <si>
    <t xml:space="preserve">  - Non-Operating (Income) Loss</t>
  </si>
  <si>
    <t xml:space="preserve">    + Interest Expense, Net</t>
  </si>
  <si>
    <t xml:space="preserve">    + Interest Expense</t>
  </si>
  <si>
    <t xml:space="preserve">    - Interest Income</t>
  </si>
  <si>
    <t xml:space="preserve">    + Other Investment (Inc) Loss</t>
  </si>
  <si>
    <t xml:space="preserve">    + Foreign Exch (Gain) Loss</t>
  </si>
  <si>
    <t xml:space="preserve">    + (Income) Loss from Affiliates</t>
  </si>
  <si>
    <t xml:space="preserve">    + Other Non-Op (Income) Loss</t>
  </si>
  <si>
    <t>Pretax Income (Loss), Adjusted</t>
  </si>
  <si>
    <t xml:space="preserve">  - Abnormal Losses (Gains)</t>
  </si>
  <si>
    <t xml:space="preserve">    + Disposal of Assets</t>
  </si>
  <si>
    <t xml:space="preserve">    + Early Extinguishment of Debt</t>
  </si>
  <si>
    <t xml:space="preserve">    + Asset Write-Down</t>
  </si>
  <si>
    <t xml:space="preserve">    + Impairment of Intangibles</t>
  </si>
  <si>
    <t xml:space="preserve">    + Gain/Loss on Sale/Acquisition of Business</t>
  </si>
  <si>
    <t xml:space="preserve">    + Legal Settlement</t>
  </si>
  <si>
    <t xml:space="preserve">    + Sale of Investments</t>
  </si>
  <si>
    <t xml:space="preserve">    + Unrealized Investments</t>
  </si>
  <si>
    <t xml:space="preserve">    + Insurance Settlement</t>
  </si>
  <si>
    <t xml:space="preserve">    + Other Abnormal Items</t>
  </si>
  <si>
    <t>Pretax Income (Loss), GAAP</t>
  </si>
  <si>
    <t xml:space="preserve">  - Income Tax Expense (Benefit)</t>
  </si>
  <si>
    <t xml:space="preserve">    + Current Income Tax</t>
  </si>
  <si>
    <t xml:space="preserve">    + Deferred Income Tax</t>
  </si>
  <si>
    <t xml:space="preserve">    + Tax Allowance/Credit</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</si>
  <si>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</si>
  <si>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</si>
  <si>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</si>
  <si>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</si>
  <si>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</si>
  <si>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</si>
  <si>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</si>
  <si>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</si>
  <si>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</si>
  <si>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</si>
  <si>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Net Income Avail to Common, Adj</t>
  </si>
  <si>
    <t xml:space="preserve">  Net Abnormal Losses (Gains)</t>
  </si>
  <si>
    <t xml:space="preserve">  Net Extraordinary Losses (Gains)</t>
  </si>
  <si>
    <t>Basic Weighted Avg Shares</t>
  </si>
  <si>
    <t>Basic EPS, GAAP</t>
  </si>
  <si>
    <t>Basic EPS from Cont Ops, GAAP</t>
  </si>
  <si>
    <t>Basic EPS from Cont Ops, Adjusted</t>
  </si>
  <si>
    <t>Diluted Weighted Avg Shares</t>
  </si>
  <si>
    <t>Diluted EPS, GAAP</t>
  </si>
  <si>
    <t>Diluted EPS from Cont Ops, GAAP</t>
  </si>
  <si>
    <t>Diluted EPS from Cont Ops, Adjusted</t>
  </si>
  <si>
    <t>Reference Items</t>
  </si>
  <si>
    <t>Accounting Standard</t>
  </si>
  <si>
    <t>IAS/IFRS</t>
  </si>
  <si>
    <t>EBITDA Margin (T12M)</t>
  </si>
  <si>
    <t>EBITA</t>
  </si>
  <si>
    <t>Gross Margin</t>
  </si>
  <si>
    <t>Dividends per Share</t>
  </si>
  <si>
    <t>Total Cash Common Dividends</t>
  </si>
  <si>
    <t>Capitalized Interest Expense</t>
  </si>
  <si>
    <t>Personnel Expenses</t>
  </si>
  <si>
    <t>Export Sales</t>
  </si>
  <si>
    <t>Rental Expense</t>
  </si>
  <si>
    <t>Source: Bloomberg</t>
  </si>
  <si>
    <t>Right click to show data transparency (not supported for all values)</t>
  </si>
  <si>
    <t>SK Hynix Inc (000660 KS) - Standardized</t>
  </si>
  <si>
    <t xml:space="preserve">  + Cash, Cash Equivalents &amp; STI</t>
  </si>
  <si>
    <t xml:space="preserve">    + Cash &amp; Cash Equivalents</t>
  </si>
  <si>
    <t xml:space="preserve">    + ST Investments</t>
  </si>
  <si>
    <t xml:space="preserve">  + Accounts &amp; Notes Receiv</t>
  </si>
  <si>
    <t xml:space="preserve">    + Accounts Receivable, Net</t>
  </si>
  <si>
    <t xml:space="preserve">    + Notes Receivable, Net</t>
  </si>
  <si>
    <t xml:space="preserve">  + Unbilled Revenues</t>
  </si>
  <si>
    <t xml:space="preserve">  + Inventories</t>
  </si>
  <si>
    <t xml:space="preserve">    + Raw Materials</t>
  </si>
  <si>
    <t xml:space="preserve">    + Work In Process</t>
  </si>
  <si>
    <t xml:space="preserve">    + Finished Goods</t>
  </si>
  <si>
    <t xml:space="preserve">    + Other Inventory</t>
  </si>
  <si>
    <t xml:space="preserve">  + Other ST Assets</t>
  </si>
  <si>
    <t xml:space="preserve">    + Prepaid Expenses</t>
  </si>
  <si>
    <t xml:space="preserve">    + Derivative &amp; Hedging Assets</t>
  </si>
  <si>
    <t xml:space="preserve">    + Taxes Receivable</t>
  </si>
  <si>
    <t xml:space="preserve">    + Misc ST Assets</t>
  </si>
  <si>
    <t>Total Current Assets</t>
  </si>
  <si>
    <t xml:space="preserve">  + Property, Plant &amp; Equip, Net</t>
  </si>
  <si>
    <t xml:space="preserve">    + Property, Plant &amp; Equip</t>
  </si>
  <si>
    <t xml:space="preserve">    - Accumulated Depreciation</t>
  </si>
  <si>
    <t xml:space="preserve">  + LT Investments &amp; Receivables</t>
  </si>
  <si>
    <t xml:space="preserve">    + LT Investments</t>
  </si>
  <si>
    <t xml:space="preserve">    + LT Receivables</t>
  </si>
  <si>
    <t xml:space="preserve">  + Other LT Assets</t>
  </si>
  <si>
    <t xml:space="preserve">    + Total Intangible Assets</t>
  </si>
  <si>
    <t xml:space="preserve">    + Goodwill</t>
  </si>
  <si>
    <t xml:space="preserve">    + Other Intangible Assets</t>
  </si>
  <si>
    <t xml:space="preserve">    + Prepaid Expense</t>
  </si>
  <si>
    <t xml:space="preserve">    + Deferred Tax Assets</t>
  </si>
  <si>
    <t xml:space="preserve">    + Prepaid Pension Costs</t>
  </si>
  <si>
    <t xml:space="preserve">    + Investments in Affiliates</t>
  </si>
  <si>
    <t xml:space="preserve">    + Misc LT Assets</t>
  </si>
  <si>
    <t>Total Noncurrent Assets</t>
  </si>
  <si>
    <t>Liabilities &amp; Shareholders' Equity</t>
  </si>
  <si>
    <t xml:space="preserve">  + Payables &amp; Accruals</t>
  </si>
  <si>
    <t xml:space="preserve">    + Accounts Payable</t>
  </si>
  <si>
    <t xml:space="preserve">    + Accrued Taxes</t>
  </si>
  <si>
    <t xml:space="preserve">    + Other Payables &amp; Accruals</t>
  </si>
  <si>
    <t xml:space="preserve">  + ST Debt</t>
  </si>
  <si>
    <t xml:space="preserve">    + ST Borrowings</t>
  </si>
  <si>
    <t xml:space="preserve">    + ST Lease Liabilities</t>
  </si>
  <si>
    <t xml:space="preserve">    + Current Portion of LT Debt</t>
  </si>
  <si>
    <t xml:space="preserve">  + Other ST Liabilities</t>
  </si>
  <si>
    <t xml:space="preserve">    + Deferred Revenue</t>
  </si>
  <si>
    <t xml:space="preserve">    + Derivatives &amp; Hedging</t>
  </si>
  <si>
    <t xml:space="preserve">    + Misc ST Liabilities</t>
  </si>
  <si>
    <t>Total Current Liabilities</t>
  </si>
  <si>
    <t xml:space="preserve">  + LT Debt</t>
  </si>
  <si>
    <t xml:space="preserve">    + LT Borrowings</t>
  </si>
  <si>
    <t xml:space="preserve">    + LT Lease Liabilities</t>
  </si>
  <si>
    <t xml:space="preserve">  + Other LT Liabilities</t>
  </si>
  <si>
    <t xml:space="preserve">    + Accrued Liabilities</t>
  </si>
  <si>
    <t xml:space="preserve">    + Pension Liabilities</t>
  </si>
  <si>
    <t xml:space="preserve">    + Pensions</t>
  </si>
  <si>
    <t xml:space="preserve">    + Other Post-Ret Benefits</t>
  </si>
  <si>
    <t xml:space="preserve">    + Deferred Tax Liabilities</t>
  </si>
  <si>
    <t xml:space="preserve">    + Misc LT Liabilities</t>
  </si>
  <si>
    <t>Total Noncurrent Liabilities</t>
  </si>
  <si>
    <t xml:space="preserve">  + Preferred Equity and Hybrid Capital</t>
  </si>
  <si>
    <t xml:space="preserve">  + Share Capital &amp; APIC</t>
  </si>
  <si>
    <t xml:space="preserve">    + Common Stock</t>
  </si>
  <si>
    <t xml:space="preserve">    + Additional Paid in Capital</t>
  </si>
  <si>
    <t xml:space="preserve">    + Other Share Capital</t>
  </si>
  <si>
    <t xml:space="preserve">  - Treasury Stock</t>
  </si>
  <si>
    <t xml:space="preserve">  + Retained Earnings</t>
  </si>
  <si>
    <t xml:space="preserve">  + Other Equity</t>
  </si>
  <si>
    <t>Equity Before Minority Interest</t>
  </si>
  <si>
    <t xml:space="preserve">  + Minority/Non Controlling Interest</t>
  </si>
  <si>
    <t>Total Equity</t>
  </si>
  <si>
    <t>Total Liabilities &amp; Equity</t>
  </si>
  <si>
    <t>Shares Outstanding</t>
  </si>
  <si>
    <t>Pension Obligations</t>
  </si>
  <si>
    <t>Future Minimum Operating Lease Obligations</t>
  </si>
  <si>
    <t>Number Of Shareholders</t>
  </si>
  <si>
    <t>Options Granted During Period</t>
  </si>
  <si>
    <t>Options Outstanding at Period End</t>
  </si>
  <si>
    <t>Net Debt to Equity</t>
  </si>
  <si>
    <t>Tangible Common Equity Ratio</t>
  </si>
  <si>
    <t>Cash from Operating Activities</t>
  </si>
  <si>
    <t xml:space="preserve">  + Net Income</t>
  </si>
  <si>
    <t xml:space="preserve">  + Depreciation &amp; Amortization</t>
  </si>
  <si>
    <t xml:space="preserve">  + Non-Cash Items</t>
  </si>
  <si>
    <t xml:space="preserve">    + Stock-Based Compensation</t>
  </si>
  <si>
    <t xml:space="preserve">    + Other Non-Cash Adj</t>
  </si>
  <si>
    <t xml:space="preserve">  + Chg in Non-Cash Work Cap</t>
  </si>
  <si>
    <t xml:space="preserve">    + (Inc) Dec in Accts Receiv</t>
  </si>
  <si>
    <t xml:space="preserve">    + (Inc) Dec in Inventories</t>
  </si>
  <si>
    <t xml:space="preserve">    + Inc (Dec) in Accts Payable</t>
  </si>
  <si>
    <t xml:space="preserve">    + Inc (Dec) in Other</t>
  </si>
  <si>
    <t xml:space="preserve">  + Net Cash From Disc Ops</t>
  </si>
  <si>
    <t>Cash from Investing Activities</t>
  </si>
  <si>
    <t xml:space="preserve">  + Change in Fixed &amp; Intang</t>
  </si>
  <si>
    <t xml:space="preserve">    + Disp in Fixed &amp; Intang</t>
  </si>
  <si>
    <t xml:space="preserve">    + Disp of Fixed Prod Assets</t>
  </si>
  <si>
    <t xml:space="preserve">    + Disp of Intangible Assets</t>
  </si>
  <si>
    <t xml:space="preserve">    + Acq of Fixed &amp; Intang</t>
  </si>
  <si>
    <t xml:space="preserve">    + Acq of Fixed Prod Assets</t>
  </si>
  <si>
    <t xml:space="preserve">    + Acq of Intangible Assets</t>
  </si>
  <si>
    <t xml:space="preserve">  + Net Change in LT Investment</t>
  </si>
  <si>
    <t xml:space="preserve">    + Dec in LT Investment</t>
  </si>
  <si>
    <t xml:space="preserve">    + Inc in LT Investment</t>
  </si>
  <si>
    <t xml:space="preserve">  + Net Cash From Acq &amp; Div</t>
  </si>
  <si>
    <t xml:space="preserve">    + Cash from Divestitures</t>
  </si>
  <si>
    <t xml:space="preserve">    + Cash for Acq of Subs</t>
  </si>
  <si>
    <t xml:space="preserve">    + Cash for JVs</t>
  </si>
  <si>
    <t xml:space="preserve">  + Other Investing Activities</t>
  </si>
  <si>
    <t>Cash from Financing Activities</t>
  </si>
  <si>
    <t xml:space="preserve">  + Dividends Paid</t>
  </si>
  <si>
    <t xml:space="preserve">  + Cash From (Repayment) Debt</t>
  </si>
  <si>
    <t xml:space="preserve">    + Cash From (Repay) ST Debt</t>
  </si>
  <si>
    <t xml:space="preserve">    + Cash From LT Debt</t>
  </si>
  <si>
    <t xml:space="preserve">    + Repayments of LT Debt</t>
  </si>
  <si>
    <t xml:space="preserve">  + Cash (Repurchase) of Equity</t>
  </si>
  <si>
    <t xml:space="preserve">    + Increase in Capital Stock</t>
  </si>
  <si>
    <t xml:space="preserve">    + Decrease in Capital Stock</t>
  </si>
  <si>
    <t xml:space="preserve">  + Other Financing Activities</t>
  </si>
  <si>
    <t xml:space="preserve">  Effect of Foreign Exchange Rates</t>
  </si>
  <si>
    <t>Cash Paid for Taxes</t>
  </si>
  <si>
    <t>Cash Paid for Interest</t>
  </si>
  <si>
    <t>Trailing 12M EBITDA Margin</t>
  </si>
  <si>
    <t>Interest Received</t>
  </si>
  <si>
    <t>Net Cash Paid for Acquisitions</t>
  </si>
  <si>
    <t>Free Cash Flow</t>
  </si>
  <si>
    <t>Free Cash Flow to Firm</t>
  </si>
  <si>
    <t>Free Cash Flow to Equity</t>
  </si>
  <si>
    <t>Free Cash Flow per Basic Share</t>
  </si>
  <si>
    <t>Price to Free Cash Flow</t>
  </si>
  <si>
    <t>USD</t>
  </si>
  <si>
    <t>KRW</t>
  </si>
  <si>
    <t>000660 KS Equity- Company Financial (Multiple Periods)</t>
  </si>
  <si>
    <t>000660 KS Equity    Periodicity:A    Currency:KRW    Estimate Source:BST    Actual Source:Bloomberg</t>
  </si>
  <si>
    <t>In Billions of KRW</t>
  </si>
  <si>
    <t>2013 A (Rep)</t>
  </si>
  <si>
    <t>2014 A (Rep)</t>
  </si>
  <si>
    <t>2015 A (Rep)</t>
  </si>
  <si>
    <t>2016 A (Rep)</t>
  </si>
  <si>
    <t>2017 A (Rep)</t>
  </si>
  <si>
    <t>2018 A (Rep)</t>
  </si>
  <si>
    <t>2019 A (Rep)</t>
  </si>
  <si>
    <t>2020 A (Rep)</t>
  </si>
  <si>
    <t>2021 A (Rep)</t>
  </si>
  <si>
    <t>2022 A (Rep)</t>
  </si>
  <si>
    <t>2023 A (Rep)</t>
  </si>
  <si>
    <t>2024 A (Rep)</t>
  </si>
  <si>
    <t>2025 A (Fwd)</t>
  </si>
  <si>
    <t>2026 A (Fwd)</t>
  </si>
  <si>
    <t xml:space="preserve">  Revenue</t>
  </si>
  <si>
    <t xml:space="preserve">    DRAM</t>
  </si>
  <si>
    <t xml:space="preserve">      % of Total</t>
  </si>
  <si>
    <t xml:space="preserve">    NAND Flash</t>
  </si>
  <si>
    <t xml:space="preserve">    Other</t>
  </si>
  <si>
    <t xml:space="preserve">    South Korea</t>
  </si>
  <si>
    <t xml:space="preserve">    China</t>
  </si>
  <si>
    <t xml:space="preserve">    Asia ( Excluding China )</t>
  </si>
  <si>
    <t xml:space="preserve">    United States</t>
  </si>
  <si>
    <t xml:space="preserve">    Europe</t>
  </si>
  <si>
    <t xml:space="preserve">    Inactive Segments</t>
  </si>
  <si>
    <t xml:space="preserve">      Southeast Asia</t>
  </si>
  <si>
    <t xml:space="preserve">      Asia</t>
  </si>
  <si>
    <t xml:space="preserve">      Asia ( Excluding China , Taiwan )</t>
  </si>
  <si>
    <t xml:space="preserve">      America</t>
  </si>
  <si>
    <t xml:space="preserve">      Taiwan</t>
  </si>
  <si>
    <t xml:space="preserve">  Total Non-Current Assets</t>
  </si>
  <si>
    <t xml:space="preserve">    Reconciliation/Adjustment</t>
  </si>
  <si>
    <t>000660 KS Equity    Periodicity:Q    Currency:KRW    Estimate Source:BST    Actual Source:Bloomberg</t>
  </si>
  <si>
    <t>In Millions of KRW</t>
  </si>
  <si>
    <t>2020 Q3 (Rep)</t>
  </si>
  <si>
    <t>2020 Q4 (Rep)</t>
  </si>
  <si>
    <t>2021 Q1 (Rep)</t>
  </si>
  <si>
    <t>2021 Q2 (Rep)</t>
  </si>
  <si>
    <t>2021 Q3 (Rep)</t>
  </si>
  <si>
    <t>2021 Q4 (Rep)</t>
  </si>
  <si>
    <t>2022 Q1 (Rep)</t>
  </si>
  <si>
    <t>2022 Q2 (Rep)</t>
  </si>
  <si>
    <t>2022 Q3 (Rep)</t>
  </si>
  <si>
    <t>2022 Q4 (Rep)</t>
  </si>
  <si>
    <t>2023 Q1 (Rep)</t>
  </si>
  <si>
    <t>2023 Q2 (Rep)</t>
  </si>
  <si>
    <t>2023 Q3 (Rep)</t>
  </si>
  <si>
    <t>2023 Q4 (Rep)</t>
  </si>
  <si>
    <t>2024 Q1 (Rep)</t>
  </si>
  <si>
    <t>2024 Q2 (Rep)</t>
  </si>
  <si>
    <t>2024 Q3 (Rep)</t>
  </si>
  <si>
    <t>2024 Q4 (Rep)</t>
  </si>
  <si>
    <t>2025 Q1 (Fwd)</t>
  </si>
  <si>
    <t>2025 Q2 (Fwd)</t>
  </si>
  <si>
    <t>3 Months Ending</t>
  </si>
  <si>
    <t>Field Expression</t>
  </si>
  <si>
    <t>Calcrt Field</t>
  </si>
  <si>
    <t>Segment Id</t>
  </si>
  <si>
    <t>SALES_REV_TURN</t>
  </si>
  <si>
    <t>IS010</t>
  </si>
  <si>
    <t>SEG0000401089 Segment</t>
  </si>
  <si>
    <t>SEG0000401091 Segment</t>
  </si>
  <si>
    <t>SEG0000401092 Segment</t>
  </si>
  <si>
    <t xml:space="preserve">  Capacity Shipped Period Over Period Growth Percent</t>
  </si>
  <si>
    <t>CAPACITY_SHIPPED_POP_GROWTH_PCT</t>
  </si>
  <si>
    <t>M7293</t>
  </si>
  <si>
    <t>Name</t>
  </si>
  <si>
    <t>Position</t>
  </si>
  <si>
    <t>Gender (Age)</t>
  </si>
  <si>
    <t>Roles</t>
  </si>
  <si>
    <t>Tenure (months)</t>
  </si>
  <si>
    <t>Tenure Until</t>
  </si>
  <si>
    <t>Expertise</t>
  </si>
  <si>
    <t>Primary Career Highlights</t>
  </si>
  <si>
    <t>Kwak Noh Jung</t>
  </si>
  <si>
    <t>Executive director</t>
  </si>
  <si>
    <t>Male (58)</t>
  </si>
  <si>
    <t>1. CEO and President; 2. Strategy Committee (member)</t>
  </si>
  <si>
    <t>General corporate management</t>
  </si>
  <si>
    <t>1994 Joined Hyundai Electronics Co. (former name of SK hynix)
2014 - 2017 VP of R&amp;D, SK hynix
2017 - 2019 SVP &amp; Head of Cheongju Fab, SK hynix
2019 - 2021 EVP &amp; Head of Manufacturing Technology, SK hynix
2021.3 - present Member of The National Academy of Engineering of Korea
2021.12 President &amp; Chief Safety, Product &amp; Production Officer, SK hynix
2022.3 - present 13th Chairman, Korea Semiconductor Industry Association
2022.3 - present CEO, SK hynix</t>
  </si>
  <si>
    <t>Ahn Hyun</t>
  </si>
  <si>
    <t>Male (56)</t>
  </si>
  <si>
    <t>1. Sustainability Committee (member); 2. Strategy Committee (member)</t>
  </si>
  <si>
    <t>2014 Head, Business Strategy Office
2015 - 2016 Head, NAND Development Planning Group
2018 Head, NAND Development Business Strategy
2019 Future Research and Diagnostics Team
2020 - present SK hynix Solution Development Team</t>
  </si>
  <si>
    <t>Ha Yung Ku</t>
  </si>
  <si>
    <t>Independent director</t>
  </si>
  <si>
    <t>Male (70)</t>
  </si>
  <si>
    <t>1. Board Chair; 2. Audit Committee (member); 3. Independent Director Nomination Committee (chairman); 4. Compensation Committee (chairman); 5. Strategy Committee (member)</t>
  </si>
  <si>
    <t>Finance</t>
  </si>
  <si>
    <t>2004 - 2014 Chairman &amp; CEO, Citigroup Korea
2014 - 2017 Chairman, Korea Federation of Banks
2016 - 2017 Member, Financial Market Reform Committee
2021 - Present Chairman of the board of directors, SK hynix</t>
  </si>
  <si>
    <t>Han Ae Ra</t>
  </si>
  <si>
    <t>Female (52)</t>
  </si>
  <si>
    <t>1. Audit Committee (chairman); 2. Independent Director Nomination Committee (member); 3. Strategy Committee (member); 4. Compensation Committee (member)</t>
  </si>
  <si>
    <t>Law (Lawyer)</t>
  </si>
  <si>
    <t>2011 - 2013 Professor, Judicial Research and Training Institute
2013 - 2014 Presiding Judge, Changwon District Court
2014 - 2016 Research judge, Supreme Court of Korea
2016 - 2018 Lawyer, Kim &amp; Chang
2018 - present Professor, School of Law, Sungkyunkwan University</t>
  </si>
  <si>
    <t>Jeong Deog Kyoon</t>
  </si>
  <si>
    <t>Male (65)</t>
  </si>
  <si>
    <t>1. Independent Director Nomination Committee (member); 2. Compensation Committee (member); 3. Strategy Committee (chairman)</t>
  </si>
  <si>
    <t>Semiconductor engineering</t>
  </si>
  <si>
    <t>1989 - 1991 Texas Instruments
1991 - 2020 Professor, Department of Electrical and Computer Engineering, Seoul National University
2006 - 2008 Chair, Inter-University Semiconductor Research Center, Seoul National University
2018 - present Endowed Chair Professor, Department of Electrical and Computer Engineering, Seoul National University</t>
  </si>
  <si>
    <t>Kim Zeong Won</t>
  </si>
  <si>
    <t>Female (55)</t>
  </si>
  <si>
    <t>1. Audit Committee (member); 2. Sustainability Committee (chairman); 3. Compensation Committee (member)</t>
  </si>
  <si>
    <t>Finance, Corporate management</t>
  </si>
  <si>
    <t>2010 - 2018 Deputy Head, Financial Planning Group, Citibank Korea
2018 - 2022 Treasury GPO/Managing Director, Citibank
2023 - present Senior Advisor, Kim &amp; Chang</t>
  </si>
  <si>
    <t>Yang Dong Hoon</t>
  </si>
  <si>
    <t>1. Audit Committee (member)</t>
  </si>
  <si>
    <t>Accounting, Finance</t>
  </si>
  <si>
    <t>2017 - 2018 36th President, Korean Accounting Association
2018 - 2019 Chair, Accounting Committee, Korea Communications Commission
2021 - 2022 Distinguished Professor, Korean Accounting Association/Samil PWC
2007 - Present Professor/Emeritus Professor of Accounting, Dongguk University</t>
  </si>
  <si>
    <t>Sohn Hyun Chul</t>
  </si>
  <si>
    <t>Male (63)</t>
  </si>
  <si>
    <t>1997 - 2006 Semiconductor researcher, SK hynix
2006 - Present Professor, Materials Science and Engineering, Yonsei University</t>
  </si>
  <si>
    <t>Park Sung Ha</t>
  </si>
  <si>
    <t>Other nonexecutive director</t>
  </si>
  <si>
    <t>1. Other non-executive director</t>
  </si>
  <si>
    <t>2013 - 2014 Executive, Portfolio Management Team, SK Inc
2014 - 2016 Department Lead, Portfolio Management Team, SK Inc
2017 - 2019 Head of Strategic Support &amp; Vice President, SK SUPEX Council
2020 - 2022 CEO &amp; President, SK C&amp;C
2023 - 2024 CEO &amp; President, SK Square</t>
  </si>
  <si>
    <t>Jang Yong Ho</t>
  </si>
  <si>
    <t>Male (60)</t>
  </si>
  <si>
    <t>1. Other non-executive director; 2. Compensation Committee (member)</t>
  </si>
  <si>
    <t>2014 Head, Portfolio 2 Office, SK Inc.
2015 - 2017 Head, PM2 Part, SK Inc.
2018 - 2019 President and CEO, SK Materials
2020 - 2023 President and CEO, SK Siltron
2024 - present President and CEO, SK Inc.</t>
  </si>
  <si>
    <t>MU US Equity- Company Financial (Multiple Periods)</t>
  </si>
  <si>
    <t>MU US Equity    Periodicity:Q    Currency:KRW    Estimate Source:BST    Actual Source:Bloomberg</t>
  </si>
  <si>
    <t>2025 Q1 (Rep)</t>
  </si>
  <si>
    <t>2025 Q2 (Rep)</t>
  </si>
  <si>
    <t>2025 Q3 (Fwd)</t>
  </si>
  <si>
    <t>2025 Q4 (Fwd)</t>
  </si>
  <si>
    <t xml:space="preserve">    DRAM ( Dynamic Random Access Memory )</t>
  </si>
  <si>
    <t xml:space="preserve">    NAND</t>
  </si>
  <si>
    <t xml:space="preserve">    Other ( Primarily 3D XPoint Memory &amp; NOR )</t>
  </si>
  <si>
    <t xml:space="preserve">      Other (product 1)</t>
  </si>
  <si>
    <t xml:space="preserve">      Other (NOR Flash Products)</t>
  </si>
  <si>
    <t xml:space="preserve">      Non-Volatile Memory</t>
  </si>
  <si>
    <t xml:space="preserve">      Trade NAND</t>
  </si>
  <si>
    <t xml:space="preserve">      DDR2 and DDR3</t>
  </si>
  <si>
    <t xml:space="preserve">      Specialty DRAM Products</t>
  </si>
  <si>
    <t xml:space="preserve">      NOR Flash</t>
  </si>
  <si>
    <t xml:space="preserve">      Non-Trade</t>
  </si>
  <si>
    <t xml:space="preserve">  Operating Income or Losses</t>
  </si>
  <si>
    <t xml:space="preserve">    CNBU</t>
  </si>
  <si>
    <t xml:space="preserve">    MBU</t>
  </si>
  <si>
    <t xml:space="preserve">    SBU</t>
  </si>
  <si>
    <t xml:space="preserve">    EBU</t>
  </si>
  <si>
    <t xml:space="preserve">    All Other</t>
  </si>
  <si>
    <t xml:space="preserve">    Unallocated</t>
  </si>
  <si>
    <t xml:space="preserve">    Adjustment</t>
  </si>
  <si>
    <t xml:space="preserve">      Embedded Solutions Group (ESG)</t>
  </si>
  <si>
    <t xml:space="preserve">      Wireless Solutions Group (WSG)</t>
  </si>
  <si>
    <t xml:space="preserve">      DRAM Solutions Group (DSG)</t>
  </si>
  <si>
    <t xml:space="preserve">      Memory</t>
  </si>
  <si>
    <t xml:space="preserve">      NAND Solutions Group (NSG)</t>
  </si>
  <si>
    <t xml:space="preserve">      Imaging</t>
  </si>
  <si>
    <t xml:space="preserve">      Numonyx</t>
  </si>
  <si>
    <t xml:space="preserve">  Operating Margin</t>
  </si>
  <si>
    <t xml:space="preserve">  Gross Profit - Company Basis</t>
  </si>
  <si>
    <t xml:space="preserve">      DRAM ( Dynamic Random Access Memory )</t>
  </si>
  <si>
    <t xml:space="preserve">  Gross Margin</t>
  </si>
  <si>
    <t xml:space="preserve">  Depreciation &amp; Amortization</t>
  </si>
  <si>
    <t xml:space="preserve">  Percentage of Revenue</t>
  </si>
  <si>
    <t xml:space="preserve">  Adjusted Gross Margin Percentage - As Reported</t>
  </si>
  <si>
    <t>285A JP Equity- Company Financial (Multiple Periods)</t>
  </si>
  <si>
    <t>285A JP Equity    Periodicity:Q    Currency:KRW    Estimate Source:BST    Actual Source:Bloomberg</t>
  </si>
  <si>
    <t>2025 Q3 (Rep)</t>
  </si>
  <si>
    <t>2026 Q1 (Fwd)</t>
  </si>
  <si>
    <t xml:space="preserve">    SSD &amp; Storage</t>
  </si>
  <si>
    <t xml:space="preserve">    Smart Devices</t>
  </si>
  <si>
    <t xml:space="preserve">    Others</t>
  </si>
  <si>
    <t>005930 KS Equity- Company Financial (Multiple Periods)</t>
  </si>
  <si>
    <t>005930 KS Equity    Periodicity:Q    Currency:KRW    Estimate Source:BST    Actual Source:Bloomberg</t>
  </si>
  <si>
    <t xml:space="preserve">    DX</t>
  </si>
  <si>
    <t xml:space="preserve">      MX / Network</t>
  </si>
  <si>
    <t xml:space="preserve">        % of Total</t>
  </si>
  <si>
    <t xml:space="preserve">        MX</t>
  </si>
  <si>
    <t xml:space="preserve">          % of Total</t>
  </si>
  <si>
    <t xml:space="preserve">      VD</t>
  </si>
  <si>
    <t xml:space="preserve">        VD</t>
  </si>
  <si>
    <t xml:space="preserve">    DS</t>
  </si>
  <si>
    <t xml:space="preserve">      Non Memory</t>
  </si>
  <si>
    <t xml:space="preserve">    SDC</t>
  </si>
  <si>
    <t xml:space="preserve">    Harman</t>
  </si>
  <si>
    <t xml:space="preserve">      Other Storage</t>
  </si>
  <si>
    <t xml:space="preserve">      Financial Services</t>
  </si>
  <si>
    <t xml:space="preserve">      Appliances</t>
  </si>
  <si>
    <t xml:space="preserve">      Electrical Appliance</t>
  </si>
  <si>
    <t xml:space="preserve">      Semiconductors</t>
  </si>
  <si>
    <t xml:space="preserve">  Revenue Including Intersegment Revenue</t>
  </si>
  <si>
    <t xml:space="preserve">  Number of Units Produced</t>
  </si>
  <si>
    <t xml:space="preserve">      Hand Held Product</t>
  </si>
  <si>
    <t xml:space="preserve">      Color Television</t>
  </si>
  <si>
    <t xml:space="preserve">      Mobile Experience (MX) / Network</t>
  </si>
  <si>
    <t xml:space="preserve">      Mobile</t>
  </si>
  <si>
    <t xml:space="preserve">  Unit Sales</t>
  </si>
  <si>
    <t xml:space="preserve">    Mobile</t>
  </si>
  <si>
    <t xml:space="preserve">      Handset</t>
  </si>
  <si>
    <t xml:space="preserve">      Tablet</t>
  </si>
  <si>
    <t xml:space="preserve">  Capacity Utilization</t>
  </si>
  <si>
    <t xml:space="preserve">    Color TV</t>
  </si>
  <si>
    <t xml:space="preserve">    Hand Held Product</t>
  </si>
  <si>
    <t xml:space="preserve">    Semiconductors</t>
  </si>
  <si>
    <t xml:space="preserve">    Display Panel</t>
  </si>
  <si>
    <t xml:space="preserve">  Market Share Pct</t>
  </si>
  <si>
    <t xml:space="preserve">  Operating Profit Including Intersegment</t>
  </si>
  <si>
    <t xml:space="preserve">  Purchase Of Materials Fin Goods Other Inventory</t>
  </si>
  <si>
    <t xml:space="preserve">      Mobile AP Solution</t>
  </si>
  <si>
    <t xml:space="preserve">      Display Panel</t>
  </si>
  <si>
    <t xml:space="preserve">      Camera Module</t>
  </si>
  <si>
    <t xml:space="preserve">      Other</t>
  </si>
  <si>
    <t xml:space="preserve">      Chemical</t>
  </si>
  <si>
    <t xml:space="preserve">      Wafer</t>
  </si>
  <si>
    <t xml:space="preserve">      FPCA</t>
  </si>
  <si>
    <t xml:space="preserve">      Cover Glass</t>
  </si>
  <si>
    <t xml:space="preserve">      SOC</t>
  </si>
  <si>
    <t xml:space="preserve">      Communication Module</t>
  </si>
  <si>
    <t xml:space="preserve">  Depreciation Expenses</t>
  </si>
  <si>
    <t xml:space="preserve">  Amortization of Total Intangibles Pre-Tax</t>
  </si>
  <si>
    <t xml:space="preserve">  Capital Expenditures As Reported</t>
  </si>
  <si>
    <t xml:space="preserve">  Inventories</t>
  </si>
  <si>
    <t xml:space="preserve">  Total Assets</t>
  </si>
  <si>
    <t>WDC US Equity- Company Financial (Multiple Periods)</t>
  </si>
  <si>
    <t>WDC US Equity    Periodicity:Q    Currency:KRW    Estimate Source:BST    Actual Source:Bloomberg</t>
  </si>
  <si>
    <t xml:space="preserve">    HDD</t>
  </si>
  <si>
    <t xml:space="preserve">    Flash</t>
  </si>
  <si>
    <t xml:space="preserve">  Number of Units Sold</t>
  </si>
  <si>
    <t xml:space="preserve">      Consumer Electronic</t>
  </si>
  <si>
    <t xml:space="preserve">      Client Compute</t>
  </si>
  <si>
    <t xml:space="preserve">      Data Center</t>
  </si>
  <si>
    <t xml:space="preserve">      Branded</t>
  </si>
  <si>
    <t xml:space="preserve">      Notebook</t>
  </si>
  <si>
    <t xml:space="preserve">      Desktop</t>
  </si>
  <si>
    <t xml:space="preserve">      Non-Compute</t>
  </si>
  <si>
    <t xml:space="preserve">  Average Sales Price</t>
  </si>
  <si>
    <t xml:space="preserve">  Total Number of Shipments</t>
  </si>
  <si>
    <t>Western Digital Corp (WDC US) - Standardized</t>
  </si>
  <si>
    <t>In Millions of KRW except Per Share</t>
  </si>
  <si>
    <t xml:space="preserve">    + Merger/Acquisition Expense</t>
  </si>
  <si>
    <t xml:space="preserve">    + Restructuring</t>
  </si>
  <si>
    <t>US GAAP</t>
  </si>
  <si>
    <t>Sales per Employee</t>
  </si>
  <si>
    <t>##########</t>
  </si>
  <si>
    <t>FY 2011</t>
  </si>
  <si>
    <t>FY 2012</t>
  </si>
  <si>
    <t>FY 2013</t>
  </si>
  <si>
    <t xml:space="preserve">    + Interest &amp; Dividends Payable</t>
  </si>
  <si>
    <t xml:space="preserve">      + ST Finance Leases</t>
  </si>
  <si>
    <t xml:space="preserve">      + ST Operating Leases</t>
  </si>
  <si>
    <t xml:space="preserve">      + LT Finance Leases</t>
  </si>
  <si>
    <t xml:space="preserve">      + LT Operating Leases</t>
  </si>
  <si>
    <t>Number of Treasury Shares</t>
  </si>
  <si>
    <t>Capital Leases - Total</t>
  </si>
  <si>
    <t>Cash Held Overseas</t>
  </si>
  <si>
    <t>Number of Employees</t>
  </si>
  <si>
    <t xml:space="preserve">    + Deferred Income Taxes</t>
  </si>
  <si>
    <t>Tax Benefit from Stock Options</t>
  </si>
  <si>
    <t>Samsung Electronics Co Ltd (005930 KS) - Standardized</t>
  </si>
  <si>
    <t>Micron Technology Inc (MU US) - Standardized</t>
  </si>
  <si>
    <t xml:space="preserve">    + Abnormal Derivatives</t>
  </si>
  <si>
    <t xml:space="preserve">    + Impairment of Goodwill</t>
  </si>
  <si>
    <t xml:space="preserve">  - (Income) Loss from Affiliates</t>
  </si>
  <si>
    <t xml:space="preserve">    + Assets Held-for-Sale</t>
  </si>
  <si>
    <t xml:space="preserve">    + LT Marketable Securities</t>
  </si>
  <si>
    <t>Kioxia Holdings Corp (285A JP) - BBG Adjusted</t>
  </si>
  <si>
    <t>Current Profit</t>
  </si>
  <si>
    <t>Kioxia Holdings Corp (285A JP) - Standardized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</si>
</sst>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_(* #,##0.00_);_(* \(#,##0.00\);_(* &quot;-&quot;??_);_(@_)"/>
    <numFmt numFmtId="165" formatCode="_-* #,##0.00\ &quot;€&quot;_-;\-* #,##0.00\ &quot;€&quot;_-;_-* &quot;-&quot;??\ &quot;€&quot;_-;_-@_-"/>
    <numFmt numFmtId="166" formatCode="0&quot;A&quot;"/>
    <numFmt numFmtId="167" formatCode="0&quot;E&quot;"/>
    <numFmt numFmtId="168" formatCode="_-* #,##0.00\ _€_-;\-* #,##0.00\ _€_-;_-* &quot;-&quot;??\ _€_-;_-@_-"/>
    <numFmt numFmtId="169" formatCode="0.00\x"/>
    <numFmt numFmtId="170" formatCode="0.00&quot;M&quot;"/>
    <numFmt numFmtId="171" formatCode="0.0%"/>
    <numFmt numFmtId="172" formatCode="&quot;$&quot;#,##0"/>
    <numFmt numFmtId="173" formatCode="_(* #,##0_);_(* \(#,##0\);_(* &quot;-&quot;??_);_(@_)"/>
    <numFmt numFmtId="174" formatCode="0.0"/>
    <numFmt numFmtId="175" formatCode="&quot;$&quot;#,##0.00"/>
    <numFmt numFmtId="176" formatCode="_([$$-409]* #,##0.00_);_([$$-409]* \(#,##0.00\);_([$$-409]* &quot;-&quot;??_);_(@_)"/>
    <numFmt numFmtId="177" formatCode="#,##0.0"/>
    <numFmt numFmtId="178" formatCode="[$-409]d\-mmm;@"/>
    <numFmt numFmtId="179" formatCode="0.000%"/>
    <numFmt numFmtId="180" formatCode="0&quot;+&quot;"/>
    <numFmt numFmtId="181" formatCode="#,##0.0;\-#,##0.0"/>
    <numFmt numFmtId="182" formatCode="[$-F800]dddd\,\ mmmm\ dd\,\ yyyy"/>
    <numFmt numFmtId="183" formatCode="0.00000"/>
    <numFmt numFmtId="184" formatCode="_-[$₩-412]* #,##0_-;\-[$₩-412]* #,##0_-;_-[$₩-412]* &quot;-&quot;??_-;_-@_-"/>
    <numFmt numFmtId="185" formatCode="_-[$₩-412]* #,##0.00_-;\-[$₩-412]* #,##0.00_-;_-[$₩-412]* &quot;-&quot;??_-;_-@_-"/>
    <numFmt numFmtId="186" formatCode="_-[$¥-411]* #,##0.0000_-;\-[$¥-411]* #,##0.0000_-;_-[$¥-411]* &quot;-&quot;??_-;_-@_-"/>
    <numFmt numFmtId="187" formatCode="_-[$₩-412]* #,##0_-;\-[$₩-412]* #,##0_-;_-[$₩-412]* &quot;-&quot;_-;_-@_-"/>
  </numFmts>
  <fonts count="95" x14ac:knownFonts="1">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name val="Arial"/>
      <family val="2"/>
    </font>
    <font>
      <b/>
      <sz val="9"/>
      <color theme="0"/>
      <name val="Arial"/>
      <family val="2"/>
    </font>
    <font>
      <sz val="9"/>
      <color theme="0"/>
      <name val="Arial"/>
      <family val="2"/>
    </font>
    <font>
      <sz val="9"/>
      <name val="Arial"/>
      <family val="2"/>
    </font>
    <font>
      <sz val="10"/>
      <color rgb="FFFF0000"/>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b/>
      <sz val="11"/>
      <color rgb="FFFFFFFF"/>
      <name val="Calibri"/>
      <family val="2"/>
    </font>
    <font>
      <b/>
      <sz val="16"/>
      <color rgb="FFFFFFFF"/>
      <name val="Arial"/>
      <family val="2"/>
    </font>
    <font>
      <sz val="10"/>
      <name val="Calibri"/>
      <family val="2"/>
    </font>
    <font>
      <b/>
      <sz val="10"/>
      <color rgb="FFFFFFFF"/>
      <name val="Arial"/>
      <family val="2"/>
    </font>
    <font>
      <b/>
      <sz val="10"/>
      <color rgb="FF000000"/>
      <name val="Arial"/>
      <family val="2"/>
    </font>
    <font>
      <sz val="10"/>
      <color rgb="FF333333"/>
      <name val="Arial"/>
      <family val="2"/>
    </font>
    <font>
      <sz val="10"/>
      <color rgb="FF000000"/>
      <name val="Arial"/>
      <family val="2"/>
    </font>
    <font>
      <i/>
      <sz val="10"/>
      <color rgb="FF333333"/>
      <name val="Arial"/>
      <family val="2"/>
    </font>
    <font>
      <i/>
      <sz val="10"/>
      <color rgb="FF000000"/>
      <name val="Arial"/>
      <family val="2"/>
    </font>
    <font>
      <sz val="11"/>
      <color rgb="FF000000"/>
      <name val="Calibri"/>
      <family val="2"/>
    </font>
    <font>
      <sz val="11"/>
      <color theme="4" tint="0.59999389629810485"/>
      <name val="Arial"/>
      <family val="2"/>
    </font>
    <font>
      <sz val="7"/>
      <color rgb="FF02161D"/>
      <name val="Arial"/>
      <family val="2"/>
    </font>
    <font>
      <sz val="12"/>
      <color theme="0" tint="-0.499984740745262"/>
      <name val="Arial"/>
      <family val="2"/>
    </font>
    <font>
      <i/>
      <sz val="11"/>
      <color theme="0" tint="-0.499984740745262"/>
      <name val="Arial"/>
      <family val="2"/>
    </font>
    <font>
      <sz val="11"/>
      <color theme="0" tint="-0.499984740745262"/>
      <name val="Arial"/>
      <family val="2"/>
    </font>
    <font>
      <i/>
      <sz val="11"/>
      <name val="Arial"/>
      <family val="2"/>
    </font>
    <font>
      <sz val="8"/>
      <name val="Arial"/>
      <family val="2"/>
    </font>
    <font>
      <i/>
      <sz val="10"/>
      <color theme="1"/>
      <name val="Arial"/>
      <family val="2"/>
    </font>
    <font>
      <i/>
      <sz val="10"/>
      <name val="Arial"/>
      <family val="2"/>
    </font>
    <font>
      <sz val="10"/>
      <color theme="0"/>
      <name val="Arial"/>
      <family val="2"/>
    </font>
    <font>
      <sz val="11"/>
      <name val="Consolas"/>
      <family val="3"/>
    </font>
    <font>
      <b/>
      <sz val="13"/>
      <color theme="1"/>
      <name val="Arial"/>
      <family val="2"/>
    </font>
    <font>
      <sz val="13"/>
      <color theme="1"/>
      <name val="Arial"/>
      <family val="2"/>
    </font>
  </fonts>
  <fills count="20">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4F81BD"/>
        <bgColor rgb="FF000000"/>
      </patternFill>
    </fill>
    <fill>
      <patternFill patternType="solid">
        <fgColor rgb="FFFFFFFF"/>
        <bgColor rgb="FF000000"/>
      </patternFill>
    </fill>
    <fill>
      <patternFill patternType="solid">
        <fgColor rgb="FFD8D8D8"/>
        <bgColor rgb="FF000000"/>
      </patternFill>
    </fill>
    <fill>
      <patternFill patternType="solid">
        <fgColor rgb="FFF2F2F2"/>
        <bgColor rgb="FF000000"/>
      </patternFill>
    </fill>
    <fill>
      <patternFill patternType="solid">
        <fgColor rgb="FF92D050"/>
        <bgColor indexed="64"/>
      </patternFill>
    </fill>
    <fill>
      <patternFill patternType="solid">
        <fgColor theme="2" tint="-0.249977111117893"/>
        <bgColor indexed="64"/>
      </patternFill>
    </fill>
    <fill>
      <patternFill patternType="solid">
        <fgColor rgb="FFFF0000"/>
        <bgColor indexed="64"/>
      </patternFill>
    </fill>
    <fill>
      <patternFill patternType="solid">
        <fgColor theme="4" tint="-0.249977111117893"/>
        <bgColor indexed="64"/>
      </patternFill>
    </fill>
    <fill>
      <patternFill patternType="solid">
        <fgColor rgb="FFC00000"/>
        <bgColor indexed="64"/>
      </patternFill>
    </fill>
  </fills>
  <borders count="85">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medium">
        <color theme="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right style="dotted">
        <color theme="0"/>
      </right>
      <top/>
      <bottom style="medium">
        <color theme="0"/>
      </bottom>
      <diagonal/>
    </border>
    <border>
      <left style="dotted">
        <color theme="0"/>
      </left>
      <right/>
      <top/>
      <bottom/>
      <diagonal/>
    </border>
    <border>
      <left style="dotted">
        <color theme="0"/>
      </left>
      <right/>
      <top/>
      <bottom style="thin">
        <color theme="0"/>
      </bottom>
      <diagonal/>
    </border>
    <border>
      <left style="dotted">
        <color theme="0"/>
      </left>
      <right/>
      <top/>
      <bottom style="medium">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dotted">
        <color indexed="64"/>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13">
    <xf numFmtId="0" fontId="0" fillId="0" borderId="0"/>
    <xf numFmtId="168"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165" fontId="2" fillId="0" borderId="0" applyFont="0" applyFill="0" applyBorder="0" applyAlignment="0" applyProtection="0"/>
    <xf numFmtId="0" fontId="1" fillId="0" borderId="0"/>
    <xf numFmtId="0" fontId="44" fillId="8" borderId="42">
      <alignment horizontal="right"/>
    </xf>
    <xf numFmtId="0" fontId="71" fillId="8" borderId="0"/>
  </cellStyleXfs>
  <cellXfs count="982">
    <xf numFmtId="0" fontId="0" fillId="0" borderId="0" xfId="0"/>
    <xf numFmtId="0" fontId="3" fillId="0" borderId="0" xfId="0" applyFont="1"/>
    <xf numFmtId="0" fontId="4" fillId="2" borderId="0" xfId="0" applyFont="1" applyFill="1"/>
    <xf numFmtId="0" fontId="5" fillId="2" borderId="0" xfId="0" applyFont="1" applyFill="1"/>
    <xf numFmtId="166" fontId="4" fillId="2" borderId="0" xfId="0" applyNumberFormat="1" applyFont="1" applyFill="1"/>
    <xf numFmtId="167"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6" fontId="4" fillId="2" borderId="1" xfId="0" applyNumberFormat="1" applyFont="1" applyFill="1" applyBorder="1"/>
    <xf numFmtId="0" fontId="10" fillId="0" borderId="0" xfId="0" applyFont="1"/>
    <xf numFmtId="0" fontId="11" fillId="0" borderId="0" xfId="0" applyFont="1"/>
    <xf numFmtId="0" fontId="12" fillId="0" borderId="0" xfId="0" applyFont="1" applyAlignment="1">
      <alignment horizontal="left"/>
    </xf>
    <xf numFmtId="169"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171"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6" fontId="16" fillId="0" borderId="4" xfId="0" applyNumberFormat="1" applyFont="1" applyBorder="1" applyAlignment="1">
      <alignment horizontal="center"/>
    </xf>
    <xf numFmtId="167" fontId="16" fillId="3" borderId="4" xfId="0" applyNumberFormat="1" applyFont="1" applyFill="1" applyBorder="1" applyAlignment="1">
      <alignment horizontal="center"/>
    </xf>
    <xf numFmtId="171"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164"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0" fontId="6" fillId="2" borderId="0" xfId="0" applyFont="1" applyFill="1"/>
    <xf numFmtId="0" fontId="13" fillId="7"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7" borderId="0" xfId="0" applyFont="1" applyFill="1" applyAlignment="1">
      <alignment horizontal="center"/>
    </xf>
    <xf numFmtId="0" fontId="9" fillId="0" borderId="0" xfId="3"/>
    <xf numFmtId="10" fontId="0" fillId="0" borderId="0" xfId="2" applyNumberFormat="1" applyFont="1" applyAlignment="1">
      <alignment horizontal="center"/>
    </xf>
    <xf numFmtId="171" fontId="0" fillId="0" borderId="0" xfId="2" applyNumberFormat="1" applyFont="1"/>
    <xf numFmtId="10" fontId="3" fillId="0" borderId="0" xfId="2" applyNumberFormat="1" applyFont="1" applyAlignment="1">
      <alignment horizontal="center"/>
    </xf>
    <xf numFmtId="171"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9" fontId="0" fillId="0" borderId="0" xfId="0" applyNumberFormat="1" applyAlignment="1">
      <alignment horizontal="center"/>
    </xf>
    <xf numFmtId="0" fontId="0" fillId="4" borderId="8" xfId="0" quotePrefix="1" applyFill="1" applyBorder="1"/>
    <xf numFmtId="3" fontId="0" fillId="0" borderId="8" xfId="0" applyNumberFormat="1" applyBorder="1" applyAlignment="1">
      <alignment horizontal="center"/>
    </xf>
    <xf numFmtId="9" fontId="0" fillId="0" borderId="8" xfId="0" applyNumberFormat="1" applyBorder="1" applyAlignment="1">
      <alignment horizontal="center"/>
    </xf>
    <xf numFmtId="0" fontId="0" fillId="0" borderId="0" xfId="0" quotePrefix="1"/>
    <xf numFmtId="9" fontId="3" fillId="0" borderId="0" xfId="0" applyNumberFormat="1" applyFont="1" applyAlignment="1">
      <alignment horizontal="center"/>
    </xf>
    <xf numFmtId="0" fontId="25" fillId="0" borderId="0" xfId="0" applyFont="1"/>
    <xf numFmtId="0" fontId="3" fillId="0" borderId="0" xfId="0" applyFont="1" applyAlignment="1">
      <alignment horizontal="center"/>
    </xf>
    <xf numFmtId="0" fontId="0" fillId="3" borderId="0" xfId="0" applyFill="1" applyAlignment="1">
      <alignment horizontal="center"/>
    </xf>
    <xf numFmtId="9" fontId="0" fillId="0" borderId="0" xfId="2" applyFont="1"/>
    <xf numFmtId="37" fontId="0" fillId="3" borderId="0" xfId="0" applyNumberFormat="1" applyFill="1"/>
    <xf numFmtId="171"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7" fontId="6" fillId="2" borderId="0" xfId="0" applyNumberFormat="1" applyFont="1" applyFill="1"/>
    <xf numFmtId="0" fontId="13" fillId="7" borderId="4" xfId="0" applyFont="1" applyFill="1" applyBorder="1"/>
    <xf numFmtId="1" fontId="0" fillId="0" borderId="0" xfId="2" applyNumberFormat="1" applyFont="1" applyAlignment="1">
      <alignment horizontal="right"/>
    </xf>
    <xf numFmtId="171" fontId="0" fillId="0" borderId="0" xfId="2" applyNumberFormat="1" applyFont="1" applyFill="1"/>
    <xf numFmtId="171" fontId="0" fillId="0" borderId="4" xfId="2" applyNumberFormat="1" applyFont="1" applyFill="1" applyBorder="1"/>
    <xf numFmtId="171" fontId="0" fillId="3" borderId="0" xfId="2" applyNumberFormat="1" applyFont="1" applyFill="1"/>
    <xf numFmtId="171" fontId="0" fillId="0" borderId="17" xfId="2" applyNumberFormat="1" applyFont="1" applyBorder="1"/>
    <xf numFmtId="37" fontId="0" fillId="3" borderId="4" xfId="0" applyNumberFormat="1" applyFill="1" applyBorder="1"/>
    <xf numFmtId="37" fontId="3" fillId="0" borderId="4" xfId="0" applyNumberFormat="1" applyFont="1" applyBorder="1"/>
    <xf numFmtId="0" fontId="0" fillId="0" borderId="0" xfId="0" applyAlignment="1">
      <alignment vertical="center"/>
    </xf>
    <xf numFmtId="0" fontId="0" fillId="2" borderId="0" xfId="0" applyFill="1"/>
    <xf numFmtId="0" fontId="5" fillId="2" borderId="0" xfId="0" applyFont="1" applyFill="1" applyAlignment="1">
      <alignment horizontal="right"/>
    </xf>
    <xf numFmtId="0" fontId="4" fillId="7" borderId="0" xfId="0" applyFont="1" applyFill="1"/>
    <xf numFmtId="0" fontId="5" fillId="7" borderId="0" xfId="0" applyFont="1" applyFill="1"/>
    <xf numFmtId="0" fontId="0" fillId="7" borderId="0" xfId="0" applyFill="1"/>
    <xf numFmtId="0" fontId="5" fillId="7" borderId="0" xfId="0" applyFont="1" applyFill="1" applyAlignment="1">
      <alignment horizontal="right"/>
    </xf>
    <xf numFmtId="0" fontId="5" fillId="5" borderId="0" xfId="0" applyFont="1" applyFill="1" applyAlignment="1">
      <alignment horizontal="right"/>
    </xf>
    <xf numFmtId="0" fontId="7" fillId="0" borderId="0" xfId="0" applyFont="1"/>
    <xf numFmtId="10" fontId="28" fillId="4" borderId="0" xfId="0" applyNumberFormat="1" applyFont="1" applyFill="1"/>
    <xf numFmtId="10" fontId="32" fillId="3" borderId="0" xfId="0" applyNumberFormat="1" applyFont="1" applyFill="1"/>
    <xf numFmtId="10" fontId="0" fillId="3" borderId="23" xfId="2" applyNumberFormat="1" applyFont="1" applyFill="1" applyBorder="1"/>
    <xf numFmtId="2" fontId="0" fillId="0" borderId="0" xfId="0" applyNumberFormat="1"/>
    <xf numFmtId="3" fontId="0" fillId="3" borderId="23" xfId="0" applyNumberFormat="1" applyFill="1" applyBorder="1"/>
    <xf numFmtId="10" fontId="3" fillId="0" borderId="0" xfId="2" applyNumberFormat="1" applyFont="1"/>
    <xf numFmtId="0" fontId="13" fillId="0" borderId="0" xfId="0" applyFont="1"/>
    <xf numFmtId="0" fontId="20" fillId="0" borderId="0" xfId="0" applyFont="1"/>
    <xf numFmtId="0" fontId="6" fillId="7" borderId="0" xfId="0" applyFont="1" applyFill="1"/>
    <xf numFmtId="0" fontId="20" fillId="7"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164" fontId="12" fillId="0" borderId="0" xfId="0" applyNumberFormat="1" applyFont="1"/>
    <xf numFmtId="166" fontId="6" fillId="2" borderId="0" xfId="0" applyNumberFormat="1" applyFont="1" applyFill="1"/>
    <xf numFmtId="166" fontId="6" fillId="2" borderId="25" xfId="0" applyNumberFormat="1" applyFont="1" applyFill="1" applyBorder="1"/>
    <xf numFmtId="0" fontId="13" fillId="5" borderId="25" xfId="0" applyFont="1" applyFill="1" applyBorder="1"/>
    <xf numFmtId="3" fontId="37" fillId="0" borderId="0" xfId="0" applyNumberFormat="1" applyFont="1"/>
    <xf numFmtId="3" fontId="37" fillId="0" borderId="25" xfId="0" applyNumberFormat="1" applyFont="1" applyBorder="1"/>
    <xf numFmtId="3" fontId="12" fillId="0" borderId="0" xfId="0" applyNumberFormat="1" applyFont="1"/>
    <xf numFmtId="4" fontId="37" fillId="0" borderId="0" xfId="0" applyNumberFormat="1" applyFont="1"/>
    <xf numFmtId="4" fontId="37" fillId="0" borderId="25" xfId="0" applyNumberFormat="1" applyFont="1" applyBorder="1"/>
    <xf numFmtId="171" fontId="35" fillId="5" borderId="0" xfId="0" applyNumberFormat="1" applyFont="1" applyFill="1"/>
    <xf numFmtId="3" fontId="13" fillId="0" borderId="0" xfId="0" applyNumberFormat="1" applyFont="1"/>
    <xf numFmtId="0" fontId="13" fillId="0" borderId="25" xfId="0" applyFont="1" applyBorder="1"/>
    <xf numFmtId="167" fontId="6" fillId="0" borderId="0" xfId="0" applyNumberFormat="1" applyFont="1"/>
    <xf numFmtId="0" fontId="40" fillId="0" borderId="0" xfId="0" applyFont="1"/>
    <xf numFmtId="173" fontId="37" fillId="0" borderId="0" xfId="1" applyNumberFormat="1" applyFont="1" applyFill="1"/>
    <xf numFmtId="173" fontId="12" fillId="0" borderId="0" xfId="1" applyNumberFormat="1" applyFont="1" applyFill="1"/>
    <xf numFmtId="0" fontId="41" fillId="0" borderId="0" xfId="0" applyFont="1"/>
    <xf numFmtId="171" fontId="12" fillId="0" borderId="0" xfId="2" applyNumberFormat="1" applyFont="1" applyFill="1"/>
    <xf numFmtId="171" fontId="13" fillId="0" borderId="0" xfId="2" applyNumberFormat="1" applyFont="1" applyFill="1"/>
    <xf numFmtId="171" fontId="13" fillId="0" borderId="17" xfId="2" applyNumberFormat="1" applyFont="1" applyFill="1" applyBorder="1"/>
    <xf numFmtId="171" fontId="12" fillId="0" borderId="0" xfId="2" applyNumberFormat="1" applyFont="1" applyFill="1" applyBorder="1"/>
    <xf numFmtId="173" fontId="12" fillId="0" borderId="0" xfId="1" applyNumberFormat="1" applyFont="1" applyFill="1" applyBorder="1"/>
    <xf numFmtId="0" fontId="13" fillId="0" borderId="17" xfId="0" applyFont="1" applyBorder="1"/>
    <xf numFmtId="9" fontId="12" fillId="0" borderId="0" xfId="2" applyFont="1" applyFill="1" applyBorder="1"/>
    <xf numFmtId="171" fontId="35" fillId="0" borderId="0" xfId="2" applyNumberFormat="1" applyFont="1" applyFill="1"/>
    <xf numFmtId="37" fontId="12" fillId="0" borderId="0" xfId="1" applyNumberFormat="1" applyFont="1" applyFill="1" applyAlignment="1">
      <alignment wrapText="1"/>
    </xf>
    <xf numFmtId="171" fontId="13" fillId="0" borderId="25" xfId="2" applyNumberFormat="1" applyFont="1" applyFill="1" applyBorder="1"/>
    <xf numFmtId="166" fontId="6" fillId="2" borderId="17" xfId="0" applyNumberFormat="1" applyFont="1" applyFill="1" applyBorder="1"/>
    <xf numFmtId="0" fontId="41" fillId="7" borderId="0" xfId="0" applyFont="1" applyFill="1"/>
    <xf numFmtId="0" fontId="13" fillId="7"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3" fontId="13" fillId="0" borderId="0" xfId="0" applyNumberFormat="1" applyFont="1"/>
    <xf numFmtId="3" fontId="35" fillId="0" borderId="0" xfId="0" applyNumberFormat="1" applyFont="1"/>
    <xf numFmtId="3" fontId="35" fillId="0" borderId="17" xfId="0" applyNumberFormat="1" applyFont="1" applyBorder="1"/>
    <xf numFmtId="171" fontId="12" fillId="0" borderId="0" xfId="0" applyNumberFormat="1" applyFont="1"/>
    <xf numFmtId="0" fontId="37" fillId="7" borderId="0" xfId="0" applyFont="1" applyFill="1"/>
    <xf numFmtId="0" fontId="37" fillId="7" borderId="17" xfId="0" applyFont="1" applyFill="1" applyBorder="1"/>
    <xf numFmtId="173" fontId="36" fillId="0" borderId="0" xfId="1" applyNumberFormat="1" applyFont="1" applyFill="1"/>
    <xf numFmtId="173" fontId="12" fillId="0" borderId="17" xfId="1" applyNumberFormat="1" applyFont="1" applyFill="1" applyBorder="1"/>
    <xf numFmtId="173" fontId="13" fillId="0" borderId="0" xfId="1" applyNumberFormat="1" applyFont="1" applyFill="1"/>
    <xf numFmtId="171" fontId="13" fillId="0" borderId="0" xfId="2" applyNumberFormat="1" applyFont="1"/>
    <xf numFmtId="0" fontId="13" fillId="0" borderId="29" xfId="0" applyFont="1" applyBorder="1"/>
    <xf numFmtId="0" fontId="13" fillId="0" borderId="30" xfId="0" applyFont="1" applyBorder="1"/>
    <xf numFmtId="173" fontId="13" fillId="0" borderId="30" xfId="0" applyNumberFormat="1" applyFont="1" applyBorder="1"/>
    <xf numFmtId="173" fontId="13" fillId="0" borderId="0" xfId="1" applyNumberFormat="1" applyFont="1" applyFill="1" applyBorder="1"/>
    <xf numFmtId="173" fontId="12" fillId="0" borderId="25" xfId="1" applyNumberFormat="1" applyFont="1" applyFill="1" applyBorder="1"/>
    <xf numFmtId="0" fontId="13" fillId="0" borderId="32" xfId="0" applyFont="1" applyBorder="1"/>
    <xf numFmtId="0" fontId="13" fillId="0" borderId="33" xfId="0" applyFont="1" applyBorder="1"/>
    <xf numFmtId="173" fontId="13" fillId="0" borderId="33" xfId="0" applyNumberFormat="1" applyFont="1" applyBorder="1"/>
    <xf numFmtId="173" fontId="13" fillId="0" borderId="34" xfId="0" applyNumberFormat="1" applyFont="1" applyBorder="1"/>
    <xf numFmtId="0" fontId="13" fillId="0" borderId="35" xfId="0" applyFont="1" applyBorder="1"/>
    <xf numFmtId="0" fontId="13" fillId="0" borderId="7" xfId="0" applyFont="1" applyBorder="1"/>
    <xf numFmtId="0" fontId="13" fillId="0" borderId="36" xfId="0" applyFont="1" applyBorder="1"/>
    <xf numFmtId="173" fontId="13" fillId="0" borderId="7" xfId="0" applyNumberFormat="1" applyFont="1" applyBorder="1"/>
    <xf numFmtId="173" fontId="13" fillId="0" borderId="37" xfId="0" applyNumberFormat="1" applyFont="1" applyBorder="1"/>
    <xf numFmtId="2" fontId="13" fillId="0" borderId="0" xfId="0" applyNumberFormat="1" applyFont="1"/>
    <xf numFmtId="14" fontId="20" fillId="0" borderId="0" xfId="0" applyNumberFormat="1" applyFont="1"/>
    <xf numFmtId="0" fontId="20" fillId="0" borderId="25" xfId="0" applyFont="1" applyBorder="1"/>
    <xf numFmtId="14" fontId="13" fillId="0" borderId="0" xfId="0" applyNumberFormat="1" applyFont="1"/>
    <xf numFmtId="173" fontId="13" fillId="0" borderId="0" xfId="1" applyNumberFormat="1" applyFont="1"/>
    <xf numFmtId="0" fontId="36" fillId="0" borderId="0" xfId="0" applyFont="1"/>
    <xf numFmtId="0" fontId="32" fillId="0" borderId="0" xfId="0" applyFont="1"/>
    <xf numFmtId="173" fontId="13" fillId="4" borderId="0" xfId="0" applyNumberFormat="1" applyFont="1" applyFill="1"/>
    <xf numFmtId="164" fontId="13" fillId="0" borderId="0" xfId="0" applyNumberFormat="1" applyFont="1"/>
    <xf numFmtId="176" fontId="13" fillId="0" borderId="0" xfId="0" applyNumberFormat="1" applyFont="1"/>
    <xf numFmtId="0" fontId="40" fillId="0" borderId="25" xfId="0" applyFont="1" applyBorder="1"/>
    <xf numFmtId="10" fontId="40" fillId="0" borderId="0" xfId="0" applyNumberFormat="1" applyFont="1"/>
    <xf numFmtId="0" fontId="13" fillId="7" borderId="25" xfId="0" applyFont="1" applyFill="1" applyBorder="1"/>
    <xf numFmtId="173" fontId="13" fillId="0" borderId="25" xfId="0" applyNumberFormat="1" applyFont="1" applyBorder="1"/>
    <xf numFmtId="37" fontId="13" fillId="0" borderId="0" xfId="0" applyNumberFormat="1" applyFont="1"/>
    <xf numFmtId="37" fontId="13" fillId="0" borderId="25" xfId="0" applyNumberFormat="1" applyFont="1" applyBorder="1"/>
    <xf numFmtId="9" fontId="13" fillId="0" borderId="0" xfId="0" applyNumberFormat="1" applyFont="1"/>
    <xf numFmtId="9" fontId="13" fillId="0" borderId="25" xfId="0" applyNumberFormat="1" applyFont="1" applyBorder="1"/>
    <xf numFmtId="9" fontId="35" fillId="0" borderId="0" xfId="0" applyNumberFormat="1" applyFont="1"/>
    <xf numFmtId="173" fontId="13" fillId="0" borderId="0" xfId="0" applyNumberFormat="1" applyFont="1" applyAlignment="1">
      <alignment horizontal="left"/>
    </xf>
    <xf numFmtId="0" fontId="13" fillId="0" borderId="38" xfId="0" applyFont="1" applyBorder="1"/>
    <xf numFmtId="0" fontId="13" fillId="0" borderId="39" xfId="0" applyFont="1" applyBorder="1"/>
    <xf numFmtId="0" fontId="13" fillId="0" borderId="40" xfId="0" applyFont="1" applyBorder="1"/>
    <xf numFmtId="173" fontId="13" fillId="0" borderId="39" xfId="0" applyNumberFormat="1" applyFont="1" applyBorder="1"/>
    <xf numFmtId="9" fontId="40"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7"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9" fontId="13" fillId="7" borderId="0" xfId="2" applyFont="1" applyFill="1" applyBorder="1"/>
    <xf numFmtId="9" fontId="13" fillId="7"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10" fontId="3" fillId="0" borderId="8" xfId="2" applyNumberFormat="1" applyFont="1" applyBorder="1" applyAlignment="1">
      <alignment horizontal="center"/>
    </xf>
    <xf numFmtId="37" fontId="7" fillId="4" borderId="0" xfId="0" applyNumberFormat="1" applyFont="1" applyFill="1" applyAlignment="1">
      <alignment horizontal="right"/>
    </xf>
    <xf numFmtId="37" fontId="42"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0" fontId="32" fillId="3" borderId="0" xfId="0" applyFont="1" applyFill="1" applyAlignment="1">
      <alignment horizontal="right"/>
    </xf>
    <xf numFmtId="173"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7" borderId="0" xfId="0" applyFont="1" applyFill="1" applyAlignment="1">
      <alignment horizontal="left"/>
    </xf>
    <xf numFmtId="171" fontId="12" fillId="0" borderId="0" xfId="4" applyNumberFormat="1" applyFont="1" applyFill="1" applyBorder="1" applyAlignment="1">
      <alignment horizontal="left"/>
    </xf>
    <xf numFmtId="171" fontId="38" fillId="0" borderId="0" xfId="4" applyNumberFormat="1" applyFont="1" applyFill="1" applyBorder="1" applyAlignment="1">
      <alignment horizontal="left"/>
    </xf>
    <xf numFmtId="0" fontId="13" fillId="0" borderId="0" xfId="0" applyFont="1" applyAlignment="1">
      <alignment horizontal="right"/>
    </xf>
    <xf numFmtId="171"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2"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5" fillId="3" borderId="0" xfId="0" applyNumberFormat="1" applyFont="1" applyFill="1" applyAlignment="1">
      <alignment horizontal="right"/>
    </xf>
    <xf numFmtId="37" fontId="46" fillId="4" borderId="0" xfId="0" applyNumberFormat="1" applyFont="1" applyFill="1" applyAlignment="1">
      <alignment horizontal="right"/>
    </xf>
    <xf numFmtId="0" fontId="3" fillId="0" borderId="19" xfId="0" applyFont="1" applyBorder="1"/>
    <xf numFmtId="37" fontId="42"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6" xfId="0" applyFont="1" applyBorder="1"/>
    <xf numFmtId="10" fontId="3" fillId="0" borderId="46" xfId="2" applyNumberFormat="1" applyFont="1" applyBorder="1" applyAlignment="1">
      <alignment horizontal="center"/>
    </xf>
    <xf numFmtId="0" fontId="0" fillId="0" borderId="46" xfId="0" applyBorder="1"/>
    <xf numFmtId="37" fontId="42" fillId="3" borderId="46" xfId="0" applyNumberFormat="1" applyFont="1" applyFill="1" applyBorder="1" applyAlignment="1">
      <alignment horizontal="right"/>
    </xf>
    <xf numFmtId="173" fontId="37" fillId="0" borderId="25" xfId="1" applyNumberFormat="1" applyFont="1" applyFill="1" applyBorder="1"/>
    <xf numFmtId="0" fontId="41" fillId="4" borderId="0" xfId="0" applyFont="1" applyFill="1"/>
    <xf numFmtId="171" fontId="13" fillId="4" borderId="0" xfId="2" applyNumberFormat="1" applyFont="1" applyFill="1"/>
    <xf numFmtId="171" fontId="13" fillId="4" borderId="17" xfId="2" applyNumberFormat="1" applyFont="1" applyFill="1" applyBorder="1"/>
    <xf numFmtId="171" fontId="35" fillId="4" borderId="0" xfId="2" applyNumberFormat="1" applyFont="1" applyFill="1"/>
    <xf numFmtId="9" fontId="12" fillId="4" borderId="0" xfId="2" applyFont="1" applyFill="1" applyBorder="1"/>
    <xf numFmtId="0" fontId="13" fillId="0" borderId="0" xfId="0" applyFont="1" applyAlignment="1">
      <alignment horizontal="left" indent="1"/>
    </xf>
    <xf numFmtId="0" fontId="48" fillId="0" borderId="0" xfId="0" applyFont="1"/>
    <xf numFmtId="0" fontId="48" fillId="0" borderId="0" xfId="0" applyFont="1" applyAlignment="1">
      <alignment horizontal="left"/>
    </xf>
    <xf numFmtId="171" fontId="48" fillId="0" borderId="0" xfId="2" applyNumberFormat="1" applyFont="1" applyFill="1"/>
    <xf numFmtId="171" fontId="48" fillId="0" borderId="0" xfId="1" applyNumberFormat="1" applyFont="1" applyFill="1"/>
    <xf numFmtId="171" fontId="48" fillId="0" borderId="17" xfId="1" applyNumberFormat="1" applyFont="1" applyFill="1" applyBorder="1"/>
    <xf numFmtId="171" fontId="48" fillId="4" borderId="0" xfId="1" applyNumberFormat="1" applyFont="1" applyFill="1"/>
    <xf numFmtId="171" fontId="48" fillId="0" borderId="25" xfId="2" applyNumberFormat="1" applyFont="1" applyFill="1" applyBorder="1"/>
    <xf numFmtId="171" fontId="48" fillId="0" borderId="17" xfId="2" applyNumberFormat="1" applyFont="1" applyFill="1" applyBorder="1"/>
    <xf numFmtId="171" fontId="49" fillId="0" borderId="0" xfId="2" applyNumberFormat="1" applyFont="1" applyFill="1"/>
    <xf numFmtId="0" fontId="48" fillId="0" borderId="0" xfId="0" applyFont="1" applyAlignment="1">
      <alignment horizontal="left" indent="1"/>
    </xf>
    <xf numFmtId="0" fontId="49"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171" fontId="48" fillId="0" borderId="0" xfId="2" applyNumberFormat="1" applyFont="1"/>
    <xf numFmtId="171" fontId="48" fillId="0" borderId="25" xfId="2" applyNumberFormat="1" applyFont="1" applyBorder="1"/>
    <xf numFmtId="173" fontId="37" fillId="0" borderId="0" xfId="1" applyNumberFormat="1" applyFont="1"/>
    <xf numFmtId="173" fontId="37" fillId="0" borderId="25" xfId="1" applyNumberFormat="1" applyFont="1" applyBorder="1"/>
    <xf numFmtId="171" fontId="35" fillId="0" borderId="0" xfId="0" applyNumberFormat="1" applyFont="1"/>
    <xf numFmtId="171" fontId="48" fillId="0" borderId="0" xfId="2" applyNumberFormat="1" applyFont="1" applyFill="1" applyBorder="1"/>
    <xf numFmtId="0" fontId="13" fillId="0" borderId="0" xfId="0" applyFont="1" applyAlignment="1">
      <alignment horizontal="left" indent="2"/>
    </xf>
    <xf numFmtId="0" fontId="48" fillId="0" borderId="0" xfId="0" applyFont="1" applyAlignment="1">
      <alignment horizontal="left" indent="2"/>
    </xf>
    <xf numFmtId="0" fontId="41" fillId="0" borderId="0" xfId="0" applyFont="1" applyAlignment="1">
      <alignment horizontal="left" indent="2"/>
    </xf>
    <xf numFmtId="173" fontId="50" fillId="0" borderId="0" xfId="1" applyNumberFormat="1" applyFont="1" applyFill="1"/>
    <xf numFmtId="173" fontId="50" fillId="0" borderId="25" xfId="1" applyNumberFormat="1" applyFont="1" applyFill="1" applyBorder="1"/>
    <xf numFmtId="173" fontId="39" fillId="0" borderId="0" xfId="1" applyNumberFormat="1" applyFont="1" applyFill="1"/>
    <xf numFmtId="173" fontId="20" fillId="0" borderId="0" xfId="1" applyNumberFormat="1" applyFont="1" applyFill="1"/>
    <xf numFmtId="171" fontId="47" fillId="5" borderId="0" xfId="2" applyNumberFormat="1" applyFont="1" applyFill="1"/>
    <xf numFmtId="37" fontId="12" fillId="0" borderId="0" xfId="1" applyNumberFormat="1" applyFont="1" applyAlignment="1">
      <alignment wrapText="1"/>
    </xf>
    <xf numFmtId="171" fontId="32" fillId="5" borderId="0" xfId="2" applyNumberFormat="1" applyFont="1" applyFill="1"/>
    <xf numFmtId="171" fontId="47" fillId="5" borderId="0" xfId="0" applyNumberFormat="1" applyFont="1" applyFill="1"/>
    <xf numFmtId="171" fontId="48" fillId="0" borderId="0" xfId="0" applyNumberFormat="1" applyFont="1"/>
    <xf numFmtId="171" fontId="48" fillId="0" borderId="17" xfId="0" applyNumberFormat="1" applyFont="1" applyBorder="1"/>
    <xf numFmtId="1" fontId="47" fillId="5" borderId="0" xfId="0" applyNumberFormat="1" applyFont="1" applyFill="1"/>
    <xf numFmtId="177" fontId="48" fillId="0" borderId="0" xfId="0" applyNumberFormat="1" applyFont="1"/>
    <xf numFmtId="177" fontId="48" fillId="0" borderId="17" xfId="0" applyNumberFormat="1" applyFont="1" applyBorder="1"/>
    <xf numFmtId="177" fontId="47" fillId="5" borderId="0" xfId="0" applyNumberFormat="1" applyFont="1" applyFill="1"/>
    <xf numFmtId="0" fontId="41" fillId="0" borderId="0" xfId="0" applyFont="1" applyAlignment="1">
      <alignment horizontal="left" indent="1"/>
    </xf>
    <xf numFmtId="171" fontId="49" fillId="0" borderId="17" xfId="2" applyNumberFormat="1" applyFont="1" applyFill="1" applyBorder="1"/>
    <xf numFmtId="173" fontId="50" fillId="0" borderId="0" xfId="1" applyNumberFormat="1" applyFont="1" applyFill="1" applyAlignment="1">
      <alignment horizontal="right"/>
    </xf>
    <xf numFmtId="173" fontId="50" fillId="0" borderId="25" xfId="1" applyNumberFormat="1" applyFont="1" applyBorder="1" applyAlignment="1">
      <alignment horizontal="right"/>
    </xf>
    <xf numFmtId="173" fontId="41" fillId="0" borderId="0" xfId="0" applyNumberFormat="1" applyFont="1" applyAlignment="1">
      <alignment horizontal="right"/>
    </xf>
    <xf numFmtId="173" fontId="41" fillId="0" borderId="0" xfId="0" applyNumberFormat="1" applyFont="1"/>
    <xf numFmtId="173" fontId="37" fillId="0" borderId="0" xfId="1" applyNumberFormat="1" applyFont="1" applyBorder="1"/>
    <xf numFmtId="173" fontId="50" fillId="0" borderId="25" xfId="1" applyNumberFormat="1" applyFont="1" applyFill="1" applyBorder="1" applyAlignment="1">
      <alignment horizontal="right"/>
    </xf>
    <xf numFmtId="0" fontId="25" fillId="0" borderId="0" xfId="0" applyFont="1" applyAlignment="1">
      <alignment horizontal="left" indent="2"/>
    </xf>
    <xf numFmtId="171" fontId="12" fillId="4" borderId="0" xfId="0" applyNumberFormat="1" applyFont="1" applyFill="1"/>
    <xf numFmtId="171" fontId="12" fillId="4" borderId="17" xfId="0" applyNumberFormat="1" applyFont="1" applyFill="1" applyBorder="1"/>
    <xf numFmtId="171" fontId="35" fillId="4" borderId="0" xfId="0" applyNumberFormat="1" applyFont="1" applyFill="1"/>
    <xf numFmtId="171" fontId="12" fillId="0" borderId="25" xfId="0" applyNumberFormat="1" applyFont="1" applyBorder="1"/>
    <xf numFmtId="0" fontId="51" fillId="0" borderId="0" xfId="0" applyFont="1"/>
    <xf numFmtId="173" fontId="13" fillId="0" borderId="31" xfId="0" applyNumberFormat="1" applyFont="1" applyBorder="1"/>
    <xf numFmtId="173" fontId="13" fillId="0" borderId="47" xfId="0" applyNumberFormat="1" applyFont="1" applyBorder="1"/>
    <xf numFmtId="173" fontId="13" fillId="0" borderId="48" xfId="0" applyNumberFormat="1" applyFont="1" applyBorder="1"/>
    <xf numFmtId="171" fontId="47" fillId="0" borderId="0" xfId="0" applyNumberFormat="1" applyFont="1"/>
    <xf numFmtId="173" fontId="35" fillId="5" borderId="0" xfId="1" applyNumberFormat="1" applyFont="1" applyFill="1"/>
    <xf numFmtId="173" fontId="50" fillId="0" borderId="0" xfId="1" applyNumberFormat="1" applyFont="1" applyBorder="1"/>
    <xf numFmtId="173" fontId="37" fillId="0" borderId="0" xfId="1" applyNumberFormat="1" applyFont="1" applyFill="1" applyBorder="1"/>
    <xf numFmtId="173" fontId="43" fillId="0" borderId="0" xfId="1" applyNumberFormat="1" applyFont="1" applyBorder="1"/>
    <xf numFmtId="14" fontId="35" fillId="5" borderId="0" xfId="0" applyNumberFormat="1" applyFont="1" applyFill="1" applyAlignment="1">
      <alignment horizontal="right"/>
    </xf>
    <xf numFmtId="166" fontId="4" fillId="2" borderId="2" xfId="0" applyNumberFormat="1" applyFont="1" applyFill="1" applyBorder="1"/>
    <xf numFmtId="169" fontId="0" fillId="0" borderId="2" xfId="1" applyNumberFormat="1" applyFont="1" applyBorder="1" applyAlignment="1">
      <alignment horizontal="right"/>
    </xf>
    <xf numFmtId="0" fontId="0" fillId="0" borderId="2" xfId="0" applyBorder="1" applyAlignment="1">
      <alignment horizontal="right"/>
    </xf>
    <xf numFmtId="0" fontId="13" fillId="7"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9"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37" fontId="45" fillId="0" borderId="0" xfId="1" applyNumberFormat="1" applyFont="1" applyBorder="1"/>
    <xf numFmtId="37" fontId="45" fillId="0" borderId="25" xfId="1" applyNumberFormat="1" applyFont="1" applyBorder="1"/>
    <xf numFmtId="37" fontId="45" fillId="0" borderId="0" xfId="1" applyNumberFormat="1" applyFont="1" applyFill="1" applyBorder="1"/>
    <xf numFmtId="37" fontId="45"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7" fontId="6" fillId="2" borderId="0" xfId="0" applyNumberFormat="1" applyFont="1" applyFill="1" applyAlignment="1">
      <alignment horizontal="right"/>
    </xf>
    <xf numFmtId="166" fontId="6" fillId="2" borderId="0" xfId="0" applyNumberFormat="1" applyFont="1" applyFill="1" applyAlignment="1">
      <alignment horizontal="right"/>
    </xf>
    <xf numFmtId="166" fontId="6" fillId="2" borderId="2" xfId="0" applyNumberFormat="1" applyFont="1" applyFill="1" applyBorder="1" applyAlignment="1">
      <alignment horizontal="right"/>
    </xf>
    <xf numFmtId="169" fontId="0" fillId="0" borderId="0" xfId="1" applyNumberFormat="1" applyFont="1" applyBorder="1" applyAlignment="1">
      <alignment horizontal="right"/>
    </xf>
    <xf numFmtId="0" fontId="52" fillId="0" borderId="0" xfId="5" applyFont="1"/>
    <xf numFmtId="0" fontId="29" fillId="0" borderId="0" xfId="5" applyFont="1"/>
    <xf numFmtId="0" fontId="29" fillId="5" borderId="0" xfId="5" applyFont="1" applyFill="1"/>
    <xf numFmtId="0" fontId="52" fillId="0" borderId="0" xfId="5" applyFont="1" applyAlignment="1">
      <alignment vertical="center"/>
    </xf>
    <xf numFmtId="0" fontId="29" fillId="0" borderId="0" xfId="5" applyFont="1" applyAlignment="1">
      <alignment vertical="center"/>
    </xf>
    <xf numFmtId="0" fontId="53" fillId="2" borderId="0" xfId="5" applyFont="1" applyFill="1" applyAlignment="1">
      <alignment horizontal="center" vertical="center"/>
    </xf>
    <xf numFmtId="0" fontId="54" fillId="2" borderId="21" xfId="5" applyFont="1" applyFill="1" applyBorder="1" applyAlignment="1">
      <alignment horizontal="center" vertical="center" wrapText="1"/>
    </xf>
    <xf numFmtId="0" fontId="54" fillId="2" borderId="53" xfId="5" applyFont="1" applyFill="1" applyBorder="1" applyAlignment="1">
      <alignment horizontal="center" vertical="center" wrapText="1"/>
    </xf>
    <xf numFmtId="0" fontId="54" fillId="2" borderId="0" xfId="5" applyFont="1" applyFill="1" applyAlignment="1">
      <alignment horizontal="center" vertical="center" wrapText="1"/>
    </xf>
    <xf numFmtId="0" fontId="54" fillId="2" borderId="25" xfId="5" applyFont="1" applyFill="1" applyBorder="1" applyAlignment="1">
      <alignment horizontal="center" vertical="center" wrapText="1"/>
    </xf>
    <xf numFmtId="0" fontId="55" fillId="5" borderId="21" xfId="5" applyFont="1" applyFill="1" applyBorder="1"/>
    <xf numFmtId="0" fontId="55" fillId="5" borderId="53" xfId="5" applyFont="1" applyFill="1" applyBorder="1"/>
    <xf numFmtId="0" fontId="55" fillId="5" borderId="0" xfId="5" applyFont="1" applyFill="1"/>
    <xf numFmtId="0" fontId="55" fillId="5" borderId="25" xfId="5" applyFont="1" applyFill="1" applyBorder="1"/>
    <xf numFmtId="2" fontId="29" fillId="5" borderId="0" xfId="2" applyNumberFormat="1" applyFont="1" applyFill="1" applyBorder="1" applyAlignment="1">
      <alignment horizontal="center" vertical="center"/>
    </xf>
    <xf numFmtId="10" fontId="7" fillId="3" borderId="23" xfId="2" applyNumberFormat="1" applyFont="1" applyFill="1" applyBorder="1"/>
    <xf numFmtId="164" fontId="40" fillId="0" borderId="0" xfId="0" applyNumberFormat="1" applyFont="1"/>
    <xf numFmtId="0" fontId="31" fillId="0" borderId="0" xfId="0" applyFont="1"/>
    <xf numFmtId="166" fontId="16" fillId="0" borderId="36"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2" xfId="5" applyFont="1" applyBorder="1"/>
    <xf numFmtId="0" fontId="5" fillId="0" borderId="52" xfId="5" applyFont="1" applyBorder="1"/>
    <xf numFmtId="0" fontId="4" fillId="5" borderId="51" xfId="5" applyFont="1" applyFill="1" applyBorder="1"/>
    <xf numFmtId="0" fontId="4" fillId="0" borderId="51"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4" fontId="10" fillId="0" borderId="0" xfId="5" applyNumberFormat="1" applyFont="1" applyAlignment="1">
      <alignment vertical="center"/>
    </xf>
    <xf numFmtId="4" fontId="10" fillId="0" borderId="0" xfId="5" applyNumberFormat="1" applyFont="1" applyAlignment="1">
      <alignment vertical="center"/>
    </xf>
    <xf numFmtId="4" fontId="10" fillId="0" borderId="0" xfId="5" applyNumberFormat="1" applyFont="1" applyAlignment="1">
      <alignment horizontal="center" vertical="center"/>
    </xf>
    <xf numFmtId="2" fontId="10" fillId="0" borderId="0" xfId="2" applyNumberFormat="1" applyFont="1" applyBorder="1" applyAlignment="1">
      <alignment horizontal="center"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5" fontId="32" fillId="0" borderId="0" xfId="5" applyNumberFormat="1" applyFont="1" applyAlignment="1">
      <alignment vertical="center"/>
    </xf>
    <xf numFmtId="171" fontId="10" fillId="0" borderId="0" xfId="5" applyNumberFormat="1" applyFont="1" applyAlignment="1">
      <alignment vertical="center"/>
    </xf>
    <xf numFmtId="0" fontId="7" fillId="0" borderId="0" xfId="5" applyFont="1"/>
    <xf numFmtId="0" fontId="32" fillId="0" borderId="0" xfId="5" applyFont="1"/>
    <xf numFmtId="174" fontId="10" fillId="0" borderId="0" xfId="5" applyNumberFormat="1" applyFont="1"/>
    <xf numFmtId="4" fontId="10" fillId="0" borderId="0" xfId="5" applyNumberFormat="1" applyFont="1"/>
    <xf numFmtId="4" fontId="10" fillId="0" borderId="0" xfId="5" applyNumberFormat="1" applyFont="1" applyAlignment="1">
      <alignment horizontal="center"/>
    </xf>
    <xf numFmtId="9" fontId="10" fillId="0" borderId="0" xfId="2" applyFont="1" applyBorder="1" applyAlignment="1"/>
    <xf numFmtId="3" fontId="10" fillId="0" borderId="0" xfId="5" applyNumberFormat="1" applyFont="1"/>
    <xf numFmtId="2" fontId="10" fillId="0" borderId="0" xfId="5" applyNumberFormat="1" applyFont="1"/>
    <xf numFmtId="10" fontId="10" fillId="0" borderId="0" xfId="5" applyNumberFormat="1" applyFont="1"/>
    <xf numFmtId="175" fontId="32" fillId="0" borderId="0" xfId="5" applyNumberFormat="1" applyFont="1"/>
    <xf numFmtId="171" fontId="10"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5"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1" fontId="10" fillId="0" borderId="0" xfId="5" applyNumberFormat="1" applyFont="1" applyAlignment="1">
      <alignment horizontal="center"/>
    </xf>
    <xf numFmtId="169"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0" xfId="5" applyNumberFormat="1" applyFont="1" applyFill="1" applyAlignment="1">
      <alignment horizontal="center"/>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0" borderId="53" xfId="8" applyNumberFormat="1" applyFont="1" applyBorder="1" applyAlignment="1">
      <alignment horizontal="center" wrapText="1"/>
    </xf>
    <xf numFmtId="37" fontId="7" fillId="0" borderId="25" xfId="8" applyNumberFormat="1" applyFont="1" applyBorder="1" applyAlignment="1">
      <alignment horizontal="center" wrapText="1"/>
    </xf>
    <xf numFmtId="37" fontId="7" fillId="0" borderId="0" xfId="5" applyNumberFormat="1" applyFont="1" applyAlignment="1">
      <alignment horizontal="center"/>
    </xf>
    <xf numFmtId="37" fontId="7" fillId="3" borderId="0" xfId="5" applyNumberFormat="1" applyFont="1" applyFill="1" applyAlignment="1">
      <alignment horizontal="center"/>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3" xfId="8" applyNumberFormat="1" applyFont="1" applyBorder="1" applyAlignment="1">
      <alignment horizontal="center" wrapText="1"/>
    </xf>
    <xf numFmtId="1" fontId="28" fillId="0" borderId="25" xfId="8" applyNumberFormat="1" applyFont="1" applyBorder="1" applyAlignment="1">
      <alignment horizontal="center" wrapText="1"/>
    </xf>
    <xf numFmtId="0" fontId="10" fillId="2" borderId="21" xfId="5" applyFont="1" applyFill="1" applyBorder="1"/>
    <xf numFmtId="0" fontId="10" fillId="2" borderId="53" xfId="5" applyFont="1" applyFill="1" applyBorder="1"/>
    <xf numFmtId="0" fontId="10" fillId="2" borderId="25" xfId="5" applyFont="1" applyFill="1" applyBorder="1"/>
    <xf numFmtId="0" fontId="10" fillId="2" borderId="0" xfId="5" applyFont="1" applyFill="1" applyAlignment="1">
      <alignment horizontal="center"/>
    </xf>
    <xf numFmtId="0" fontId="10" fillId="5" borderId="21" xfId="5" applyFont="1" applyFill="1" applyBorder="1"/>
    <xf numFmtId="0" fontId="10" fillId="5" borderId="53" xfId="5" applyFont="1" applyFill="1" applyBorder="1"/>
    <xf numFmtId="0" fontId="10" fillId="5" borderId="25" xfId="5" applyFont="1" applyFill="1" applyBorder="1"/>
    <xf numFmtId="0" fontId="10" fillId="0" borderId="53" xfId="5" applyFont="1" applyBorder="1"/>
    <xf numFmtId="37" fontId="28" fillId="0" borderId="53" xfId="8" applyNumberFormat="1" applyFont="1" applyBorder="1" applyAlignment="1">
      <alignment horizontal="center"/>
    </xf>
    <xf numFmtId="0" fontId="36" fillId="0" borderId="0" xfId="0" applyFont="1" applyAlignment="1">
      <alignment horizontal="left" indent="1"/>
    </xf>
    <xf numFmtId="173" fontId="31" fillId="0" borderId="0" xfId="1" applyNumberFormat="1"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3" fontId="13" fillId="0" borderId="55" xfId="0" applyNumberFormat="1" applyFont="1" applyBorder="1"/>
    <xf numFmtId="0" fontId="4" fillId="2" borderId="56" xfId="5" applyFont="1" applyFill="1" applyBorder="1" applyAlignment="1">
      <alignment horizontal="center"/>
    </xf>
    <xf numFmtId="0" fontId="4" fillId="5" borderId="58" xfId="5" applyFont="1" applyFill="1" applyBorder="1"/>
    <xf numFmtId="171" fontId="29" fillId="0" borderId="0" xfId="5" applyNumberFormat="1" applyFont="1" applyAlignment="1">
      <alignment horizontal="center" vertical="center"/>
    </xf>
    <xf numFmtId="171" fontId="29" fillId="0" borderId="56" xfId="5" applyNumberFormat="1" applyFont="1" applyBorder="1" applyAlignment="1">
      <alignment horizontal="center" vertical="center"/>
    </xf>
    <xf numFmtId="0" fontId="29" fillId="0" borderId="56" xfId="5" applyFont="1" applyBorder="1"/>
    <xf numFmtId="171" fontId="10" fillId="0" borderId="0" xfId="5" applyNumberFormat="1" applyFont="1" applyAlignment="1">
      <alignment horizontal="center" vertical="center"/>
    </xf>
    <xf numFmtId="171" fontId="10" fillId="0" borderId="56" xfId="5" applyNumberFormat="1" applyFont="1" applyBorder="1" applyAlignment="1">
      <alignment horizontal="center" vertical="center"/>
    </xf>
    <xf numFmtId="171" fontId="29" fillId="5" borderId="0" xfId="5" applyNumberFormat="1" applyFont="1" applyFill="1" applyAlignment="1">
      <alignment horizontal="center" vertical="center"/>
    </xf>
    <xf numFmtId="171" fontId="29" fillId="5" borderId="56" xfId="5" applyNumberFormat="1" applyFont="1" applyFill="1" applyBorder="1" applyAlignment="1">
      <alignment horizontal="center" vertical="center"/>
    </xf>
    <xf numFmtId="171" fontId="10" fillId="5" borderId="0" xfId="5" applyNumberFormat="1" applyFont="1" applyFill="1" applyAlignment="1">
      <alignment horizontal="center" vertical="center"/>
    </xf>
    <xf numFmtId="171" fontId="10" fillId="5" borderId="56" xfId="5" applyNumberFormat="1" applyFont="1" applyFill="1" applyBorder="1" applyAlignment="1">
      <alignment horizontal="center" vertical="center"/>
    </xf>
    <xf numFmtId="0" fontId="4" fillId="2" borderId="59" xfId="5" applyFont="1" applyFill="1" applyBorder="1" applyAlignment="1">
      <alignment horizontal="center"/>
    </xf>
    <xf numFmtId="0" fontId="4" fillId="5" borderId="61" xfId="5" applyFont="1" applyFill="1" applyBorder="1"/>
    <xf numFmtId="171" fontId="29" fillId="4" borderId="59" xfId="5" applyNumberFormat="1" applyFont="1" applyFill="1" applyBorder="1" applyAlignment="1">
      <alignment horizontal="center" vertical="center"/>
    </xf>
    <xf numFmtId="171" fontId="29" fillId="4" borderId="56" xfId="5" applyNumberFormat="1" applyFont="1" applyFill="1" applyBorder="1" applyAlignment="1">
      <alignment horizontal="center" vertical="center"/>
    </xf>
    <xf numFmtId="174" fontId="10" fillId="4" borderId="59" xfId="5" applyNumberFormat="1" applyFont="1" applyFill="1" applyBorder="1"/>
    <xf numFmtId="174" fontId="10" fillId="4" borderId="56" xfId="5" applyNumberFormat="1" applyFont="1" applyFill="1" applyBorder="1"/>
    <xf numFmtId="171" fontId="10" fillId="0" borderId="59" xfId="5" applyNumberFormat="1" applyFont="1" applyBorder="1" applyAlignment="1">
      <alignment horizontal="center" vertical="center"/>
    </xf>
    <xf numFmtId="171" fontId="29" fillId="5" borderId="59" xfId="5" applyNumberFormat="1" applyFont="1" applyFill="1" applyBorder="1" applyAlignment="1">
      <alignment horizontal="center" vertical="center"/>
    </xf>
    <xf numFmtId="171" fontId="10" fillId="5" borderId="59" xfId="5" applyNumberFormat="1" applyFont="1" applyFill="1" applyBorder="1" applyAlignment="1">
      <alignment horizontal="center" vertical="center"/>
    </xf>
    <xf numFmtId="171" fontId="29" fillId="0" borderId="59" xfId="5" applyNumberFormat="1" applyFont="1" applyBorder="1" applyAlignment="1">
      <alignment horizontal="center" vertical="center"/>
    </xf>
    <xf numFmtId="174" fontId="10" fillId="0" borderId="59" xfId="5" applyNumberFormat="1" applyFont="1" applyBorder="1"/>
    <xf numFmtId="174" fontId="10" fillId="0" borderId="56" xfId="5" applyNumberFormat="1" applyFont="1" applyBorder="1"/>
    <xf numFmtId="171" fontId="10" fillId="0" borderId="59" xfId="2" applyNumberFormat="1" applyFont="1" applyBorder="1" applyAlignment="1">
      <alignment horizontal="center" vertical="center"/>
    </xf>
    <xf numFmtId="9" fontId="29" fillId="5" borderId="59" xfId="2" applyFont="1" applyFill="1" applyBorder="1" applyAlignment="1">
      <alignment horizontal="center" vertical="center"/>
    </xf>
    <xf numFmtId="9" fontId="29" fillId="5" borderId="56" xfId="2" applyFont="1" applyFill="1" applyBorder="1" applyAlignment="1">
      <alignment horizontal="center" vertical="center"/>
    </xf>
    <xf numFmtId="0" fontId="4" fillId="2" borderId="56" xfId="5" applyFont="1" applyFill="1" applyBorder="1"/>
    <xf numFmtId="2" fontId="10" fillId="0" borderId="59" xfId="5" applyNumberFormat="1" applyFont="1" applyBorder="1" applyAlignment="1">
      <alignment horizontal="center" vertical="center"/>
    </xf>
    <xf numFmtId="2" fontId="10" fillId="0" borderId="56" xfId="5" applyNumberFormat="1" applyFont="1" applyBorder="1" applyAlignment="1">
      <alignment horizontal="center" vertical="center"/>
    </xf>
    <xf numFmtId="2" fontId="29" fillId="5" borderId="59" xfId="2" applyNumberFormat="1" applyFont="1" applyFill="1" applyBorder="1" applyAlignment="1">
      <alignment horizontal="center" vertical="center"/>
    </xf>
    <xf numFmtId="2" fontId="29" fillId="5" borderId="56" xfId="2" applyNumberFormat="1" applyFont="1" applyFill="1" applyBorder="1" applyAlignment="1">
      <alignment horizontal="center" vertical="center"/>
    </xf>
    <xf numFmtId="2" fontId="10" fillId="5" borderId="56" xfId="5" applyNumberFormat="1" applyFont="1" applyFill="1" applyBorder="1" applyAlignment="1">
      <alignment horizontal="center" vertical="center"/>
    </xf>
    <xf numFmtId="0" fontId="4" fillId="2" borderId="59" xfId="5" applyFont="1" applyFill="1" applyBorder="1"/>
    <xf numFmtId="4" fontId="10" fillId="0" borderId="59" xfId="5" applyNumberFormat="1" applyFont="1" applyBorder="1" applyAlignment="1">
      <alignment horizontal="center" vertical="center"/>
    </xf>
    <xf numFmtId="2" fontId="10" fillId="0" borderId="56" xfId="2" applyNumberFormat="1" applyFont="1" applyBorder="1" applyAlignment="1">
      <alignment horizontal="center" vertical="center"/>
    </xf>
    <xf numFmtId="4" fontId="10" fillId="0" borderId="59" xfId="5" applyNumberFormat="1" applyFont="1" applyBorder="1" applyAlignment="1">
      <alignment horizontal="center"/>
    </xf>
    <xf numFmtId="2" fontId="10" fillId="0" borderId="56" xfId="2" applyNumberFormat="1" applyFont="1" applyBorder="1" applyAlignment="1">
      <alignment horizontal="center"/>
    </xf>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2" xfId="5" applyFont="1" applyFill="1" applyBorder="1"/>
    <xf numFmtId="2" fontId="10" fillId="0" borderId="62" xfId="5" applyNumberFormat="1" applyFont="1" applyBorder="1" applyAlignment="1">
      <alignment horizontal="center"/>
    </xf>
    <xf numFmtId="171"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5" applyNumberFormat="1" applyFont="1"/>
    <xf numFmtId="175" fontId="5" fillId="0" borderId="0" xfId="5" applyNumberFormat="1" applyFont="1" applyAlignment="1">
      <alignment horizontal="center"/>
    </xf>
    <xf numFmtId="2" fontId="29" fillId="0" borderId="59" xfId="5" applyNumberFormat="1" applyFont="1" applyBorder="1" applyAlignment="1">
      <alignment horizontal="center" vertical="center"/>
    </xf>
    <xf numFmtId="2" fontId="29" fillId="0" borderId="56" xfId="5" applyNumberFormat="1" applyFont="1" applyBorder="1" applyAlignment="1">
      <alignment horizontal="center" vertical="center"/>
    </xf>
    <xf numFmtId="4" fontId="29" fillId="0" borderId="59" xfId="5" applyNumberFormat="1" applyFont="1" applyBorder="1" applyAlignment="1">
      <alignment horizontal="center" vertical="center"/>
    </xf>
    <xf numFmtId="2" fontId="29" fillId="0" borderId="56" xfId="2" applyNumberFormat="1" applyFont="1" applyBorder="1" applyAlignment="1">
      <alignment horizontal="center" vertical="center"/>
    </xf>
    <xf numFmtId="2" fontId="29" fillId="0" borderId="0" xfId="2" applyNumberFormat="1" applyFont="1" applyBorder="1" applyAlignment="1">
      <alignment horizontal="center" vertical="center"/>
    </xf>
    <xf numFmtId="4" fontId="29" fillId="0" borderId="0" xfId="5" applyNumberFormat="1" applyFont="1" applyAlignment="1">
      <alignment horizontal="center" vertical="center"/>
    </xf>
    <xf numFmtId="2" fontId="10" fillId="5" borderId="0" xfId="5" applyNumberFormat="1" applyFont="1" applyFill="1" applyAlignment="1">
      <alignment horizontal="center" vertical="center"/>
    </xf>
    <xf numFmtId="0" fontId="7" fillId="0" borderId="52" xfId="5" applyFont="1" applyBorder="1" applyAlignment="1">
      <alignment vertical="center"/>
    </xf>
    <xf numFmtId="0" fontId="32" fillId="0" borderId="52" xfId="5" applyFont="1" applyBorder="1" applyAlignment="1">
      <alignment vertical="center"/>
    </xf>
    <xf numFmtId="171" fontId="10" fillId="0" borderId="52" xfId="5" applyNumberFormat="1" applyFont="1" applyBorder="1" applyAlignment="1">
      <alignment horizontal="center" vertical="center"/>
    </xf>
    <xf numFmtId="171" fontId="10" fillId="0" borderId="57" xfId="5" applyNumberFormat="1" applyFont="1" applyBorder="1" applyAlignment="1">
      <alignment horizontal="center" vertical="center"/>
    </xf>
    <xf numFmtId="171" fontId="10" fillId="0" borderId="60" xfId="5" applyNumberFormat="1" applyFont="1" applyBorder="1" applyAlignment="1">
      <alignment horizontal="center" vertical="center"/>
    </xf>
    <xf numFmtId="171" fontId="10" fillId="0" borderId="60" xfId="2" applyNumberFormat="1" applyFont="1" applyBorder="1" applyAlignment="1">
      <alignment horizontal="center" vertical="center"/>
    </xf>
    <xf numFmtId="2" fontId="10" fillId="0" borderId="60" xfId="5" applyNumberFormat="1" applyFont="1" applyBorder="1" applyAlignment="1">
      <alignment horizontal="center" vertical="center"/>
    </xf>
    <xf numFmtId="2" fontId="10" fillId="0" borderId="57" xfId="5" applyNumberFormat="1" applyFont="1" applyBorder="1" applyAlignment="1">
      <alignment horizontal="center" vertical="center"/>
    </xf>
    <xf numFmtId="4" fontId="10" fillId="0" borderId="60" xfId="5" applyNumberFormat="1" applyFont="1" applyBorder="1" applyAlignment="1">
      <alignment horizontal="center" vertical="center"/>
    </xf>
    <xf numFmtId="2" fontId="10" fillId="0" borderId="57" xfId="2" applyNumberFormat="1" applyFont="1" applyBorder="1" applyAlignment="1">
      <alignment horizontal="center" vertical="center"/>
    </xf>
    <xf numFmtId="2" fontId="10" fillId="0" borderId="52" xfId="2" applyNumberFormat="1" applyFont="1" applyBorder="1" applyAlignment="1">
      <alignment horizontal="center" vertical="center"/>
    </xf>
    <xf numFmtId="4" fontId="10" fillId="0" borderId="52" xfId="5" applyNumberFormat="1" applyFont="1" applyBorder="1" applyAlignment="1">
      <alignment horizontal="center" vertical="center"/>
    </xf>
    <xf numFmtId="0" fontId="58" fillId="0" borderId="0" xfId="0" applyFont="1"/>
    <xf numFmtId="0" fontId="59" fillId="0" borderId="0" xfId="0" applyFont="1"/>
    <xf numFmtId="0" fontId="58" fillId="5" borderId="0" xfId="0" applyFont="1" applyFill="1"/>
    <xf numFmtId="0" fontId="60" fillId="0" borderId="0" xfId="0" applyFont="1" applyAlignment="1">
      <alignment horizontal="left" indent="2"/>
    </xf>
    <xf numFmtId="0" fontId="58" fillId="2" borderId="0" xfId="0" applyFont="1" applyFill="1"/>
    <xf numFmtId="0" fontId="59" fillId="2" borderId="0" xfId="0" applyFont="1" applyFill="1"/>
    <xf numFmtId="0" fontId="59" fillId="5" borderId="0" xfId="0" applyFont="1" applyFill="1"/>
    <xf numFmtId="0" fontId="61" fillId="0" borderId="0" xfId="0" applyFont="1"/>
    <xf numFmtId="0" fontId="62"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7" fontId="4" fillId="2" borderId="5" xfId="0" applyNumberFormat="1" applyFont="1" applyFill="1" applyBorder="1" applyAlignment="1">
      <alignment horizontal="right"/>
    </xf>
    <xf numFmtId="172" fontId="11" fillId="0" borderId="0" xfId="0" applyNumberFormat="1" applyFont="1" applyAlignment="1">
      <alignment horizontal="right"/>
    </xf>
    <xf numFmtId="171" fontId="11" fillId="0" borderId="5" xfId="2" applyNumberFormat="1" applyFont="1" applyBorder="1" applyAlignment="1">
      <alignment horizontal="right"/>
    </xf>
    <xf numFmtId="172" fontId="11" fillId="0" borderId="5" xfId="2" applyNumberFormat="1" applyFont="1" applyBorder="1" applyAlignment="1">
      <alignment horizontal="right"/>
    </xf>
    <xf numFmtId="172" fontId="11" fillId="0" borderId="5" xfId="1" applyNumberFormat="1" applyFont="1" applyBorder="1" applyAlignment="1">
      <alignment horizontal="right"/>
    </xf>
    <xf numFmtId="3" fontId="11" fillId="0" borderId="5" xfId="0" applyNumberFormat="1" applyFont="1" applyBorder="1" applyAlignment="1">
      <alignment horizontal="right"/>
    </xf>
    <xf numFmtId="171" fontId="11" fillId="0" borderId="63"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0" xfId="0" applyNumberFormat="1" applyFont="1" applyBorder="1" applyAlignment="1">
      <alignment horizontal="right"/>
    </xf>
    <xf numFmtId="171" fontId="11" fillId="0" borderId="6" xfId="2" applyNumberFormat="1" applyFont="1" applyBorder="1" applyAlignment="1">
      <alignment horizontal="right"/>
    </xf>
    <xf numFmtId="3" fontId="11" fillId="0" borderId="50"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1" fontId="11" fillId="3" borderId="63"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4" xfId="0" applyFont="1" applyFill="1" applyBorder="1"/>
    <xf numFmtId="0" fontId="17" fillId="5" borderId="65"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70" fontId="5" fillId="0" borderId="0" xfId="0" applyNumberFormat="1" applyFont="1"/>
    <xf numFmtId="171" fontId="13" fillId="5" borderId="26" xfId="2" applyNumberFormat="1" applyFont="1" applyFill="1" applyBorder="1"/>
    <xf numFmtId="171" fontId="12" fillId="5" borderId="27" xfId="2" applyNumberFormat="1" applyFont="1" applyFill="1" applyBorder="1"/>
    <xf numFmtId="171" fontId="12" fillId="5" borderId="28" xfId="2" applyNumberFormat="1" applyFont="1" applyFill="1" applyBorder="1"/>
    <xf numFmtId="171" fontId="13" fillId="5" borderId="27" xfId="2" applyNumberFormat="1" applyFont="1" applyFill="1" applyBorder="1"/>
    <xf numFmtId="1" fontId="35" fillId="5" borderId="24" xfId="0" applyNumberFormat="1" applyFont="1" applyFill="1" applyBorder="1" applyAlignment="1">
      <alignment horizontal="center"/>
    </xf>
    <xf numFmtId="10" fontId="12" fillId="5" borderId="24" xfId="2" applyNumberFormat="1" applyFont="1" applyFill="1" applyBorder="1" applyAlignment="1">
      <alignment horizontal="center"/>
    </xf>
    <xf numFmtId="10" fontId="36" fillId="5" borderId="24" xfId="0" applyNumberFormat="1" applyFont="1" applyFill="1" applyBorder="1" applyAlignment="1">
      <alignment horizontal="center"/>
    </xf>
    <xf numFmtId="10" fontId="37" fillId="5" borderId="24" xfId="0" applyNumberFormat="1" applyFont="1" applyFill="1" applyBorder="1" applyAlignment="1">
      <alignment horizontal="center"/>
    </xf>
    <xf numFmtId="10" fontId="35" fillId="5" borderId="24" xfId="0" applyNumberFormat="1" applyFont="1" applyFill="1" applyBorder="1" applyAlignment="1">
      <alignment horizontal="center"/>
    </xf>
    <xf numFmtId="10" fontId="36" fillId="5" borderId="24" xfId="2" applyNumberFormat="1" applyFont="1" applyFill="1" applyBorder="1" applyAlignment="1">
      <alignment horizontal="center"/>
    </xf>
    <xf numFmtId="0" fontId="63" fillId="0" borderId="0" xfId="0" applyFont="1" applyAlignment="1">
      <alignment horizontal="left" vertical="top" indent="1"/>
    </xf>
    <xf numFmtId="0" fontId="8" fillId="0" borderId="0" xfId="5" applyFont="1"/>
    <xf numFmtId="172" fontId="11" fillId="0" borderId="49"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0" fontId="58" fillId="0" borderId="10" xfId="0" applyFont="1" applyBorder="1"/>
    <xf numFmtId="167" fontId="4" fillId="0" borderId="10" xfId="0" applyNumberFormat="1" applyFont="1" applyBorder="1"/>
    <xf numFmtId="169" fontId="0" fillId="0" borderId="10" xfId="1" applyNumberFormat="1" applyFont="1" applyFill="1" applyBorder="1" applyAlignment="1">
      <alignment horizontal="right"/>
    </xf>
    <xf numFmtId="0" fontId="0" fillId="0" borderId="10" xfId="0" applyBorder="1"/>
    <xf numFmtId="166" fontId="4" fillId="0" borderId="10" xfId="0" applyNumberFormat="1" applyFont="1" applyBorder="1"/>
    <xf numFmtId="0" fontId="65" fillId="0" borderId="0" xfId="3" applyFont="1" applyBorder="1" applyAlignment="1"/>
    <xf numFmtId="49" fontId="57" fillId="0" borderId="0" xfId="0" applyNumberFormat="1" applyFont="1"/>
    <xf numFmtId="0" fontId="0" fillId="0" borderId="45" xfId="0" applyBorder="1"/>
    <xf numFmtId="0" fontId="0" fillId="0" borderId="41" xfId="0" applyBorder="1"/>
    <xf numFmtId="0" fontId="0" fillId="0" borderId="13" xfId="0" applyBorder="1"/>
    <xf numFmtId="0" fontId="0" fillId="0" borderId="15" xfId="0" applyBorder="1"/>
    <xf numFmtId="173" fontId="13" fillId="0" borderId="71" xfId="0" applyNumberFormat="1" applyFont="1" applyBorder="1"/>
    <xf numFmtId="173" fontId="13" fillId="0" borderId="72" xfId="0" applyNumberFormat="1" applyFont="1" applyBorder="1"/>
    <xf numFmtId="173"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3" xfId="0" applyBorder="1"/>
    <xf numFmtId="0" fontId="17" fillId="0" borderId="0" xfId="0" applyFont="1"/>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7" borderId="0" xfId="0" applyNumberFormat="1" applyFont="1" applyFill="1"/>
    <xf numFmtId="9" fontId="13" fillId="7" borderId="0" xfId="0" applyNumberFormat="1" applyFont="1" applyFill="1" applyAlignment="1">
      <alignment horizontal="right"/>
    </xf>
    <xf numFmtId="9" fontId="13" fillId="7"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0" fontId="0" fillId="0" borderId="0" xfId="0" applyAlignment="1">
      <alignment vertical="top"/>
    </xf>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4" xfId="5" applyFont="1" applyFill="1" applyBorder="1"/>
    <xf numFmtId="0" fontId="10" fillId="5" borderId="17" xfId="5" applyFont="1" applyFill="1" applyBorder="1"/>
    <xf numFmtId="37" fontId="32" fillId="3" borderId="43" xfId="8" applyNumberFormat="1" applyFont="1" applyFill="1" applyBorder="1" applyAlignment="1">
      <alignment horizontal="center" wrapText="1"/>
    </xf>
    <xf numFmtId="0" fontId="10" fillId="2" borderId="43" xfId="5" applyFont="1" applyFill="1" applyBorder="1"/>
    <xf numFmtId="0" fontId="10" fillId="5" borderId="43" xfId="5" applyFont="1" applyFill="1" applyBorder="1"/>
    <xf numFmtId="0" fontId="55" fillId="5" borderId="17" xfId="5" applyFont="1" applyFill="1" applyBorder="1"/>
    <xf numFmtId="37" fontId="32" fillId="3" borderId="17" xfId="8" applyNumberFormat="1" applyFont="1" applyFill="1" applyBorder="1" applyAlignment="1">
      <alignment horizontal="center" wrapText="1"/>
    </xf>
    <xf numFmtId="37" fontId="2" fillId="0" borderId="17" xfId="8" applyNumberFormat="1" applyFont="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4" fillId="2" borderId="43" xfId="5" applyFont="1" applyFill="1" applyBorder="1" applyAlignment="1">
      <alignment horizontal="center" vertical="center" wrapText="1"/>
    </xf>
    <xf numFmtId="0" fontId="55" fillId="5" borderId="43" xfId="5" applyFont="1" applyFill="1" applyBorder="1"/>
    <xf numFmtId="37" fontId="32" fillId="3" borderId="75" xfId="8" applyNumberFormat="1" applyFont="1" applyFill="1" applyBorder="1" applyAlignment="1">
      <alignment horizontal="center"/>
    </xf>
    <xf numFmtId="37" fontId="32" fillId="3" borderId="43" xfId="8" applyNumberFormat="1" applyFont="1" applyFill="1" applyBorder="1" applyAlignment="1">
      <alignment horizontal="center"/>
    </xf>
    <xf numFmtId="37" fontId="2" fillId="4" borderId="43" xfId="8" applyNumberFormat="1" applyFont="1" applyFill="1" applyBorder="1" applyAlignment="1">
      <alignment horizontal="center" wrapText="1"/>
    </xf>
    <xf numFmtId="39" fontId="32" fillId="3" borderId="43" xfId="8" applyNumberFormat="1" applyFont="1" applyFill="1" applyBorder="1" applyAlignment="1">
      <alignment horizontal="center" wrapText="1"/>
    </xf>
    <xf numFmtId="1" fontId="28" fillId="0" borderId="43" xfId="8" applyNumberFormat="1" applyFont="1" applyBorder="1" applyAlignment="1">
      <alignment horizontal="center" wrapText="1"/>
    </xf>
    <xf numFmtId="37" fontId="7" fillId="0" borderId="43" xfId="8" applyNumberFormat="1" applyFont="1" applyBorder="1" applyAlignment="1">
      <alignment horizontal="center"/>
    </xf>
    <xf numFmtId="37" fontId="7" fillId="3" borderId="43" xfId="8" applyNumberFormat="1" applyFont="1" applyFill="1" applyBorder="1" applyAlignment="1">
      <alignment horizontal="center" wrapText="1"/>
    </xf>
    <xf numFmtId="169"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3" fontId="20" fillId="0" borderId="0" xfId="0" applyNumberFormat="1" applyFont="1"/>
    <xf numFmtId="0" fontId="66" fillId="9" borderId="0" xfId="0" applyFont="1" applyFill="1"/>
    <xf numFmtId="0" fontId="67" fillId="9" borderId="0" xfId="0" applyFont="1" applyFill="1"/>
    <xf numFmtId="0" fontId="67" fillId="10"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0" fontId="2" fillId="0" borderId="0" xfId="0" applyFont="1" applyAlignment="1">
      <alignment indent="1"/>
    </xf>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6" fontId="4" fillId="0" borderId="0" xfId="0" applyNumberFormat="1" applyFont="1"/>
    <xf numFmtId="0" fontId="3" fillId="0" borderId="0" xfId="0" applyFont="1" applyAlignment="1">
      <alignment vertical="center"/>
    </xf>
    <xf numFmtId="171" fontId="12" fillId="0" borderId="0" xfId="4" applyNumberFormat="1" applyFont="1" applyAlignment="1"/>
    <xf numFmtId="0" fontId="29" fillId="2" borderId="0" xfId="5" applyFont="1" applyFill="1"/>
    <xf numFmtId="1" fontId="14" fillId="0" borderId="0" xfId="5" applyNumberFormat="1" applyAlignment="1">
      <alignment vertical="center"/>
    </xf>
    <xf numFmtId="0" fontId="68" fillId="0" borderId="0" xfId="0" applyFont="1"/>
    <xf numFmtId="0" fontId="69" fillId="0" borderId="9" xfId="0" applyFont="1" applyBorder="1"/>
    <xf numFmtId="0" fontId="0" fillId="0" borderId="76" xfId="0" applyBorder="1"/>
    <xf numFmtId="0" fontId="3" fillId="0" borderId="12" xfId="0" applyFont="1" applyBorder="1" applyAlignment="1">
      <alignment horizontal="center"/>
    </xf>
    <xf numFmtId="1" fontId="0" fillId="0" borderId="15" xfId="2" applyNumberFormat="1" applyFont="1" applyBorder="1"/>
    <xf numFmtId="1" fontId="2" fillId="0" borderId="14" xfId="2" applyNumberFormat="1" applyFont="1" applyBorder="1"/>
    <xf numFmtId="1" fontId="2" fillId="0" borderId="16" xfId="2" applyNumberFormat="1" applyFont="1" applyBorder="1"/>
    <xf numFmtId="1" fontId="2" fillId="0" borderId="14" xfId="2" applyNumberFormat="1" applyFont="1" applyFill="1" applyBorder="1"/>
    <xf numFmtId="0" fontId="16" fillId="5" borderId="0" xfId="0" applyFont="1" applyFill="1" applyAlignment="1">
      <alignment vertical="center"/>
    </xf>
    <xf numFmtId="0" fontId="70" fillId="0" borderId="0" xfId="0" applyFont="1"/>
    <xf numFmtId="0" fontId="17" fillId="5" borderId="0" xfId="0" applyFont="1" applyFill="1"/>
    <xf numFmtId="10" fontId="0" fillId="0" borderId="14" xfId="2" applyNumberFormat="1" applyFont="1" applyFill="1" applyBorder="1"/>
    <xf numFmtId="171" fontId="0" fillId="0" borderId="0" xfId="2" applyNumberFormat="1" applyFont="1" applyAlignment="1">
      <alignment horizontal="center"/>
    </xf>
    <xf numFmtId="171" fontId="0" fillId="0" borderId="15" xfId="2" applyNumberFormat="1" applyFont="1" applyBorder="1"/>
    <xf numFmtId="172"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0" fontId="6" fillId="2"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0" fontId="3" fillId="0" borderId="14" xfId="0" applyFont="1" applyBorder="1"/>
    <xf numFmtId="176" fontId="3" fillId="0" borderId="0" xfId="0" applyNumberFormat="1" applyFont="1"/>
    <xf numFmtId="171" fontId="2" fillId="0" borderId="0" xfId="2" applyNumberFormat="1" applyFont="1"/>
    <xf numFmtId="3" fontId="10" fillId="0" borderId="0" xfId="0" applyNumberFormat="1" applyFont="1"/>
    <xf numFmtId="0" fontId="63" fillId="0" borderId="8" xfId="0" applyFont="1" applyBorder="1" applyAlignment="1">
      <alignment horizontal="left" vertical="top" indent="1"/>
    </xf>
    <xf numFmtId="0" fontId="63" fillId="0" borderId="0" xfId="3" applyFont="1" applyBorder="1" applyAlignment="1">
      <alignment horizontal="left" indent="1"/>
    </xf>
    <xf numFmtId="0" fontId="63" fillId="0" borderId="0" xfId="3" applyFont="1" applyAlignment="1">
      <alignment horizontal="left" indent="1"/>
    </xf>
    <xf numFmtId="0" fontId="72" fillId="11" borderId="0" xfId="0" applyFont="1" applyFill="1"/>
    <xf numFmtId="0" fontId="73" fillId="11" borderId="41" xfId="0" applyFont="1" applyFill="1" applyBorder="1" applyAlignment="1">
      <alignment readingOrder="1"/>
    </xf>
    <xf numFmtId="0" fontId="73" fillId="11" borderId="0" xfId="0" applyFont="1" applyFill="1" applyAlignment="1">
      <alignment readingOrder="1"/>
    </xf>
    <xf numFmtId="0" fontId="74" fillId="12" borderId="0" xfId="0" applyFont="1" applyFill="1"/>
    <xf numFmtId="0" fontId="75" fillId="11" borderId="78" xfId="0" applyFont="1" applyFill="1" applyBorder="1"/>
    <xf numFmtId="0" fontId="75" fillId="11" borderId="79" xfId="0" applyFont="1" applyFill="1" applyBorder="1"/>
    <xf numFmtId="0" fontId="75" fillId="11" borderId="42" xfId="0" applyFont="1" applyFill="1" applyBorder="1"/>
    <xf numFmtId="0" fontId="75" fillId="11" borderId="80" xfId="0" applyFont="1" applyFill="1" applyBorder="1"/>
    <xf numFmtId="14" fontId="75" fillId="11" borderId="80" xfId="0" applyNumberFormat="1" applyFont="1" applyFill="1" applyBorder="1"/>
    <xf numFmtId="0" fontId="76" fillId="12" borderId="17" xfId="0" applyFont="1" applyFill="1" applyBorder="1"/>
    <xf numFmtId="4" fontId="76" fillId="12" borderId="17" xfId="0" applyNumberFormat="1" applyFont="1" applyFill="1" applyBorder="1"/>
    <xf numFmtId="0" fontId="76" fillId="13" borderId="17" xfId="0" applyFont="1" applyFill="1" applyBorder="1"/>
    <xf numFmtId="4" fontId="76" fillId="13" borderId="17" xfId="0" applyNumberFormat="1" applyFont="1" applyFill="1" applyBorder="1"/>
    <xf numFmtId="0" fontId="77" fillId="12" borderId="81" xfId="0" applyFont="1" applyFill="1" applyBorder="1"/>
    <xf numFmtId="0" fontId="78" fillId="12" borderId="17" xfId="0" applyFont="1" applyFill="1" applyBorder="1"/>
    <xf numFmtId="4" fontId="78" fillId="12" borderId="17" xfId="0" applyNumberFormat="1" applyFont="1" applyFill="1" applyBorder="1"/>
    <xf numFmtId="0" fontId="78" fillId="13" borderId="17" xfId="0" applyFont="1" applyFill="1" applyBorder="1"/>
    <xf numFmtId="4" fontId="78" fillId="13" borderId="17" xfId="0" applyNumberFormat="1" applyFont="1" applyFill="1" applyBorder="1"/>
    <xf numFmtId="0" fontId="80" fillId="12" borderId="17" xfId="0" applyFont="1" applyFill="1" applyBorder="1"/>
    <xf numFmtId="0" fontId="80" fillId="13" borderId="17" xfId="0" applyFont="1" applyFill="1" applyBorder="1"/>
    <xf numFmtId="4" fontId="80" fillId="12" borderId="17" xfId="0" applyNumberFormat="1" applyFont="1" applyFill="1" applyBorder="1"/>
    <xf numFmtId="4" fontId="80" fillId="13" borderId="17" xfId="0" applyNumberFormat="1" applyFont="1" applyFill="1" applyBorder="1"/>
    <xf numFmtId="0" fontId="80" fillId="14" borderId="45" xfId="0" applyFont="1" applyFill="1" applyBorder="1"/>
    <xf numFmtId="0" fontId="80" fillId="14" borderId="0" xfId="0" applyFont="1" applyFill="1"/>
    <xf numFmtId="0" fontId="72" fillId="11" borderId="0" xfId="0" applyFont="1" applyFill="1" applyAlignment="1">
      <alignment wrapText="1"/>
    </xf>
    <xf numFmtId="0" fontId="73" fillId="11" borderId="41" xfId="0" applyFont="1" applyFill="1" applyBorder="1" applyAlignment="1">
      <alignment wrapText="1" readingOrder="1"/>
    </xf>
    <xf numFmtId="0" fontId="73" fillId="11" borderId="0" xfId="0" applyFont="1" applyFill="1" applyAlignment="1">
      <alignment wrapText="1" readingOrder="1"/>
    </xf>
    <xf numFmtId="0" fontId="74" fillId="12" borderId="0" xfId="0" applyFont="1" applyFill="1" applyAlignment="1">
      <alignment wrapText="1"/>
    </xf>
    <xf numFmtId="0" fontId="75" fillId="11" borderId="78" xfId="0" applyFont="1" applyFill="1" applyBorder="1" applyAlignment="1">
      <alignment wrapText="1"/>
    </xf>
    <xf numFmtId="0" fontId="75" fillId="11" borderId="79" xfId="0" applyFont="1" applyFill="1" applyBorder="1" applyAlignment="1">
      <alignment wrapText="1"/>
    </xf>
    <xf numFmtId="0" fontId="75" fillId="11" borderId="42" xfId="0" applyFont="1" applyFill="1" applyBorder="1" applyAlignment="1">
      <alignment wrapText="1"/>
    </xf>
    <xf numFmtId="14" fontId="75" fillId="11" borderId="80" xfId="0" applyNumberFormat="1" applyFont="1" applyFill="1" applyBorder="1" applyAlignment="1">
      <alignment wrapText="1"/>
    </xf>
    <xf numFmtId="0" fontId="76" fillId="12" borderId="81" xfId="0" applyFont="1" applyFill="1" applyBorder="1" applyAlignment="1">
      <alignment wrapText="1"/>
    </xf>
    <xf numFmtId="4" fontId="76" fillId="12" borderId="43" xfId="0" applyNumberFormat="1" applyFont="1" applyFill="1" applyBorder="1" applyAlignment="1">
      <alignment wrapText="1"/>
    </xf>
    <xf numFmtId="0" fontId="77" fillId="12" borderId="81" xfId="0" applyFont="1" applyFill="1" applyBorder="1" applyAlignment="1">
      <alignment wrapText="1"/>
    </xf>
    <xf numFmtId="4" fontId="78" fillId="12" borderId="43" xfId="0" applyNumberFormat="1" applyFont="1" applyFill="1" applyBorder="1" applyAlignment="1">
      <alignment wrapText="1"/>
    </xf>
    <xf numFmtId="0" fontId="78" fillId="12" borderId="43" xfId="0" applyFont="1" applyFill="1" applyBorder="1" applyAlignment="1">
      <alignment wrapText="1"/>
    </xf>
    <xf numFmtId="0" fontId="79" fillId="12" borderId="81" xfId="0" applyFont="1" applyFill="1" applyBorder="1" applyAlignment="1">
      <alignment wrapText="1"/>
    </xf>
    <xf numFmtId="0" fontId="80" fillId="12" borderId="43" xfId="0" applyFont="1" applyFill="1" applyBorder="1" applyAlignment="1">
      <alignment wrapText="1"/>
    </xf>
    <xf numFmtId="0" fontId="76" fillId="12" borderId="17" xfId="0" applyFont="1" applyFill="1" applyBorder="1" applyAlignment="1">
      <alignment wrapText="1"/>
    </xf>
    <xf numFmtId="0" fontId="80" fillId="14" borderId="45" xfId="0" applyFont="1" applyFill="1" applyBorder="1" applyAlignment="1">
      <alignment wrapText="1"/>
    </xf>
    <xf numFmtId="37" fontId="28" fillId="0" borderId="0" xfId="0" applyNumberFormat="1" applyFont="1" applyAlignment="1">
      <alignment horizontal="right"/>
    </xf>
    <xf numFmtId="0" fontId="81" fillId="0" borderId="0" xfId="0" applyFont="1"/>
    <xf numFmtId="11" fontId="81" fillId="0" borderId="0" xfId="0" applyNumberFormat="1" applyFont="1"/>
    <xf numFmtId="0" fontId="79" fillId="0" borderId="0" xfId="0" applyFont="1"/>
    <xf numFmtId="181" fontId="28" fillId="3" borderId="0" xfId="0" applyNumberFormat="1" applyFont="1" applyFill="1" applyAlignment="1">
      <alignment horizontal="right"/>
    </xf>
    <xf numFmtId="2" fontId="28" fillId="3" borderId="0" xfId="0" applyNumberFormat="1" applyFont="1" applyFill="1" applyAlignment="1">
      <alignment horizontal="right"/>
    </xf>
    <xf numFmtId="0" fontId="28" fillId="3" borderId="0" xfId="0" applyFont="1" applyFill="1" applyAlignment="1">
      <alignment horizontal="right"/>
    </xf>
    <xf numFmtId="14" fontId="0" fillId="0" borderId="0" xfId="0" applyNumberFormat="1"/>
    <xf numFmtId="0" fontId="76" fillId="12" borderId="43" xfId="0" applyFont="1" applyFill="1" applyBorder="1"/>
    <xf numFmtId="4" fontId="76" fillId="12" borderId="43" xfId="0" applyNumberFormat="1" applyFont="1" applyFill="1" applyBorder="1"/>
    <xf numFmtId="0" fontId="78" fillId="12" borderId="43" xfId="0" applyFont="1" applyFill="1" applyBorder="1"/>
    <xf numFmtId="4" fontId="78" fillId="12" borderId="43" xfId="0" applyNumberFormat="1" applyFont="1" applyFill="1" applyBorder="1"/>
    <xf numFmtId="0" fontId="80" fillId="12" borderId="43" xfId="0" applyFont="1" applyFill="1" applyBorder="1"/>
    <xf numFmtId="0" fontId="76" fillId="12" borderId="43" xfId="0" applyFont="1" applyFill="1" applyBorder="1" applyAlignment="1">
      <alignment wrapText="1"/>
    </xf>
    <xf numFmtId="4" fontId="80" fillId="12" borderId="43" xfId="0" applyNumberFormat="1" applyFont="1" applyFill="1" applyBorder="1"/>
    <xf numFmtId="4" fontId="80" fillId="12" borderId="43" xfId="0" applyNumberFormat="1" applyFont="1" applyFill="1" applyBorder="1" applyAlignment="1">
      <alignment wrapText="1"/>
    </xf>
    <xf numFmtId="0" fontId="0" fillId="0" borderId="0" xfId="0" applyAlignment="1">
      <alignment vertical="center" wrapText="1"/>
    </xf>
    <xf numFmtId="171" fontId="0" fillId="0" borderId="0" xfId="2" applyNumberFormat="1" applyFont="1" applyAlignment="1">
      <alignment wrapText="1"/>
    </xf>
    <xf numFmtId="171" fontId="3" fillId="0" borderId="0" xfId="2" applyNumberFormat="1" applyFont="1" applyAlignment="1">
      <alignment horizontal="center"/>
    </xf>
    <xf numFmtId="0" fontId="0" fillId="0" borderId="0" xfId="0" applyAlignment="1">
      <alignment wrapText="1"/>
    </xf>
    <xf numFmtId="37" fontId="28" fillId="3" borderId="54" xfId="8" applyNumberFormat="1" applyFont="1" applyFill="1" applyBorder="1" applyAlignment="1">
      <alignment horizontal="center"/>
    </xf>
    <xf numFmtId="37" fontId="28" fillId="3" borderId="53" xfId="8" applyNumberFormat="1" applyFont="1" applyFill="1" applyBorder="1" applyAlignment="1">
      <alignment horizontal="center"/>
    </xf>
    <xf numFmtId="37" fontId="28" fillId="3" borderId="53" xfId="8" applyNumberFormat="1" applyFont="1" applyFill="1" applyBorder="1" applyAlignment="1">
      <alignment horizontal="center" wrapText="1"/>
    </xf>
    <xf numFmtId="37" fontId="28" fillId="3" borderId="43" xfId="8" applyNumberFormat="1" applyFont="1" applyFill="1" applyBorder="1" applyAlignment="1">
      <alignment horizontal="center" wrapText="1"/>
    </xf>
    <xf numFmtId="37" fontId="28" fillId="3" borderId="22" xfId="8" applyNumberFormat="1" applyFont="1" applyFill="1" applyBorder="1" applyAlignment="1">
      <alignment horizontal="center"/>
    </xf>
    <xf numFmtId="37" fontId="28" fillId="3" borderId="74" xfId="8" applyNumberFormat="1" applyFont="1" applyFill="1" applyBorder="1" applyAlignment="1">
      <alignment horizontal="center"/>
    </xf>
    <xf numFmtId="37" fontId="28" fillId="3" borderId="25" xfId="8" applyNumberFormat="1" applyFont="1" applyFill="1" applyBorder="1" applyAlignment="1">
      <alignment horizontal="center"/>
    </xf>
    <xf numFmtId="37" fontId="28" fillId="3" borderId="17" xfId="8" applyNumberFormat="1" applyFont="1" applyFill="1" applyBorder="1" applyAlignment="1">
      <alignment horizontal="center"/>
    </xf>
    <xf numFmtId="37" fontId="28" fillId="3" borderId="17" xfId="8" applyNumberFormat="1" applyFont="1" applyFill="1" applyBorder="1" applyAlignment="1">
      <alignment horizontal="center" wrapText="1"/>
    </xf>
    <xf numFmtId="37" fontId="28" fillId="3" borderId="25" xfId="8" applyNumberFormat="1" applyFont="1" applyFill="1" applyBorder="1" applyAlignment="1">
      <alignment horizontal="center" wrapText="1"/>
    </xf>
    <xf numFmtId="39" fontId="28" fillId="3" borderId="17" xfId="8" applyNumberFormat="1" applyFont="1" applyFill="1" applyBorder="1" applyAlignment="1">
      <alignment horizontal="center" wrapText="1"/>
    </xf>
    <xf numFmtId="37" fontId="28" fillId="0" borderId="0" xfId="8" applyNumberFormat="1" applyFont="1" applyAlignment="1">
      <alignment horizontal="center" wrapText="1"/>
    </xf>
    <xf numFmtId="37" fontId="0" fillId="3" borderId="25" xfId="0" applyNumberFormat="1" applyFill="1" applyBorder="1"/>
    <xf numFmtId="3" fontId="0" fillId="0" borderId="0" xfId="2" applyNumberFormat="1" applyFont="1" applyAlignment="1">
      <alignment horizontal="right"/>
    </xf>
    <xf numFmtId="10" fontId="28" fillId="0" borderId="0" xfId="2" applyNumberFormat="1" applyFont="1" applyFill="1" applyAlignment="1">
      <alignment horizontal="right"/>
    </xf>
    <xf numFmtId="0" fontId="39" fillId="0" borderId="0" xfId="0" applyFont="1" applyAlignment="1">
      <alignment horizontal="left" indent="1"/>
    </xf>
    <xf numFmtId="0" fontId="12" fillId="4" borderId="0" xfId="0" applyFont="1" applyFill="1"/>
    <xf numFmtId="3" fontId="12" fillId="4" borderId="0" xfId="0" applyNumberFormat="1" applyFont="1" applyFill="1"/>
    <xf numFmtId="2" fontId="12" fillId="4" borderId="0" xfId="0" applyNumberFormat="1" applyFont="1" applyFill="1"/>
    <xf numFmtId="0" fontId="77" fillId="12" borderId="0" xfId="0" applyFont="1" applyFill="1"/>
    <xf numFmtId="37" fontId="28" fillId="3" borderId="0" xfId="0" applyNumberFormat="1" applyFont="1" applyFill="1"/>
    <xf numFmtId="37" fontId="28" fillId="3" borderId="0" xfId="0" applyNumberFormat="1" applyFont="1" applyFill="1" applyAlignment="1">
      <alignment horizontal="right" vertical="center"/>
    </xf>
    <xf numFmtId="0" fontId="82" fillId="0" borderId="0" xfId="0" applyFont="1"/>
    <xf numFmtId="10" fontId="82" fillId="0" borderId="0" xfId="0" applyNumberFormat="1" applyFont="1"/>
    <xf numFmtId="2" fontId="82" fillId="0" borderId="0" xfId="0" applyNumberFormat="1" applyFont="1"/>
    <xf numFmtId="4" fontId="0" fillId="3" borderId="23" xfId="2" applyNumberFormat="1" applyFont="1" applyFill="1" applyBorder="1"/>
    <xf numFmtId="0" fontId="79" fillId="0" borderId="0" xfId="0" applyFont="1" applyAlignment="1">
      <alignment wrapText="1"/>
    </xf>
    <xf numFmtId="3" fontId="78" fillId="12" borderId="43" xfId="0" applyNumberFormat="1" applyFont="1" applyFill="1" applyBorder="1" applyAlignment="1">
      <alignment wrapText="1"/>
    </xf>
    <xf numFmtId="3" fontId="76" fillId="12" borderId="43" xfId="0" applyNumberFormat="1" applyFont="1" applyFill="1" applyBorder="1" applyAlignment="1">
      <alignment wrapText="1"/>
    </xf>
    <xf numFmtId="0" fontId="75" fillId="11" borderId="80" xfId="0" applyFont="1" applyFill="1" applyBorder="1" applyAlignment="1">
      <alignment wrapText="1"/>
    </xf>
    <xf numFmtId="0" fontId="78" fillId="12" borderId="17" xfId="0" applyFont="1" applyFill="1" applyBorder="1" applyAlignment="1">
      <alignment wrapText="1"/>
    </xf>
    <xf numFmtId="3" fontId="0" fillId="0" borderId="0" xfId="2" applyNumberFormat="1" applyFont="1" applyFill="1" applyAlignment="1">
      <alignment horizontal="right"/>
    </xf>
    <xf numFmtId="1" fontId="0" fillId="0" borderId="0" xfId="2" applyNumberFormat="1" applyFont="1" applyFill="1" applyAlignment="1">
      <alignment horizontal="right"/>
    </xf>
    <xf numFmtId="3" fontId="10" fillId="0" borderId="0" xfId="5" applyNumberFormat="1" applyFont="1" applyAlignment="1">
      <alignment wrapText="1"/>
    </xf>
    <xf numFmtId="3" fontId="78" fillId="12" borderId="17" xfId="0" applyNumberFormat="1" applyFont="1" applyFill="1" applyBorder="1"/>
    <xf numFmtId="3" fontId="78" fillId="13" borderId="17" xfId="0" applyNumberFormat="1" applyFont="1" applyFill="1" applyBorder="1"/>
    <xf numFmtId="3" fontId="76" fillId="12" borderId="17" xfId="0" applyNumberFormat="1" applyFont="1" applyFill="1" applyBorder="1"/>
    <xf numFmtId="3" fontId="76" fillId="13" borderId="17" xfId="0" applyNumberFormat="1" applyFont="1" applyFill="1" applyBorder="1"/>
    <xf numFmtId="3" fontId="80" fillId="12" borderId="17" xfId="0" applyNumberFormat="1" applyFont="1" applyFill="1" applyBorder="1"/>
    <xf numFmtId="3" fontId="80" fillId="13" borderId="17" xfId="0" applyNumberFormat="1" applyFont="1" applyFill="1" applyBorder="1"/>
    <xf numFmtId="3" fontId="80" fillId="12" borderId="43" xfId="0" applyNumberFormat="1" applyFont="1" applyFill="1" applyBorder="1" applyAlignment="1">
      <alignment wrapText="1"/>
    </xf>
    <xf numFmtId="37" fontId="28" fillId="3" borderId="75" xfId="8" applyNumberFormat="1" applyFont="1" applyFill="1" applyBorder="1" applyAlignment="1">
      <alignment horizontal="center"/>
    </xf>
    <xf numFmtId="37" fontId="28" fillId="3" borderId="43" xfId="8" applyNumberFormat="1" applyFont="1" applyFill="1" applyBorder="1" applyAlignment="1">
      <alignment horizontal="center"/>
    </xf>
    <xf numFmtId="3" fontId="9" fillId="0" borderId="0" xfId="3" applyNumberFormat="1" applyFill="1" applyAlignment="1">
      <alignment horizontal="right"/>
    </xf>
    <xf numFmtId="0" fontId="83" fillId="0" borderId="0" xfId="0" applyFont="1"/>
    <xf numFmtId="0" fontId="4" fillId="2" borderId="0" xfId="5" applyFont="1" applyFill="1" applyAlignment="1">
      <alignment horizontal="right"/>
    </xf>
    <xf numFmtId="10" fontId="84" fillId="0" borderId="0" xfId="2" applyNumberFormat="1" applyFont="1" applyFill="1" applyBorder="1" applyAlignment="1">
      <alignment horizontal="center"/>
    </xf>
    <xf numFmtId="0" fontId="84" fillId="0" borderId="0" xfId="0" applyFont="1"/>
    <xf numFmtId="3" fontId="85" fillId="0" borderId="0" xfId="0" applyNumberFormat="1" applyFont="1"/>
    <xf numFmtId="10" fontId="85" fillId="0" borderId="0" xfId="2" applyNumberFormat="1" applyFont="1"/>
    <xf numFmtId="10" fontId="85" fillId="0" borderId="17" xfId="2" applyNumberFormat="1" applyFont="1" applyBorder="1"/>
    <xf numFmtId="3" fontId="37" fillId="0" borderId="17" xfId="0" applyNumberFormat="1" applyFont="1" applyBorder="1"/>
    <xf numFmtId="3" fontId="50" fillId="0" borderId="0" xfId="0" applyNumberFormat="1" applyFont="1"/>
    <xf numFmtId="3" fontId="50" fillId="0" borderId="17" xfId="0" applyNumberFormat="1" applyFont="1" applyBorder="1"/>
    <xf numFmtId="10" fontId="85" fillId="0" borderId="0" xfId="0" applyNumberFormat="1" applyFont="1"/>
    <xf numFmtId="10" fontId="85" fillId="0" borderId="17" xfId="0" applyNumberFormat="1" applyFont="1" applyBorder="1"/>
    <xf numFmtId="0" fontId="85" fillId="0" borderId="0" xfId="0" applyFont="1" applyAlignment="1">
      <alignment horizontal="left" indent="1"/>
    </xf>
    <xf numFmtId="10" fontId="86" fillId="0" borderId="0" xfId="2" applyNumberFormat="1" applyFont="1" applyFill="1" applyBorder="1" applyAlignment="1">
      <alignment horizontal="center"/>
    </xf>
    <xf numFmtId="0" fontId="86" fillId="0" borderId="0" xfId="0" applyFont="1"/>
    <xf numFmtId="0" fontId="10" fillId="4" borderId="0" xfId="0" applyFont="1" applyFill="1"/>
    <xf numFmtId="10" fontId="85" fillId="0" borderId="0" xfId="2" applyNumberFormat="1" applyFont="1" applyFill="1" applyBorder="1" applyAlignment="1">
      <alignment horizontal="center"/>
    </xf>
    <xf numFmtId="0" fontId="85" fillId="0" borderId="0" xfId="0" applyFont="1"/>
    <xf numFmtId="10" fontId="85" fillId="0" borderId="25" xfId="0" applyNumberFormat="1" applyFont="1" applyBorder="1"/>
    <xf numFmtId="0" fontId="87" fillId="0" borderId="0" xfId="0" applyFont="1"/>
    <xf numFmtId="4" fontId="85" fillId="0" borderId="0" xfId="0" applyNumberFormat="1" applyFont="1"/>
    <xf numFmtId="173" fontId="25" fillId="0" borderId="0" xfId="0" applyNumberFormat="1" applyFont="1"/>
    <xf numFmtId="10" fontId="47" fillId="3" borderId="0" xfId="0" applyNumberFormat="1" applyFont="1" applyFill="1"/>
    <xf numFmtId="10" fontId="32" fillId="3" borderId="0" xfId="2" applyNumberFormat="1" applyFont="1" applyFill="1"/>
    <xf numFmtId="10" fontId="10" fillId="4" borderId="0" xfId="0" applyNumberFormat="1" applyFont="1" applyFill="1"/>
    <xf numFmtId="14" fontId="4" fillId="2" borderId="0" xfId="5" applyNumberFormat="1" applyFont="1" applyFill="1" applyAlignment="1">
      <alignment horizontal="right"/>
    </xf>
    <xf numFmtId="182" fontId="10" fillId="0" borderId="0" xfId="5" applyNumberFormat="1" applyFont="1"/>
    <xf numFmtId="10" fontId="47" fillId="0" borderId="0" xfId="0" applyNumberFormat="1" applyFont="1"/>
    <xf numFmtId="0" fontId="87" fillId="0" borderId="0" xfId="0" applyFont="1" applyAlignment="1">
      <alignment horizontal="left" indent="1"/>
    </xf>
    <xf numFmtId="10" fontId="87" fillId="0" borderId="0" xfId="2" applyNumberFormat="1" applyFont="1" applyFill="1" applyBorder="1" applyAlignment="1">
      <alignment horizontal="center"/>
    </xf>
    <xf numFmtId="10" fontId="87" fillId="0" borderId="0" xfId="0" applyNumberFormat="1" applyFont="1"/>
    <xf numFmtId="10" fontId="87" fillId="0" borderId="17" xfId="0" applyNumberFormat="1" applyFont="1" applyBorder="1"/>
    <xf numFmtId="2" fontId="10" fillId="0" borderId="0" xfId="2" applyNumberFormat="1" applyFont="1" applyFill="1"/>
    <xf numFmtId="37" fontId="10" fillId="0" borderId="0" xfId="0" applyNumberFormat="1" applyFont="1"/>
    <xf numFmtId="2" fontId="10" fillId="4" borderId="0" xfId="0" applyNumberFormat="1" applyFont="1" applyFill="1"/>
    <xf numFmtId="10" fontId="47" fillId="3" borderId="0" xfId="2" applyNumberFormat="1" applyFont="1" applyFill="1"/>
    <xf numFmtId="2" fontId="87" fillId="0" borderId="0" xfId="2" applyNumberFormat="1" applyFont="1"/>
    <xf numFmtId="2" fontId="25" fillId="0" borderId="0" xfId="2" applyNumberFormat="1" applyFont="1"/>
    <xf numFmtId="37" fontId="0" fillId="4" borderId="0" xfId="0" applyNumberFormat="1" applyFill="1" applyAlignment="1">
      <alignment horizontal="right"/>
    </xf>
    <xf numFmtId="2" fontId="0" fillId="0" borderId="0" xfId="2" applyNumberFormat="1" applyFont="1"/>
    <xf numFmtId="10" fontId="0" fillId="6" borderId="0" xfId="2" applyNumberFormat="1" applyFont="1" applyFill="1"/>
    <xf numFmtId="0" fontId="0" fillId="6" borderId="0" xfId="0" applyFill="1"/>
    <xf numFmtId="183" fontId="0" fillId="0" borderId="0" xfId="2" applyNumberFormat="1" applyFont="1"/>
    <xf numFmtId="173" fontId="36" fillId="0" borderId="0" xfId="1" applyNumberFormat="1" applyFont="1"/>
    <xf numFmtId="0" fontId="13" fillId="0" borderId="82" xfId="0" applyFont="1" applyBorder="1"/>
    <xf numFmtId="173" fontId="13" fillId="0" borderId="2" xfId="0" applyNumberFormat="1" applyFont="1" applyBorder="1"/>
    <xf numFmtId="171" fontId="0" fillId="0" borderId="0" xfId="2" applyNumberFormat="1" applyFont="1" applyAlignment="1">
      <alignment horizontal="right"/>
    </xf>
    <xf numFmtId="184" fontId="13" fillId="0" borderId="0" xfId="0" applyNumberFormat="1" applyFont="1"/>
    <xf numFmtId="164" fontId="13" fillId="0" borderId="0" xfId="1" applyNumberFormat="1" applyFont="1"/>
    <xf numFmtId="3" fontId="29" fillId="0" borderId="0" xfId="5" applyNumberFormat="1" applyFont="1"/>
    <xf numFmtId="185" fontId="10" fillId="0" borderId="0" xfId="5" applyNumberFormat="1" applyFont="1" applyAlignment="1">
      <alignment vertical="center"/>
    </xf>
    <xf numFmtId="186" fontId="10" fillId="0" borderId="0" xfId="2" applyNumberFormat="1" applyFont="1" applyAlignment="1">
      <alignment vertical="center"/>
    </xf>
    <xf numFmtId="171" fontId="13" fillId="0" borderId="0" xfId="2" applyNumberFormat="1" applyFont="1" applyFill="1" applyBorder="1"/>
    <xf numFmtId="171" fontId="49" fillId="0" borderId="0" xfId="2" applyNumberFormat="1" applyFont="1" applyFill="1" applyBorder="1"/>
    <xf numFmtId="173" fontId="35" fillId="5" borderId="0" xfId="0" applyNumberFormat="1" applyFont="1" applyFill="1"/>
    <xf numFmtId="173" fontId="40" fillId="0" borderId="0" xfId="0" applyNumberFormat="1" applyFont="1"/>
    <xf numFmtId="9" fontId="48" fillId="0" borderId="0" xfId="0" applyNumberFormat="1" applyFont="1"/>
    <xf numFmtId="9" fontId="47" fillId="5" borderId="0" xfId="0" applyNumberFormat="1" applyFont="1" applyFill="1"/>
    <xf numFmtId="173" fontId="43" fillId="0" borderId="0" xfId="1" applyNumberFormat="1" applyFont="1" applyFill="1" applyBorder="1"/>
    <xf numFmtId="173" fontId="37" fillId="0" borderId="17" xfId="1" applyNumberFormat="1" applyFont="1" applyBorder="1"/>
    <xf numFmtId="173" fontId="37" fillId="0" borderId="17" xfId="1" applyNumberFormat="1" applyFont="1" applyFill="1" applyBorder="1"/>
    <xf numFmtId="173" fontId="43" fillId="0" borderId="17" xfId="1" applyNumberFormat="1" applyFont="1" applyBorder="1"/>
    <xf numFmtId="173" fontId="50" fillId="0" borderId="17" xfId="1" applyNumberFormat="1" applyFont="1" applyBorder="1"/>
    <xf numFmtId="9" fontId="48" fillId="0" borderId="17" xfId="0" applyNumberFormat="1" applyFont="1" applyBorder="1"/>
    <xf numFmtId="173" fontId="43" fillId="0" borderId="17" xfId="1" applyNumberFormat="1" applyFont="1" applyFill="1" applyBorder="1"/>
    <xf numFmtId="3" fontId="0" fillId="0" borderId="2" xfId="1" applyNumberFormat="1" applyFont="1" applyBorder="1" applyAlignment="1">
      <alignment horizontal="right"/>
    </xf>
    <xf numFmtId="3" fontId="0" fillId="3" borderId="0" xfId="1" applyNumberFormat="1" applyFont="1" applyFill="1" applyAlignment="1">
      <alignment horizontal="right"/>
    </xf>
    <xf numFmtId="171" fontId="0" fillId="0" borderId="0" xfId="2" applyNumberFormat="1" applyFont="1" applyBorder="1" applyAlignment="1">
      <alignment horizontal="right"/>
    </xf>
    <xf numFmtId="171" fontId="0" fillId="0" borderId="2" xfId="2" applyNumberFormat="1" applyFont="1" applyBorder="1" applyAlignment="1">
      <alignment horizontal="right"/>
    </xf>
    <xf numFmtId="171" fontId="0" fillId="3" borderId="0" xfId="2" applyNumberFormat="1" applyFont="1" applyFill="1" applyAlignment="1">
      <alignment horizontal="right"/>
    </xf>
    <xf numFmtId="171" fontId="25" fillId="0" borderId="0" xfId="2" applyNumberFormat="1" applyFont="1" applyBorder="1" applyAlignment="1">
      <alignment horizontal="right"/>
    </xf>
    <xf numFmtId="171" fontId="25" fillId="0" borderId="2" xfId="2" applyNumberFormat="1" applyFont="1" applyBorder="1" applyAlignment="1">
      <alignment horizontal="right"/>
    </xf>
    <xf numFmtId="171" fontId="25" fillId="3" borderId="0" xfId="2" applyNumberFormat="1" applyFont="1" applyFill="1" applyAlignment="1">
      <alignment horizontal="right"/>
    </xf>
    <xf numFmtId="0" fontId="89" fillId="0" borderId="0" xfId="0" applyFont="1" applyAlignment="1">
      <alignment vertical="center"/>
    </xf>
    <xf numFmtId="171" fontId="89" fillId="0" borderId="0" xfId="2" applyNumberFormat="1" applyFont="1" applyBorder="1" applyAlignment="1">
      <alignment horizontal="right" vertical="center"/>
    </xf>
    <xf numFmtId="171" fontId="89" fillId="0" borderId="2" xfId="2" applyNumberFormat="1" applyFont="1" applyBorder="1" applyAlignment="1">
      <alignment horizontal="right" vertical="center"/>
    </xf>
    <xf numFmtId="171" fontId="89" fillId="3" borderId="0" xfId="2" applyNumberFormat="1" applyFont="1" applyFill="1" applyAlignment="1">
      <alignment horizontal="right" vertical="center"/>
    </xf>
    <xf numFmtId="0" fontId="90" fillId="0" borderId="0" xfId="0" applyFont="1" applyAlignment="1">
      <alignment horizontal="left" vertical="center" indent="1"/>
    </xf>
    <xf numFmtId="0" fontId="3" fillId="0" borderId="83" xfId="0" applyFont="1" applyBorder="1"/>
    <xf numFmtId="0" fontId="3" fillId="0" borderId="45" xfId="0" applyFont="1" applyBorder="1"/>
    <xf numFmtId="0" fontId="3" fillId="0" borderId="79" xfId="0" applyFont="1" applyBorder="1"/>
    <xf numFmtId="10" fontId="0" fillId="0" borderId="81" xfId="0" applyNumberFormat="1" applyBorder="1"/>
    <xf numFmtId="10" fontId="0" fillId="0" borderId="17" xfId="0" applyNumberFormat="1" applyBorder="1"/>
    <xf numFmtId="10" fontId="0" fillId="0" borderId="84" xfId="0" applyNumberFormat="1" applyBorder="1"/>
    <xf numFmtId="10" fontId="0" fillId="0" borderId="9" xfId="0" applyNumberFormat="1" applyBorder="1"/>
    <xf numFmtId="10" fontId="0" fillId="0" borderId="80" xfId="0" applyNumberFormat="1" applyBorder="1"/>
    <xf numFmtId="0" fontId="0" fillId="0" borderId="0" xfId="0" applyAlignment="1">
      <alignment vertical="top" wrapText="1"/>
    </xf>
    <xf numFmtId="0" fontId="0" fillId="5" borderId="0" xfId="0" applyFill="1"/>
    <xf numFmtId="0" fontId="0" fillId="0" borderId="9" xfId="0" applyBorder="1" applyAlignment="1">
      <alignment vertical="top" wrapText="1"/>
    </xf>
    <xf numFmtId="171" fontId="0" fillId="0" borderId="0" xfId="2" applyNumberFormat="1" applyFont="1" applyBorder="1"/>
    <xf numFmtId="3" fontId="0" fillId="0" borderId="0" xfId="0" applyNumberFormat="1" applyAlignment="1">
      <alignment horizontal="center"/>
    </xf>
    <xf numFmtId="3" fontId="0" fillId="0" borderId="15" xfId="0" applyNumberFormat="1" applyBorder="1" applyAlignment="1">
      <alignment horizontal="center"/>
    </xf>
    <xf numFmtId="3" fontId="0" fillId="0" borderId="15" xfId="0" applyNumberFormat="1" applyBorder="1"/>
    <xf numFmtId="176" fontId="5" fillId="0" borderId="16" xfId="0" applyNumberFormat="1" applyFont="1" applyBorder="1"/>
    <xf numFmtId="0" fontId="92" fillId="0" borderId="0" xfId="0" applyFont="1"/>
    <xf numFmtId="0" fontId="0" fillId="0" borderId="9" xfId="0" applyBorder="1" applyAlignment="1">
      <alignment horizontal="left" indent="1"/>
    </xf>
    <xf numFmtId="10" fontId="0" fillId="0" borderId="9" xfId="2" applyNumberFormat="1" applyFont="1" applyBorder="1"/>
    <xf numFmtId="0" fontId="4" fillId="2" borderId="0" xfId="0" applyFont="1" applyFill="1" applyAlignment="1">
      <alignment wrapText="1"/>
    </xf>
    <xf numFmtId="0" fontId="0" fillId="5" borderId="0" xfId="0" applyFill="1" applyAlignment="1">
      <alignment wrapText="1"/>
    </xf>
    <xf numFmtId="0" fontId="93" fillId="0" borderId="9" xfId="0" applyFont="1" applyBorder="1" applyAlignment="1">
      <alignment vertical="center"/>
    </xf>
    <xf numFmtId="0" fontId="94" fillId="0" borderId="9" xfId="0" applyFont="1" applyBorder="1" applyAlignment="1">
      <alignment vertical="center"/>
    </xf>
    <xf numFmtId="0" fontId="94" fillId="0" borderId="9" xfId="0" applyFont="1" applyBorder="1" applyAlignment="1">
      <alignment vertical="center" wrapText="1"/>
    </xf>
    <xf numFmtId="0" fontId="94" fillId="0" borderId="9" xfId="0" applyFont="1" applyBorder="1" applyAlignment="1">
      <alignment horizontal="center" vertical="center"/>
    </xf>
    <xf numFmtId="14" fontId="94" fillId="0" borderId="9" xfId="0" applyNumberFormat="1" applyFont="1" applyBorder="1" applyAlignment="1">
      <alignment horizontal="center" vertical="center"/>
    </xf>
    <xf numFmtId="169" fontId="0" fillId="18" borderId="0" xfId="1" applyNumberFormat="1" applyFont="1" applyFill="1" applyAlignment="1">
      <alignment horizontal="right"/>
    </xf>
    <xf numFmtId="0" fontId="3" fillId="6" borderId="0" xfId="0" applyFont="1" applyFill="1"/>
    <xf numFmtId="174" fontId="3" fillId="15" borderId="0" xfId="0" applyNumberFormat="1" applyFont="1" applyFill="1"/>
    <xf numFmtId="9" fontId="3" fillId="15" borderId="0" xfId="0" applyNumberFormat="1" applyFont="1" applyFill="1" applyAlignment="1">
      <alignment horizontal="right"/>
    </xf>
    <xf numFmtId="1" fontId="3" fillId="6" borderId="11" xfId="0" applyNumberFormat="1" applyFont="1" applyFill="1" applyBorder="1"/>
    <xf numFmtId="14" fontId="81" fillId="0" borderId="0" xfId="0" applyNumberFormat="1" applyFont="1"/>
    <xf numFmtId="10" fontId="81" fillId="0" borderId="0" xfId="0" applyNumberFormat="1" applyFont="1"/>
    <xf numFmtId="0" fontId="14" fillId="16" borderId="0" xfId="5" applyFill="1" applyAlignment="1">
      <alignment horizontal="left" vertical="center" wrapText="1"/>
    </xf>
    <xf numFmtId="0" fontId="3" fillId="6" borderId="0" xfId="0" applyFont="1" applyFill="1" applyAlignment="1">
      <alignment horizontal="right"/>
    </xf>
    <xf numFmtId="187" fontId="0" fillId="0" borderId="0" xfId="9" applyNumberFormat="1" applyFont="1" applyFill="1" applyAlignment="1">
      <alignment horizontal="right"/>
    </xf>
    <xf numFmtId="3" fontId="0" fillId="0" borderId="0" xfId="2" applyNumberFormat="1" applyFont="1" applyAlignment="1">
      <alignment horizontal="center"/>
    </xf>
    <xf numFmtId="3" fontId="0" fillId="0" borderId="15" xfId="2" applyNumberFormat="1" applyFont="1" applyBorder="1" applyAlignment="1">
      <alignment horizontal="center"/>
    </xf>
    <xf numFmtId="2" fontId="0" fillId="0" borderId="0" xfId="2" applyNumberFormat="1" applyFont="1" applyAlignment="1">
      <alignment horizontal="center" vertical="center"/>
    </xf>
    <xf numFmtId="2" fontId="5" fillId="0" borderId="0" xfId="2" applyNumberFormat="1" applyFont="1" applyAlignment="1">
      <alignment horizontal="center" vertical="center"/>
    </xf>
    <xf numFmtId="0" fontId="19" fillId="6" borderId="0" xfId="5" applyFont="1" applyFill="1" applyAlignment="1">
      <alignment horizontal="center" vertical="center"/>
    </xf>
    <xf numFmtId="10" fontId="0" fillId="0" borderId="0" xfId="2" applyNumberFormat="1" applyFont="1" applyBorder="1" applyAlignment="1">
      <alignment horizontal="right"/>
    </xf>
    <xf numFmtId="3" fontId="25" fillId="0" borderId="0" xfId="0" applyNumberFormat="1" applyFont="1"/>
    <xf numFmtId="171" fontId="2" fillId="0" borderId="0" xfId="2" applyNumberFormat="1" applyFont="1" applyAlignment="1">
      <alignment wrapText="1"/>
    </xf>
    <xf numFmtId="1" fontId="0" fillId="0" borderId="0" xfId="1" applyNumberFormat="1" applyFont="1" applyBorder="1" applyAlignment="1">
      <alignment horizontal="right"/>
    </xf>
    <xf numFmtId="1" fontId="0" fillId="0" borderId="2" xfId="1" applyNumberFormat="1" applyFont="1" applyBorder="1" applyAlignment="1">
      <alignment horizontal="right"/>
    </xf>
    <xf numFmtId="1" fontId="0" fillId="3" borderId="0" xfId="1" applyNumberFormat="1" applyFont="1" applyFill="1" applyAlignment="1">
      <alignment horizontal="right"/>
    </xf>
    <xf numFmtId="0" fontId="64" fillId="0" borderId="67" xfId="0" applyFont="1" applyBorder="1" applyAlignment="1">
      <alignment horizontal="left" vertical="center" wrapText="1"/>
    </xf>
    <xf numFmtId="0" fontId="64" fillId="0" borderId="68" xfId="0" applyFont="1" applyBorder="1" applyAlignment="1">
      <alignment horizontal="left" vertical="center" wrapText="1"/>
    </xf>
    <xf numFmtId="0" fontId="64" fillId="0" borderId="0" xfId="0" applyFont="1" applyAlignment="1">
      <alignment horizontal="left" vertical="center" wrapText="1"/>
    </xf>
    <xf numFmtId="0" fontId="64" fillId="0" borderId="66" xfId="0" applyFont="1" applyBorder="1" applyAlignment="1">
      <alignment horizontal="left" vertical="center" wrapText="1"/>
    </xf>
    <xf numFmtId="0" fontId="33" fillId="0" borderId="69" xfId="0" applyFont="1" applyBorder="1" applyAlignment="1">
      <alignment horizontal="left" vertical="center" wrapText="1"/>
    </xf>
    <xf numFmtId="0" fontId="64" fillId="0" borderId="70" xfId="0" applyFont="1" applyBorder="1" applyAlignment="1">
      <alignment horizontal="left" vertical="center"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77" xfId="0" applyFont="1" applyBorder="1" applyAlignment="1">
      <alignment horizontal="center"/>
    </xf>
    <xf numFmtId="0" fontId="2" fillId="0" borderId="0" xfId="0" applyFont="1" applyAlignment="1">
      <alignment horizont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top" wrapText="1"/>
    </xf>
    <xf numFmtId="0" fontId="6" fillId="2" borderId="0" xfId="0" applyFont="1" applyFill="1" applyAlignment="1">
      <alignment horizontal="center"/>
    </xf>
    <xf numFmtId="0" fontId="29" fillId="0" borderId="0" xfId="5" applyFont="1"/>
    <xf numFmtId="0" fontId="29" fillId="0" borderId="0" xfId="5" applyFont="1" applyAlignment="1">
      <alignment wrapText="1"/>
    </xf>
    <xf numFmtId="0" fontId="4" fillId="2" borderId="0" xfId="5" applyFont="1" applyFill="1" applyAlignment="1">
      <alignment horizontal="center" wrapText="1"/>
    </xf>
    <xf numFmtId="0" fontId="4" fillId="2" borderId="0" xfId="5" applyFont="1" applyFill="1" applyAlignment="1">
      <alignment horizontal="center"/>
    </xf>
    <xf numFmtId="0" fontId="4" fillId="2" borderId="56" xfId="5" applyFont="1" applyFill="1" applyBorder="1" applyAlignment="1">
      <alignment horizontal="center"/>
    </xf>
    <xf numFmtId="0" fontId="4" fillId="2" borderId="60" xfId="5" applyFont="1" applyFill="1" applyBorder="1" applyAlignment="1">
      <alignment horizontal="center"/>
    </xf>
    <xf numFmtId="0" fontId="4" fillId="2" borderId="57" xfId="5" applyFont="1" applyFill="1" applyBorder="1" applyAlignment="1">
      <alignment horizontal="center"/>
    </xf>
    <xf numFmtId="0" fontId="4" fillId="2" borderId="52" xfId="5" applyFont="1" applyFill="1" applyBorder="1" applyAlignment="1">
      <alignment horizontal="center"/>
    </xf>
    <xf numFmtId="0" fontId="0" fillId="0" borderId="11" xfId="0" applyBorder="1" applyAlignment="1">
      <alignment horizontal="left" vertical="top"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4" fillId="15" borderId="0" xfId="5" applyFill="1" applyAlignment="1">
      <alignment horizontal="center" vertical="center"/>
    </xf>
    <xf numFmtId="0" fontId="14" fillId="0" borderId="0" xfId="5" applyAlignment="1">
      <alignment horizontal="left" vertical="center" wrapText="1"/>
    </xf>
    <xf numFmtId="0" fontId="14" fillId="6" borderId="0" xfId="5" applyFill="1" applyAlignment="1">
      <alignment horizontal="center" vertical="center"/>
    </xf>
    <xf numFmtId="0" fontId="14" fillId="0" borderId="0" xfId="5" applyAlignment="1">
      <alignment horizontal="center" vertical="center"/>
    </xf>
    <xf numFmtId="0" fontId="14" fillId="0" borderId="0" xfId="5" applyAlignment="1">
      <alignment horizontal="center" vertical="center" wrapText="1"/>
    </xf>
    <xf numFmtId="0" fontId="14" fillId="0" borderId="0" xfId="5" applyAlignment="1">
      <alignment horizontal="left" vertical="center"/>
    </xf>
    <xf numFmtId="0" fontId="14" fillId="17" borderId="0" xfId="5" applyFill="1" applyAlignment="1">
      <alignment horizontal="center" vertical="center"/>
    </xf>
    <xf numFmtId="0" fontId="14" fillId="16" borderId="0" xfId="5" applyFill="1" applyAlignment="1">
      <alignment horizontal="left" vertical="center" wrapText="1"/>
    </xf>
    <xf numFmtId="0" fontId="14" fillId="16" borderId="0" xfId="5" applyFill="1" applyAlignment="1">
      <alignment horizontal="center" vertical="center" wrapText="1"/>
    </xf>
    <xf numFmtId="0" fontId="14" fillId="0" borderId="12" xfId="5" applyBorder="1" applyAlignment="1">
      <alignment horizontal="center" vertical="center"/>
    </xf>
    <xf numFmtId="0" fontId="14" fillId="16" borderId="12" xfId="5" applyFill="1" applyBorder="1" applyAlignment="1">
      <alignment horizontal="center" vertical="center" wrapText="1"/>
    </xf>
    <xf numFmtId="0" fontId="91" fillId="16" borderId="12" xfId="5" applyFont="1" applyFill="1" applyBorder="1" applyAlignment="1">
      <alignment horizontal="center" vertical="center" wrapText="1"/>
    </xf>
    <xf numFmtId="0" fontId="91" fillId="16" borderId="0" xfId="5" applyFont="1" applyFill="1" applyAlignment="1">
      <alignment horizontal="center" vertical="center" wrapText="1"/>
    </xf>
    <xf numFmtId="0" fontId="14" fillId="19" borderId="0" xfId="5" applyFill="1" applyAlignment="1">
      <alignment horizontal="center" vertical="center"/>
    </xf>
    <xf numFmtId="0" fontId="11" fillId="4" borderId="0" xfId="5" applyFont="1" applyFill="1" applyAlignment="1">
      <alignment horizontal="left" vertical="center" wrapText="1"/>
    </xf>
    <xf numFmtId="0" fontId="14" fillId="6" borderId="0" xfId="5" applyFill="1" applyAlignment="1">
      <alignment horizontal="left" vertical="center"/>
    </xf>
    <xf numFmtId="0" fontId="14" fillId="15" borderId="12" xfId="5" applyFill="1" applyBorder="1" applyAlignment="1">
      <alignment horizontal="left" vertical="center"/>
    </xf>
    <xf numFmtId="0" fontId="14" fillId="15" borderId="0" xfId="5" applyFill="1" applyAlignment="1">
      <alignment horizontal="left" vertical="center"/>
    </xf>
    <xf numFmtId="0" fontId="14" fillId="16" borderId="12" xfId="5" applyFill="1" applyBorder="1" applyAlignment="1">
      <alignment horizontal="left" vertical="center" wrapText="1"/>
    </xf>
    <xf numFmtId="0" fontId="14" fillId="0" borderId="12" xfId="5" applyBorder="1" applyAlignment="1">
      <alignment horizontal="left" vertical="center" wrapText="1"/>
    </xf>
    <xf numFmtId="0" fontId="56" fillId="15" borderId="0" xfId="5" applyFont="1" applyFill="1" applyAlignment="1">
      <alignment horizontal="left" vertical="center"/>
    </xf>
    <xf numFmtId="0" fontId="3" fillId="0" borderId="0" xfId="0" applyFont="1" applyAlignment="1">
      <alignment horizontal="left" vertical="center"/>
    </xf>
    <xf numFmtId="0" fontId="9" fillId="0" borderId="0" xfId="3" applyAlignment="1">
      <alignment horizontal="left" vertical="center" wrapText="1"/>
    </xf>
    <xf numFmtId="0" fontId="9" fillId="0" borderId="0" xfId="3" applyAlignment="1">
      <alignment horizontal="center" vertical="center" wrapText="1"/>
    </xf>
  </cellXfs>
  <cellStyles count="13">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Hyperlink" xfId="3" xr:uid="{00000000-0005-0000-0000-000004000000}"/>
    <cellStyle name="Normal" xfId="0" builtinId="0"/>
    <cellStyle name="Normal 2" xfId="8" xr:uid="{00000000-0005-0000-0000-000006000000}"/>
    <cellStyle name="Normal 2 2" xfId="5" xr:uid="{00000000-0005-0000-0000-000007000000}"/>
    <cellStyle name="Normal 3 2" xfId="6" xr:uid="{00000000-0005-0000-0000-000008000000}"/>
    <cellStyle name="Normal 6" xfId="10" xr:uid="{00000000-0005-0000-0000-000009000000}"/>
    <cellStyle name="Per cent" xfId="2" builtinId="5"/>
    <cellStyle name="Percent 2" xfId="4" xr:uid="{00000000-0005-0000-0000-00000B000000}"/>
    <cellStyle name="Porcentaje 3" xfId="7" xr:uid="{00000000-0005-0000-0000-00000C000000}"/>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0" defaultTableStyle="TableStyleMedium2" defaultPivotStyle="PivotStyleLight16"/>
  <colors>
    <mruColors>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Array" Target="richData/rdarray.xml"/><Relationship Id="rId47" Type="http://schemas.microsoft.com/office/2017/10/relationships/person" Target="persons/person.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06/relationships/rdRichValue" Target="richData/rdrichvalue.xml"/><Relationship Id="rId45"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ichStyles" Target="richData/richStyles.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46" Type="http://schemas.microsoft.com/office/2017/06/relationships/rdRichValueTypes" Target="richData/rdRichValueTypes.xml"/><Relationship Id="rId20" Type="http://schemas.openxmlformats.org/officeDocument/2006/relationships/worksheet" Target="worksheets/sheet20.xml"/><Relationship Id="rId41"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Inputs!$B$108</c:f>
              <c:strCache>
                <c:ptCount val="1"/>
                <c:pt idx="0">
                  <c:v>Corporates</c:v>
                </c:pt>
              </c:strCache>
            </c:strRef>
          </c:tx>
          <c:spPr>
            <a:solidFill>
              <a:schemeClr val="accent1"/>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Inputs!$H$108:$Q$108</c:f>
              <c:numCache>
                <c:formatCode>0.00</c:formatCode>
                <c:ptCount val="10"/>
                <c:pt idx="0">
                  <c:v>530.27</c:v>
                </c:pt>
                <c:pt idx="1">
                  <c:v>3478.24</c:v>
                </c:pt>
                <c:pt idx="2">
                  <c:v>1213.78</c:v>
                </c:pt>
                <c:pt idx="3">
                  <c:v>2767.57</c:v>
                </c:pt>
                <c:pt idx="4">
                  <c:v>2017.57</c:v>
                </c:pt>
                <c:pt idx="5">
                  <c:v>3014.86</c:v>
                </c:pt>
                <c:pt idx="6">
                  <c:v>1757.57</c:v>
                </c:pt>
                <c:pt idx="7">
                  <c:v>70</c:v>
                </c:pt>
                <c:pt idx="8">
                  <c:v>1180.68</c:v>
                </c:pt>
                <c:pt idx="9">
                  <c:v>100</c:v>
                </c:pt>
              </c:numCache>
            </c:numRef>
          </c:val>
          <c:extLst>
            <c:ext xmlns:c16="http://schemas.microsoft.com/office/drawing/2014/chart" uri="{C3380CC4-5D6E-409C-BE32-E72D297353CC}">
              <c16:uniqueId val="{00000000-C818-4D7E-86F0-AA705E8DA356}"/>
            </c:ext>
          </c:extLst>
        </c:ser>
        <c:ser>
          <c:idx val="1"/>
          <c:order val="1"/>
          <c:tx>
            <c:strRef>
              <c:f>Inputs!$B$109</c:f>
              <c:strCache>
                <c:ptCount val="1"/>
                <c:pt idx="0">
                  <c:v>Loans</c:v>
                </c:pt>
              </c:strCache>
            </c:strRef>
          </c:tx>
          <c:spPr>
            <a:solidFill>
              <a:srgbClr val="002060"/>
            </a:solidFill>
            <a:ln>
              <a:noFill/>
            </a:ln>
            <a:effectLst/>
          </c:spPr>
          <c:invertIfNegative val="0"/>
          <c:cat>
            <c:numRef>
              <c:f>Inputs!$H$105:$Q$105</c:f>
              <c:numCache>
                <c:formatCode>0</c:formatCode>
                <c:ptCount val="10"/>
                <c:pt idx="0">
                  <c:v>2025</c:v>
                </c:pt>
                <c:pt idx="1">
                  <c:v>2026</c:v>
                </c:pt>
                <c:pt idx="2">
                  <c:v>2027</c:v>
                </c:pt>
                <c:pt idx="3">
                  <c:v>2028</c:v>
                </c:pt>
                <c:pt idx="4">
                  <c:v>2029</c:v>
                </c:pt>
                <c:pt idx="5">
                  <c:v>2030</c:v>
                </c:pt>
                <c:pt idx="6">
                  <c:v>2031</c:v>
                </c:pt>
                <c:pt idx="7">
                  <c:v>2032</c:v>
                </c:pt>
                <c:pt idx="8">
                  <c:v>2033</c:v>
                </c:pt>
                <c:pt idx="9" formatCode="0&quot;+&quot;">
                  <c:v>2034</c:v>
                </c:pt>
              </c:numCache>
            </c:numRef>
          </c:cat>
          <c:val>
            <c:numRef>
              <c:f>Inputs!$H$109:$Q$109</c:f>
              <c:numCache>
                <c:formatCode>General</c:formatCode>
                <c:ptCount val="10"/>
                <c:pt idx="0" formatCode="0.00">
                  <c:v>2935.13</c:v>
                </c:pt>
                <c:pt idx="1">
                  <c:v>293.51299999999998</c:v>
                </c:pt>
                <c:pt idx="2">
                  <c:v>1467.57</c:v>
                </c:pt>
                <c:pt idx="3">
                  <c:v>0</c:v>
                </c:pt>
                <c:pt idx="4">
                  <c:v>0</c:v>
                </c:pt>
                <c:pt idx="5">
                  <c:v>0</c:v>
                </c:pt>
                <c:pt idx="6">
                  <c:v>0</c:v>
                </c:pt>
                <c:pt idx="7">
                  <c:v>1467.57</c:v>
                </c:pt>
                <c:pt idx="8">
                  <c:v>0</c:v>
                </c:pt>
                <c:pt idx="9">
                  <c:v>1467.57</c:v>
                </c:pt>
              </c:numCache>
            </c:numRef>
          </c:val>
          <c:extLst>
            <c:ext xmlns:c16="http://schemas.microsoft.com/office/drawing/2014/chart" uri="{C3380CC4-5D6E-409C-BE32-E72D297353CC}">
              <c16:uniqueId val="{00000001-C818-4D7E-86F0-AA705E8DA356}"/>
            </c:ext>
          </c:extLst>
        </c:ser>
        <c:ser>
          <c:idx val="2"/>
          <c:order val="2"/>
          <c:tx>
            <c:v>Cash</c:v>
          </c:tx>
          <c:spPr>
            <a:solidFill>
              <a:schemeClr val="accent3"/>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0-842C-43E6-9421-5B901735DF6D}"/>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4280"/>
        <c:crosses val="autoZero"/>
        <c:auto val="1"/>
        <c:lblAlgn val="ctr"/>
        <c:lblOffset val="100"/>
        <c:noMultiLvlLbl val="0"/>
      </c:catAx>
      <c:valAx>
        <c:axId val="100492428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43321871155175"/>
          <c:y val="7.6662309185652491E-2"/>
          <c:w val="0.54033355512026682"/>
          <c:h val="0.71752811812994566"/>
        </c:manualLayout>
      </c:layout>
      <c:pieChart>
        <c:varyColors val="1"/>
        <c:ser>
          <c:idx val="0"/>
          <c:order val="0"/>
          <c:tx>
            <c:v>Weights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6E-43CE-A0F3-0AE97210D0F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86E-43CE-A0F3-0AE97210D0F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86E-43CE-A0F3-0AE97210D0F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86E-43CE-A0F3-0AE97210D0F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486E-43CE-A0F3-0AE97210D0F9}"/>
              </c:ext>
            </c:extLst>
          </c:dPt>
          <c:cat>
            <c:strRef>
              <c:f>Segments!$B$6:$B$10</c:f>
              <c:strCache>
                <c:ptCount val="5"/>
                <c:pt idx="0">
                  <c:v>South Korea</c:v>
                </c:pt>
                <c:pt idx="1">
                  <c:v>China</c:v>
                </c:pt>
                <c:pt idx="2">
                  <c:v>Asia (without China)</c:v>
                </c:pt>
                <c:pt idx="3">
                  <c:v>United States</c:v>
                </c:pt>
                <c:pt idx="4">
                  <c:v>Europe</c:v>
                </c:pt>
              </c:strCache>
            </c:strRef>
          </c:cat>
          <c:val>
            <c:numRef>
              <c:f>Segments!$D$6:$D$10</c:f>
              <c:numCache>
                <c:formatCode>0.0%</c:formatCode>
                <c:ptCount val="5"/>
                <c:pt idx="0">
                  <c:v>2.8766054390988768E-2</c:v>
                </c:pt>
                <c:pt idx="1">
                  <c:v>0.23467091283890507</c:v>
                </c:pt>
                <c:pt idx="2">
                  <c:v>8.129929244730745E-2</c:v>
                </c:pt>
                <c:pt idx="3">
                  <c:v>0.6339205308118161</c:v>
                </c:pt>
                <c:pt idx="4">
                  <c:v>2.1343209510982664E-2</c:v>
                </c:pt>
              </c:numCache>
            </c:numRef>
          </c:val>
          <c:extLst>
            <c:ext xmlns:c16="http://schemas.microsoft.com/office/drawing/2014/chart" uri="{C3380CC4-5D6E-409C-BE32-E72D297353CC}">
              <c16:uniqueId val="{0000000A-486E-43CE-A0F3-0AE97210D0F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2225666737440029"/>
          <c:w val="1"/>
          <c:h val="0.17407486044476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170726102555196"/>
          <c:y val="8.3002544695563188E-2"/>
          <c:w val="0.51763292092255409"/>
          <c:h val="0.71927773781186066"/>
        </c:manualLayout>
      </c:layout>
      <c:pieChart>
        <c:varyColors val="1"/>
        <c:ser>
          <c:idx val="0"/>
          <c:order val="0"/>
          <c:tx>
            <c:v>Weights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93-4800-82CF-123FC12EDC1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393-4800-82CF-123FC12EDC1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393-4800-82CF-123FC12EDC19}"/>
              </c:ext>
            </c:extLst>
          </c:dPt>
          <c:cat>
            <c:strRef>
              <c:extLst>
                <c:ext xmlns:c15="http://schemas.microsoft.com/office/drawing/2012/chart" uri="{02D57815-91ED-43cb-92C2-25804820EDAC}">
                  <c15:fullRef>
                    <c15:sqref>Segments!$B$17:$B$21</c15:sqref>
                  </c15:fullRef>
                </c:ext>
              </c:extLst>
              <c:f>Segments!$B$17:$B$19</c:f>
              <c:strCache>
                <c:ptCount val="3"/>
                <c:pt idx="0">
                  <c:v>DRAM</c:v>
                </c:pt>
                <c:pt idx="1">
                  <c:v>Nand</c:v>
                </c:pt>
                <c:pt idx="2">
                  <c:v>Other</c:v>
                </c:pt>
              </c:strCache>
            </c:strRef>
          </c:cat>
          <c:val>
            <c:numRef>
              <c:extLst>
                <c:ext xmlns:c15="http://schemas.microsoft.com/office/drawing/2012/chart" uri="{02D57815-91ED-43cb-92C2-25804820EDAC}">
                  <c15:fullRef>
                    <c15:sqref>Segments!$D$17:$D$21</c15:sqref>
                  </c15:fullRef>
                </c:ext>
              </c:extLst>
              <c:f>Segments!$D$17:$D$19</c:f>
              <c:numCache>
                <c:formatCode>0.0%</c:formatCode>
                <c:ptCount val="3"/>
                <c:pt idx="0">
                  <c:v>0.67577680100373239</c:v>
                </c:pt>
                <c:pt idx="1">
                  <c:v>0.29118070731097501</c:v>
                </c:pt>
                <c:pt idx="2">
                  <c:v>3.3042491685292767E-2</c:v>
                </c:pt>
              </c:numCache>
            </c:numRef>
          </c:val>
          <c:extLst>
            <c:ext xmlns:c15="http://schemas.microsoft.com/office/drawing/2012/chart" uri="{02D57815-91ED-43cb-92C2-25804820EDAC}">
              <c15:categoryFilterExceptions>
                <c15:categoryFilterException>
                  <c15:sqref>Segments!$D$20</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Segments!$D$21</c15:sqref>
                  <c15:spPr xmlns:c15="http://schemas.microsoft.com/office/drawing/2012/chart">
                    <a:solidFill>
                      <a:schemeClr val="accent3">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A-1393-4800-82CF-123FC12EDC1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5"/>
                <c:pt idx="0">
                  <c:v>South Korea</c:v>
                </c:pt>
                <c:pt idx="1">
                  <c:v>China</c:v>
                </c:pt>
                <c:pt idx="2">
                  <c:v>Asia (without China)</c:v>
                </c:pt>
                <c:pt idx="3">
                  <c:v>United States</c:v>
                </c:pt>
                <c:pt idx="4">
                  <c:v>Europe</c:v>
                </c:pt>
              </c:strCache>
            </c:strRef>
          </c:cat>
          <c:val>
            <c:numRef>
              <c:f>Segments!$D$6:$D$10</c:f>
              <c:numCache>
                <c:formatCode>0.0%</c:formatCode>
                <c:ptCount val="5"/>
                <c:pt idx="0">
                  <c:v>2.8766054390988768E-2</c:v>
                </c:pt>
                <c:pt idx="1">
                  <c:v>0.23467091283890507</c:v>
                </c:pt>
                <c:pt idx="2">
                  <c:v>8.129929244730745E-2</c:v>
                </c:pt>
                <c:pt idx="3">
                  <c:v>0.6339205308118161</c:v>
                </c:pt>
                <c:pt idx="4">
                  <c:v>2.1343209510982664E-2</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B458-4C4D-847F-D2D86AAD1B71}"/>
              </c:ext>
            </c:extLst>
          </c:dPt>
          <c:cat>
            <c:strRef>
              <c:f>Segments!$B$17:$B$21</c:f>
              <c:strCache>
                <c:ptCount val="3"/>
                <c:pt idx="0">
                  <c:v>DRAM</c:v>
                </c:pt>
                <c:pt idx="1">
                  <c:v>Nand</c:v>
                </c:pt>
                <c:pt idx="2">
                  <c:v>Other</c:v>
                </c:pt>
              </c:strCache>
            </c:strRef>
          </c:cat>
          <c:val>
            <c:numRef>
              <c:f>Segments!$D$17:$D$21</c:f>
              <c:numCache>
                <c:formatCode>0.0%</c:formatCode>
                <c:ptCount val="5"/>
                <c:pt idx="0">
                  <c:v>0.67577680100373239</c:v>
                </c:pt>
                <c:pt idx="1">
                  <c:v>0.29118070731097501</c:v>
                </c:pt>
                <c:pt idx="2">
                  <c:v>3.3042491685292767E-2</c:v>
                </c:pt>
                <c:pt idx="3">
                  <c:v>0</c:v>
                </c:pt>
                <c:pt idx="4">
                  <c:v>0</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(Industry!$B$45,Industry!$B$52,Industry!$B$58,Industry!$B$64,Industry!$B$70)</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(Industry!$C$45,Industry!$C$52,Industry!$C$58,Industry!$C$64,Industry!$C$70)</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(Industry!$B$45,Industry!$B$52,Industry!$B$58,Industry!$B$64,Industry!$B$70)</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(Industry!$D$45,Industry!$D$52,Industry!$D$58,Industry!$D$64,Industry!$D$70)</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(Industry!$B$45,Industry!$B$52,Industry!$B$58,Industry!$B$64,Industry!$B$70)</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(Industry!$E$45,Industry!$E$52,Industry!$E$58,Industry!$E$64,Industry!$E$70)</c:f>
              <c:numCache>
                <c:formatCode>General</c:formatCode>
                <c:ptCount val="5"/>
                <c:pt idx="0" formatCode="0.00">
                  <c:v>1.5</c:v>
                </c:pt>
                <c:pt idx="1">
                  <c:v>4.25</c:v>
                </c:pt>
                <c:pt idx="2">
                  <c:v>2.8</c:v>
                </c:pt>
                <c:pt idx="3">
                  <c:v>4.5999999999999996</c:v>
                </c:pt>
                <c:pt idx="4">
                  <c:v>1.75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cat>
            <c:strRef>
              <c:extLst>
                <c:ext xmlns:c15="http://schemas.microsoft.com/office/drawing/2012/chart" uri="{02D57815-91ED-43cb-92C2-25804820EDAC}">
                  <c15:fullRef>
                    <c15:sqref>Industry!$B$29:$B$33</c15:sqref>
                  </c15:fullRef>
                </c:ext>
              </c:extLst>
              <c:f>Industry!$B$29:$B$33</c:f>
              <c:strCache>
                <c:ptCount val="5"/>
                <c:pt idx="0">
                  <c:v>SK hynix Inc.</c:v>
                </c:pt>
                <c:pt idx="1">
                  <c:v>Samsung Electronics Co., Ltd.</c:v>
                </c:pt>
                <c:pt idx="2">
                  <c:v>MICRON TECHNOLOGY, INC.</c:v>
                </c:pt>
                <c:pt idx="3">
                  <c:v>Kioxia Holdings Corporation</c:v>
                </c:pt>
                <c:pt idx="4">
                  <c:v>WESTERN DIGITAL CORPORATION</c:v>
                </c:pt>
              </c:strCache>
            </c:strRef>
          </c:cat>
          <c:val>
            <c:numRef>
              <c:extLst>
                <c:ext xmlns:c15="http://schemas.microsoft.com/office/drawing/2012/chart" uri="{02D57815-91ED-43cb-92C2-25804820EDAC}">
                  <c15:fullRef>
                    <c15:sqref>Industry!$I$29:$I$40</c15:sqref>
                  </c15:fullRef>
                </c:ext>
              </c:extLst>
              <c:f>Industry!$I$29:$I$33</c:f>
              <c:numCache>
                <c:formatCode>0%</c:formatCode>
                <c:ptCount val="5"/>
                <c:pt idx="0">
                  <c:v>0.28516592639183874</c:v>
                </c:pt>
                <c:pt idx="1">
                  <c:v>0.36403427522714449</c:v>
                </c:pt>
                <c:pt idx="2">
                  <c:v>0.14547154285911226</c:v>
                </c:pt>
                <c:pt idx="3">
                  <c:v>4.2400299843616047E-2</c:v>
                </c:pt>
                <c:pt idx="4">
                  <c:v>7.4722235385854791E-2</c:v>
                </c:pt>
              </c:numCache>
            </c:numRef>
          </c:val>
          <c:extLst>
            <c:ext xmlns:c15="http://schemas.microsoft.com/office/drawing/2012/chart" uri="{02D57815-91ED-43cb-92C2-25804820EDAC}">
              <c15:categoryFilterExceptions>
                <c15:categoryFilterException>
                  <c15:sqref>Industry!$I$34</c15:sqref>
                  <c15:spPr xmlns:c15="http://schemas.microsoft.com/office/drawing/2012/chart">
                    <a:solidFill>
                      <a:schemeClr val="accent6"/>
                    </a:solidFill>
                    <a:ln w="19050">
                      <a:solidFill>
                        <a:schemeClr val="lt1"/>
                      </a:solidFill>
                    </a:ln>
                    <a:effectLst/>
                  </c15:spPr>
                  <c15:bubble3D val="0"/>
                </c15:categoryFilterException>
                <c15:categoryFilterException>
                  <c15:sqref>Industry!$I$35</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Industry!$I$36</c15:sqref>
                  <c15:spPr xmlns:c15="http://schemas.microsoft.com/office/drawing/2012/chart">
                    <a:solidFill>
                      <a:schemeClr val="accent2">
                        <a:lumMod val="60000"/>
                      </a:schemeClr>
                    </a:solidFill>
                    <a:ln w="19050">
                      <a:solidFill>
                        <a:schemeClr val="lt1"/>
                      </a:solidFill>
                    </a:ln>
                    <a:effectLst/>
                  </c15:spPr>
                  <c15:bubble3D val="0"/>
                </c15:categoryFilterException>
                <c15:categoryFilterException>
                  <c15:sqref>Industry!$I$37</c15:sqref>
                  <c15:spPr xmlns:c15="http://schemas.microsoft.com/office/drawing/2012/chart">
                    <a:solidFill>
                      <a:schemeClr val="accent3">
                        <a:lumMod val="60000"/>
                      </a:schemeClr>
                    </a:solidFill>
                    <a:ln w="19050">
                      <a:solidFill>
                        <a:schemeClr val="lt1"/>
                      </a:solidFill>
                    </a:ln>
                    <a:effectLst/>
                  </c15:spPr>
                  <c15:bubble3D val="0"/>
                </c15:categoryFilterException>
                <c15:categoryFilterException>
                  <c15:sqref>Industry!$I$38</c15:sqref>
                  <c15:spPr xmlns:c15="http://schemas.microsoft.com/office/drawing/2012/chart">
                    <a:solidFill>
                      <a:schemeClr val="accent4">
                        <a:lumMod val="60000"/>
                      </a:schemeClr>
                    </a:solidFill>
                    <a:ln w="19050">
                      <a:solidFill>
                        <a:schemeClr val="lt1"/>
                      </a:solidFill>
                    </a:ln>
                    <a:effectLst/>
                  </c15:spPr>
                  <c15:bubble3D val="0"/>
                </c15:categoryFilterException>
                <c15:categoryFilterException>
                  <c15:sqref>Industry!$I$39</c15:sqref>
                  <c15:spPr xmlns:c15="http://schemas.microsoft.com/office/drawing/2012/chart">
                    <a:solidFill>
                      <a:schemeClr val="accent5">
                        <a:lumMod val="60000"/>
                      </a:schemeClr>
                    </a:solidFill>
                    <a:ln w="19050">
                      <a:solidFill>
                        <a:schemeClr val="lt1"/>
                      </a:solidFill>
                    </a:ln>
                    <a:effectLst/>
                  </c15:spPr>
                  <c15:bubble3D val="0"/>
                </c15:categoryFilterException>
                <c15:categoryFilterException>
                  <c15:sqref>Industry!$I$40</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DRAM Market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Peers!$C$169</c:f>
              <c:strCache>
                <c:ptCount val="1"/>
                <c:pt idx="0">
                  <c:v>000660</c:v>
                </c:pt>
              </c:strCache>
            </c:strRef>
          </c:tx>
          <c:spPr>
            <a:solidFill>
              <a:schemeClr val="accent1"/>
            </a:solidFill>
            <a:ln>
              <a:noFill/>
            </a:ln>
            <a:effectLst/>
          </c:spPr>
          <c:invertIfNegative val="0"/>
          <c:cat>
            <c:strRef>
              <c:f>Peers!$D$167:$S$167</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Peers!$D$169:$S$169</c:f>
              <c:numCache>
                <c:formatCode>#,##0</c:formatCode>
                <c:ptCount val="16"/>
                <c:pt idx="0">
                  <c:v>6062469</c:v>
                </c:pt>
                <c:pt idx="1">
                  <c:v>7505783</c:v>
                </c:pt>
                <c:pt idx="2">
                  <c:v>8312960</c:v>
                </c:pt>
                <c:pt idx="3">
                  <c:v>8718499</c:v>
                </c:pt>
                <c:pt idx="4">
                  <c:v>7857576</c:v>
                </c:pt>
                <c:pt idx="5">
                  <c:v>8781735</c:v>
                </c:pt>
                <c:pt idx="6">
                  <c:v>6954326</c:v>
                </c:pt>
                <c:pt idx="7">
                  <c:v>4575165</c:v>
                </c:pt>
                <c:pt idx="8">
                  <c:v>2918692</c:v>
                </c:pt>
                <c:pt idx="9">
                  <c:v>4414132</c:v>
                </c:pt>
                <c:pt idx="10">
                  <c:v>6085615</c:v>
                </c:pt>
                <c:pt idx="11">
                  <c:v>7350223</c:v>
                </c:pt>
                <c:pt idx="12">
                  <c:v>7493448</c:v>
                </c:pt>
                <c:pt idx="13">
                  <c:v>10700356</c:v>
                </c:pt>
                <c:pt idx="14">
                  <c:v>12048412</c:v>
                </c:pt>
                <c:pt idx="15">
                  <c:v>14489448</c:v>
                </c:pt>
              </c:numCache>
            </c:numRef>
          </c:val>
          <c:extLst>
            <c:ext xmlns:c16="http://schemas.microsoft.com/office/drawing/2014/chart" uri="{C3380CC4-5D6E-409C-BE32-E72D297353CC}">
              <c16:uniqueId val="{00000001-FA4B-4575-9E0F-FF80B5D19467}"/>
            </c:ext>
          </c:extLst>
        </c:ser>
        <c:ser>
          <c:idx val="1"/>
          <c:order val="1"/>
          <c:tx>
            <c:strRef>
              <c:f>Peers!$C$170</c:f>
              <c:strCache>
                <c:ptCount val="1"/>
                <c:pt idx="0">
                  <c:v>005930</c:v>
                </c:pt>
              </c:strCache>
            </c:strRef>
          </c:tx>
          <c:spPr>
            <a:solidFill>
              <a:schemeClr val="accent3"/>
            </a:solidFill>
            <a:ln>
              <a:noFill/>
            </a:ln>
            <a:effectLst/>
          </c:spPr>
          <c:invertIfNegative val="0"/>
          <c:cat>
            <c:strRef>
              <c:f>Peers!$D$167:$S$167</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Peers!$D$170:$S$170</c:f>
              <c:numCache>
                <c:formatCode>#,##0</c:formatCode>
                <c:ptCount val="16"/>
                <c:pt idx="0">
                  <c:v>13927987.109999999</c:v>
                </c:pt>
                <c:pt idx="1">
                  <c:v>16403517.35</c:v>
                </c:pt>
                <c:pt idx="2">
                  <c:v>20284871.609999999</c:v>
                </c:pt>
                <c:pt idx="3">
                  <c:v>19450000</c:v>
                </c:pt>
                <c:pt idx="4">
                  <c:v>20090000</c:v>
                </c:pt>
                <c:pt idx="5">
                  <c:v>21080000</c:v>
                </c:pt>
                <c:pt idx="6">
                  <c:v>15230000</c:v>
                </c:pt>
                <c:pt idx="7">
                  <c:v>12140000</c:v>
                </c:pt>
                <c:pt idx="8">
                  <c:v>8920000</c:v>
                </c:pt>
                <c:pt idx="9">
                  <c:v>8970000</c:v>
                </c:pt>
                <c:pt idx="10">
                  <c:v>10530000</c:v>
                </c:pt>
                <c:pt idx="11">
                  <c:v>15710000</c:v>
                </c:pt>
                <c:pt idx="12">
                  <c:v>17490000</c:v>
                </c:pt>
                <c:pt idx="13">
                  <c:v>21740000</c:v>
                </c:pt>
                <c:pt idx="14">
                  <c:v>22270000</c:v>
                </c:pt>
                <c:pt idx="15">
                  <c:v>22994650</c:v>
                </c:pt>
              </c:numCache>
            </c:numRef>
          </c:val>
          <c:extLst>
            <c:ext xmlns:c16="http://schemas.microsoft.com/office/drawing/2014/chart" uri="{C3380CC4-5D6E-409C-BE32-E72D297353CC}">
              <c16:uniqueId val="{00000003-FA4B-4575-9E0F-FF80B5D19467}"/>
            </c:ext>
          </c:extLst>
        </c:ser>
        <c:ser>
          <c:idx val="2"/>
          <c:order val="2"/>
          <c:tx>
            <c:strRef>
              <c:f>Peers!$C$171</c:f>
              <c:strCache>
                <c:ptCount val="1"/>
                <c:pt idx="0">
                  <c:v>MU</c:v>
                </c:pt>
              </c:strCache>
            </c:strRef>
          </c:tx>
          <c:spPr>
            <a:solidFill>
              <a:schemeClr val="accent5"/>
            </a:solidFill>
            <a:ln>
              <a:noFill/>
            </a:ln>
            <a:effectLst/>
          </c:spPr>
          <c:invertIfNegative val="0"/>
          <c:cat>
            <c:strRef>
              <c:f>Peers!$D$167:$S$167</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Peers!$D$171:$S$171</c:f>
              <c:numCache>
                <c:formatCode>#,##0</c:formatCode>
                <c:ptCount val="16"/>
                <c:pt idx="0">
                  <c:v>4632060</c:v>
                </c:pt>
                <c:pt idx="1">
                  <c:v>4902450</c:v>
                </c:pt>
                <c:pt idx="2">
                  <c:v>6121980</c:v>
                </c:pt>
                <c:pt idx="3">
                  <c:v>6974840</c:v>
                </c:pt>
                <c:pt idx="4">
                  <c:v>6595360</c:v>
                </c:pt>
                <c:pt idx="5">
                  <c:v>6826810</c:v>
                </c:pt>
                <c:pt idx="6">
                  <c:v>7795920</c:v>
                </c:pt>
                <c:pt idx="7">
                  <c:v>6278710</c:v>
                </c:pt>
                <c:pt idx="8">
                  <c:v>3937560</c:v>
                </c:pt>
                <c:pt idx="9">
                  <c:v>3465150</c:v>
                </c:pt>
                <c:pt idx="10">
                  <c:v>3524320</c:v>
                </c:pt>
                <c:pt idx="11">
                  <c:v>3584560</c:v>
                </c:pt>
                <c:pt idx="12">
                  <c:v>4559030</c:v>
                </c:pt>
                <c:pt idx="13">
                  <c:v>5492910</c:v>
                </c:pt>
                <c:pt idx="14">
                  <c:v>6361980</c:v>
                </c:pt>
                <c:pt idx="15">
                  <c:v>7308150</c:v>
                </c:pt>
              </c:numCache>
            </c:numRef>
          </c:val>
          <c:extLst>
            <c:ext xmlns:c16="http://schemas.microsoft.com/office/drawing/2014/chart" uri="{C3380CC4-5D6E-409C-BE32-E72D297353CC}">
              <c16:uniqueId val="{00000005-FA4B-4575-9E0F-FF80B5D19467}"/>
            </c:ext>
          </c:extLst>
        </c:ser>
        <c:dLbls>
          <c:showLegendKey val="0"/>
          <c:showVal val="0"/>
          <c:showCatName val="0"/>
          <c:showSerName val="0"/>
          <c:showPercent val="0"/>
          <c:showBubbleSize val="0"/>
        </c:dLbls>
        <c:gapWidth val="150"/>
        <c:overlap val="100"/>
        <c:axId val="42769927"/>
        <c:axId val="42775559"/>
      </c:barChart>
      <c:catAx>
        <c:axId val="42769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5559"/>
        <c:crosses val="autoZero"/>
        <c:auto val="1"/>
        <c:lblAlgn val="ctr"/>
        <c:lblOffset val="100"/>
        <c:noMultiLvlLbl val="0"/>
      </c:catAx>
      <c:valAx>
        <c:axId val="42775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69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NAND Market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Peers!$C$176</c:f>
              <c:strCache>
                <c:ptCount val="1"/>
                <c:pt idx="0">
                  <c:v>000660</c:v>
                </c:pt>
              </c:strCache>
            </c:strRef>
          </c:tx>
          <c:spPr>
            <a:solidFill>
              <a:schemeClr val="accent1"/>
            </a:solidFill>
            <a:ln>
              <a:noFill/>
            </a:ln>
            <a:effectLst/>
          </c:spPr>
          <c:invertIfNegative val="0"/>
          <c:cat>
            <c:strRef>
              <c:f>Peers!$D$174:$S$174</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Peers!$D$176:$S$176</c:f>
              <c:numCache>
                <c:formatCode>#,##0</c:formatCode>
                <c:ptCount val="16"/>
                <c:pt idx="0">
                  <c:v>2007523</c:v>
                </c:pt>
                <c:pt idx="1">
                  <c:v>2305681</c:v>
                </c:pt>
                <c:pt idx="2">
                  <c:v>3044004</c:v>
                </c:pt>
                <c:pt idx="3">
                  <c:v>3172239</c:v>
                </c:pt>
                <c:pt idx="4">
                  <c:v>3913395</c:v>
                </c:pt>
                <c:pt idx="5">
                  <c:v>4517859</c:v>
                </c:pt>
                <c:pt idx="6">
                  <c:v>3388186</c:v>
                </c:pt>
                <c:pt idx="7">
                  <c:v>2364483</c:v>
                </c:pt>
                <c:pt idx="8">
                  <c:v>1688034</c:v>
                </c:pt>
                <c:pt idx="9">
                  <c:v>2240211</c:v>
                </c:pt>
                <c:pt idx="10">
                  <c:v>2426210</c:v>
                </c:pt>
                <c:pt idx="11">
                  <c:v>3298606</c:v>
                </c:pt>
                <c:pt idx="12">
                  <c:v>4407213</c:v>
                </c:pt>
                <c:pt idx="13">
                  <c:v>5184707</c:v>
                </c:pt>
                <c:pt idx="14">
                  <c:v>4980518</c:v>
                </c:pt>
                <c:pt idx="15">
                  <c:v>4701674</c:v>
                </c:pt>
              </c:numCache>
            </c:numRef>
          </c:val>
          <c:extLst>
            <c:ext xmlns:c16="http://schemas.microsoft.com/office/drawing/2014/chart" uri="{C3380CC4-5D6E-409C-BE32-E72D297353CC}">
              <c16:uniqueId val="{00000001-F9BC-4491-8B6C-4ADCB5C671D9}"/>
            </c:ext>
          </c:extLst>
        </c:ser>
        <c:ser>
          <c:idx val="1"/>
          <c:order val="1"/>
          <c:tx>
            <c:strRef>
              <c:f>Peers!$C$177</c:f>
              <c:strCache>
                <c:ptCount val="1"/>
                <c:pt idx="0">
                  <c:v>005930</c:v>
                </c:pt>
              </c:strCache>
            </c:strRef>
          </c:tx>
          <c:spPr>
            <a:solidFill>
              <a:schemeClr val="accent3"/>
            </a:solidFill>
            <a:ln>
              <a:noFill/>
            </a:ln>
            <a:effectLst/>
          </c:spPr>
          <c:invertIfNegative val="0"/>
          <c:cat>
            <c:strRef>
              <c:f>Peers!$D$174:$S$174</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Peers!$D$177:$S$177</c:f>
              <c:numCache>
                <c:formatCode>#,##0</c:formatCode>
                <c:ptCount val="16"/>
                <c:pt idx="0">
                  <c:v>4571306</c:v>
                </c:pt>
                <c:pt idx="1">
                  <c:v>4860433</c:v>
                </c:pt>
                <c:pt idx="2">
                  <c:v>5573546</c:v>
                </c:pt>
                <c:pt idx="3">
                  <c:v>6830000</c:v>
                </c:pt>
                <c:pt idx="4">
                  <c:v>6780000</c:v>
                </c:pt>
                <c:pt idx="5">
                  <c:v>7420000</c:v>
                </c:pt>
                <c:pt idx="6">
                  <c:v>7790000</c:v>
                </c:pt>
                <c:pt idx="7">
                  <c:v>7930000</c:v>
                </c:pt>
                <c:pt idx="8">
                  <c:v>4810000</c:v>
                </c:pt>
                <c:pt idx="9">
                  <c:v>5760000</c:v>
                </c:pt>
                <c:pt idx="10">
                  <c:v>5890000</c:v>
                </c:pt>
                <c:pt idx="11">
                  <c:v>6000000</c:v>
                </c:pt>
                <c:pt idx="12">
                  <c:v>5650000</c:v>
                </c:pt>
                <c:pt idx="13">
                  <c:v>6820000</c:v>
                </c:pt>
                <c:pt idx="14">
                  <c:v>7000000</c:v>
                </c:pt>
                <c:pt idx="15">
                  <c:v>7140136</c:v>
                </c:pt>
              </c:numCache>
            </c:numRef>
          </c:val>
          <c:extLst>
            <c:ext xmlns:c16="http://schemas.microsoft.com/office/drawing/2014/chart" uri="{C3380CC4-5D6E-409C-BE32-E72D297353CC}">
              <c16:uniqueId val="{00000003-F9BC-4491-8B6C-4ADCB5C671D9}"/>
            </c:ext>
          </c:extLst>
        </c:ser>
        <c:ser>
          <c:idx val="2"/>
          <c:order val="2"/>
          <c:tx>
            <c:strRef>
              <c:f>Peers!$C$178</c:f>
              <c:strCache>
                <c:ptCount val="1"/>
                <c:pt idx="0">
                  <c:v>MU</c:v>
                </c:pt>
              </c:strCache>
            </c:strRef>
          </c:tx>
          <c:spPr>
            <a:solidFill>
              <a:schemeClr val="accent5"/>
            </a:solidFill>
            <a:ln>
              <a:noFill/>
            </a:ln>
            <a:effectLst/>
          </c:spPr>
          <c:invertIfNegative val="0"/>
          <c:cat>
            <c:strRef>
              <c:f>Peers!$D$174:$S$174</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Peers!$D$178:$S$178</c:f>
              <c:numCache>
                <c:formatCode>#,##0</c:formatCode>
                <c:ptCount val="16"/>
                <c:pt idx="0">
                  <c:v>1797550</c:v>
                </c:pt>
                <c:pt idx="1">
                  <c:v>1820220</c:v>
                </c:pt>
                <c:pt idx="2">
                  <c:v>2036160</c:v>
                </c:pt>
                <c:pt idx="3">
                  <c:v>2257000</c:v>
                </c:pt>
                <c:pt idx="4">
                  <c:v>2216950</c:v>
                </c:pt>
                <c:pt idx="5">
                  <c:v>2336080</c:v>
                </c:pt>
                <c:pt idx="6">
                  <c:v>2844370</c:v>
                </c:pt>
                <c:pt idx="7">
                  <c:v>2203880</c:v>
                </c:pt>
                <c:pt idx="8">
                  <c:v>1535220</c:v>
                </c:pt>
                <c:pt idx="9">
                  <c:v>1126620</c:v>
                </c:pt>
                <c:pt idx="10">
                  <c:v>1336130</c:v>
                </c:pt>
                <c:pt idx="11">
                  <c:v>1567840</c:v>
                </c:pt>
                <c:pt idx="12">
                  <c:v>1636300</c:v>
                </c:pt>
                <c:pt idx="13">
                  <c:v>2070080</c:v>
                </c:pt>
                <c:pt idx="14">
                  <c:v>2799980</c:v>
                </c:pt>
                <c:pt idx="15">
                  <c:v>3245170</c:v>
                </c:pt>
              </c:numCache>
            </c:numRef>
          </c:val>
          <c:extLst>
            <c:ext xmlns:c16="http://schemas.microsoft.com/office/drawing/2014/chart" uri="{C3380CC4-5D6E-409C-BE32-E72D297353CC}">
              <c16:uniqueId val="{00000005-F9BC-4491-8B6C-4ADCB5C671D9}"/>
            </c:ext>
          </c:extLst>
        </c:ser>
        <c:ser>
          <c:idx val="3"/>
          <c:order val="3"/>
          <c:tx>
            <c:strRef>
              <c:f>Peers!$C$179</c:f>
              <c:strCache>
                <c:ptCount val="1"/>
                <c:pt idx="0">
                  <c:v>KI5</c:v>
                </c:pt>
              </c:strCache>
            </c:strRef>
          </c:tx>
          <c:spPr>
            <a:solidFill>
              <a:schemeClr val="accent1">
                <a:lumMod val="60000"/>
              </a:schemeClr>
            </a:solidFill>
            <a:ln>
              <a:noFill/>
            </a:ln>
            <a:effectLst/>
          </c:spPr>
          <c:invertIfNegative val="0"/>
          <c:cat>
            <c:strRef>
              <c:f>Peers!$D$174:$S$174</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Peers!$D$179:$S$179</c:f>
              <c:numCache>
                <c:formatCode>General</c:formatCode>
                <c:ptCount val="16"/>
                <c:pt idx="13" formatCode="#,##0">
                  <c:v>1962971.13</c:v>
                </c:pt>
                <c:pt idx="14" formatCode="#,##0">
                  <c:v>2494224.46</c:v>
                </c:pt>
                <c:pt idx="15" formatCode="#,##0">
                  <c:v>2558739.31</c:v>
                </c:pt>
              </c:numCache>
            </c:numRef>
          </c:val>
          <c:extLst>
            <c:ext xmlns:c16="http://schemas.microsoft.com/office/drawing/2014/chart" uri="{C3380CC4-5D6E-409C-BE32-E72D297353CC}">
              <c16:uniqueId val="{00000007-F9BC-4491-8B6C-4ADCB5C671D9}"/>
            </c:ext>
          </c:extLst>
        </c:ser>
        <c:ser>
          <c:idx val="4"/>
          <c:order val="4"/>
          <c:tx>
            <c:strRef>
              <c:f>Peers!$C$180</c:f>
              <c:strCache>
                <c:ptCount val="1"/>
                <c:pt idx="0">
                  <c:v>WDC</c:v>
                </c:pt>
              </c:strCache>
            </c:strRef>
          </c:tx>
          <c:spPr>
            <a:solidFill>
              <a:schemeClr val="accent3">
                <a:lumMod val="60000"/>
              </a:schemeClr>
            </a:solidFill>
            <a:ln>
              <a:noFill/>
            </a:ln>
            <a:effectLst/>
          </c:spPr>
          <c:invertIfNegative val="0"/>
          <c:cat>
            <c:strRef>
              <c:f>Peers!$D$174:$S$174</c:f>
              <c:strCache>
                <c:ptCount val="16"/>
                <c:pt idx="0">
                  <c:v>Q121</c:v>
                </c:pt>
                <c:pt idx="1">
                  <c:v>Q221</c:v>
                </c:pt>
                <c:pt idx="2">
                  <c:v>Q321</c:v>
                </c:pt>
                <c:pt idx="3">
                  <c:v>Q421</c:v>
                </c:pt>
                <c:pt idx="4">
                  <c:v>Q122</c:v>
                </c:pt>
                <c:pt idx="5">
                  <c:v>Q222</c:v>
                </c:pt>
                <c:pt idx="6">
                  <c:v>Q322</c:v>
                </c:pt>
                <c:pt idx="7">
                  <c:v>Q422</c:v>
                </c:pt>
                <c:pt idx="8">
                  <c:v>Q123</c:v>
                </c:pt>
                <c:pt idx="9">
                  <c:v>Q223</c:v>
                </c:pt>
                <c:pt idx="10">
                  <c:v>Q323</c:v>
                </c:pt>
                <c:pt idx="11">
                  <c:v>Q423</c:v>
                </c:pt>
                <c:pt idx="12">
                  <c:v>Q124</c:v>
                </c:pt>
                <c:pt idx="13">
                  <c:v>Q224</c:v>
                </c:pt>
                <c:pt idx="14">
                  <c:v>Q324</c:v>
                </c:pt>
                <c:pt idx="15">
                  <c:v>Q424</c:v>
                </c:pt>
              </c:strCache>
            </c:strRef>
          </c:cat>
          <c:val>
            <c:numRef>
              <c:f>Peers!$D$180:$S$180</c:f>
              <c:numCache>
                <c:formatCode>#,##0</c:formatCode>
                <c:ptCount val="16"/>
                <c:pt idx="0">
                  <c:v>2465903.14</c:v>
                </c:pt>
                <c:pt idx="1">
                  <c:v>2269646.7200000002</c:v>
                </c:pt>
                <c:pt idx="2">
                  <c:v>2426355.0499999998</c:v>
                </c:pt>
                <c:pt idx="3">
                  <c:v>2712952.04</c:v>
                </c:pt>
                <c:pt idx="4">
                  <c:v>2891150.88</c:v>
                </c:pt>
                <c:pt idx="5">
                  <c:v>3101650.72</c:v>
                </c:pt>
                <c:pt idx="6">
                  <c:v>2704469.3</c:v>
                </c:pt>
                <c:pt idx="7">
                  <c:v>3030684.55</c:v>
                </c:pt>
                <c:pt idx="8">
                  <c:v>2311998.5299999998</c:v>
                </c:pt>
                <c:pt idx="9">
                  <c:v>2250617.19</c:v>
                </c:pt>
                <c:pt idx="10">
                  <c:v>1668290.19</c:v>
                </c:pt>
                <c:pt idx="11">
                  <c:v>1812161.45</c:v>
                </c:pt>
                <c:pt idx="12">
                  <c:v>2044080.33</c:v>
                </c:pt>
                <c:pt idx="13">
                  <c:v>2198727.2799999998</c:v>
                </c:pt>
                <c:pt idx="14">
                  <c:v>2268322.8199999998</c:v>
                </c:pt>
                <c:pt idx="15">
                  <c:v>2415003.9700000002</c:v>
                </c:pt>
              </c:numCache>
            </c:numRef>
          </c:val>
          <c:extLst>
            <c:ext xmlns:c16="http://schemas.microsoft.com/office/drawing/2014/chart" uri="{C3380CC4-5D6E-409C-BE32-E72D297353CC}">
              <c16:uniqueId val="{00000009-F9BC-4491-8B6C-4ADCB5C671D9}"/>
            </c:ext>
          </c:extLst>
        </c:ser>
        <c:dLbls>
          <c:showLegendKey val="0"/>
          <c:showVal val="0"/>
          <c:showCatName val="0"/>
          <c:showSerName val="0"/>
          <c:showPercent val="0"/>
          <c:showBubbleSize val="0"/>
        </c:dLbls>
        <c:gapWidth val="150"/>
        <c:overlap val="100"/>
        <c:axId val="228501511"/>
        <c:axId val="789423111"/>
      </c:barChart>
      <c:catAx>
        <c:axId val="228501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423111"/>
        <c:crosses val="autoZero"/>
        <c:auto val="1"/>
        <c:lblAlgn val="ctr"/>
        <c:lblOffset val="100"/>
        <c:noMultiLvlLbl val="0"/>
      </c:catAx>
      <c:valAx>
        <c:axId val="789423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01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strRef>
              <c:f>'ESG Inputs'!$B$76</c:f>
              <c:strCache>
                <c:ptCount val="1"/>
                <c:pt idx="0">
                  <c:v>SK hynix Inc.</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extLst>
                <c:ext xmlns:c15="http://schemas.microsoft.com/office/drawing/2012/chart" uri="{02D57815-91ED-43cb-92C2-25804820EDAC}">
                  <c15:fullRef>
                    <c15:sqref>'ESG Inputs'!$G$74:$Q$74</c15:sqref>
                  </c15:fullRef>
                </c:ext>
              </c:extLst>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extLst>
                <c:ext xmlns:c15="http://schemas.microsoft.com/office/drawing/2012/chart" uri="{02D57815-91ED-43cb-92C2-25804820EDAC}">
                  <c15:fullRef>
                    <c15:sqref>'ESG Inputs'!$G$76:$Q$76</c15:sqref>
                  </c15:fullRef>
                </c:ext>
              </c:extLst>
              <c:f>'ESG Inputs'!$G$76:$P$76</c:f>
              <c:numCache>
                <c:formatCode>General</c:formatCode>
                <c:ptCount val="10"/>
                <c:pt idx="0">
                  <c:v>4386</c:v>
                </c:pt>
                <c:pt idx="1">
                  <c:v>4723</c:v>
                </c:pt>
                <c:pt idx="2">
                  <c:v>4942</c:v>
                </c:pt>
                <c:pt idx="3">
                  <c:v>5088</c:v>
                </c:pt>
                <c:pt idx="4">
                  <c:v>5915</c:v>
                </c:pt>
                <c:pt idx="5">
                  <c:v>6839</c:v>
                </c:pt>
                <c:pt idx="6">
                  <c:v>7548</c:v>
                </c:pt>
                <c:pt idx="7">
                  <c:v>7843</c:v>
                </c:pt>
                <c:pt idx="8">
                  <c:v>9083</c:v>
                </c:pt>
                <c:pt idx="9">
                  <c:v>7325</c:v>
                </c:pt>
              </c:numCache>
            </c:numRef>
          </c:val>
          <c:smooth val="0"/>
          <c:extLst>
            <c:ext xmlns:c16="http://schemas.microsoft.com/office/drawing/2014/chart" uri="{C3380CC4-5D6E-409C-BE32-E72D297353CC}">
              <c16:uniqueId val="{00000000-A33D-44A1-A7C1-FB656FA5A222}"/>
            </c:ext>
          </c:extLst>
        </c:ser>
        <c:ser>
          <c:idx val="0"/>
          <c:order val="1"/>
          <c:tx>
            <c:strRef>
              <c:f>'ESG Inputs'!$B$77</c:f>
              <c:strCache>
                <c:ptCount val="1"/>
                <c:pt idx="0">
                  <c:v>Samsung Electronics Co., Ltd.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xmlns:c15="http://schemas.microsoft.com/office/drawing/2012/chart" uri="{02D57815-91ED-43cb-92C2-25804820EDAC}">
                  <c15:fullRef>
                    <c15:sqref>'ESG Inputs'!$G$74:$Q$74</c15:sqref>
                  </c15:fullRef>
                </c:ext>
              </c:extLst>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extLst>
                <c:ext xmlns:c15="http://schemas.microsoft.com/office/drawing/2012/chart" uri="{02D57815-91ED-43cb-92C2-25804820EDAC}">
                  <c15:fullRef>
                    <c15:sqref>'ESG Inputs'!$G$77:$Q$77</c15:sqref>
                  </c15:fullRef>
                </c:ext>
              </c:extLst>
              <c:f>'ESG Inputs'!$G$77:$P$77</c:f>
              <c:numCache>
                <c:formatCode>General</c:formatCode>
                <c:ptCount val="10"/>
                <c:pt idx="0">
                  <c:v>9290</c:v>
                </c:pt>
                <c:pt idx="1">
                  <c:v>10192</c:v>
                </c:pt>
                <c:pt idx="2">
                  <c:v>11600</c:v>
                </c:pt>
                <c:pt idx="3">
                  <c:v>13585</c:v>
                </c:pt>
                <c:pt idx="4">
                  <c:v>4855</c:v>
                </c:pt>
                <c:pt idx="5">
                  <c:v>5067</c:v>
                </c:pt>
                <c:pt idx="6">
                  <c:v>5726</c:v>
                </c:pt>
                <c:pt idx="7">
                  <c:v>20170</c:v>
                </c:pt>
                <c:pt idx="8">
                  <c:v>19892</c:v>
                </c:pt>
                <c:pt idx="9">
                  <c:v>18303</c:v>
                </c:pt>
              </c:numCache>
            </c:numRef>
          </c:val>
          <c:smooth val="0"/>
          <c:extLst>
            <c:ext xmlns:c16="http://schemas.microsoft.com/office/drawing/2014/chart" uri="{C3380CC4-5D6E-409C-BE32-E72D297353CC}">
              <c16:uniqueId val="{00000001-A33D-44A1-A7C1-FB656FA5A222}"/>
            </c:ext>
          </c:extLst>
        </c:ser>
        <c:ser>
          <c:idx val="1"/>
          <c:order val="2"/>
          <c:tx>
            <c:strRef>
              <c:f>'ESG Inputs'!$B$78</c:f>
              <c:strCache>
                <c:ptCount val="1"/>
                <c:pt idx="0">
                  <c:v>MICRON TECHNOLOGY,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xmlns:c15="http://schemas.microsoft.com/office/drawing/2012/chart" uri="{02D57815-91ED-43cb-92C2-25804820EDAC}">
                  <c15:fullRef>
                    <c15:sqref>'ESG Inputs'!$G$74:$Q$74</c15:sqref>
                  </c15:fullRef>
                </c:ext>
              </c:extLst>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extLst>
                <c:ext xmlns:c15="http://schemas.microsoft.com/office/drawing/2012/chart" uri="{02D57815-91ED-43cb-92C2-25804820EDAC}">
                  <c15:fullRef>
                    <c15:sqref>'ESG Inputs'!$G$78:$Q$78</c15:sqref>
                  </c15:fullRef>
                </c:ext>
              </c:extLst>
              <c:f>'ESG Inputs'!$G$78:$P$78</c:f>
              <c:numCache>
                <c:formatCode>General</c:formatCode>
                <c:ptCount val="10"/>
                <c:pt idx="0" formatCode="#,##0">
                  <c:v>0</c:v>
                </c:pt>
                <c:pt idx="1">
                  <c:v>3034</c:v>
                </c:pt>
                <c:pt idx="2">
                  <c:v>3695</c:v>
                </c:pt>
                <c:pt idx="3">
                  <c:v>5299</c:v>
                </c:pt>
                <c:pt idx="4">
                  <c:v>5619</c:v>
                </c:pt>
                <c:pt idx="5">
                  <c:v>6051</c:v>
                </c:pt>
                <c:pt idx="6">
                  <c:v>6147</c:v>
                </c:pt>
                <c:pt idx="7">
                  <c:v>6789</c:v>
                </c:pt>
                <c:pt idx="8">
                  <c:v>7343</c:v>
                </c:pt>
                <c:pt idx="9">
                  <c:v>6636</c:v>
                </c:pt>
              </c:numCache>
            </c:numRef>
          </c:val>
          <c:smooth val="0"/>
          <c:extLst>
            <c:ext xmlns:c16="http://schemas.microsoft.com/office/drawing/2014/chart" uri="{C3380CC4-5D6E-409C-BE32-E72D297353CC}">
              <c16:uniqueId val="{00000002-A33D-44A1-A7C1-FB656FA5A222}"/>
            </c:ext>
          </c:extLst>
        </c:ser>
        <c:ser>
          <c:idx val="2"/>
          <c:order val="3"/>
          <c:tx>
            <c:strRef>
              <c:f>'ESG Inputs'!$B$79</c:f>
              <c:strCache>
                <c:ptCount val="1"/>
                <c:pt idx="0">
                  <c:v>Kioxia Holdings Corporation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extLst>
                <c:ext xmlns:c15="http://schemas.microsoft.com/office/drawing/2012/chart" uri="{02D57815-91ED-43cb-92C2-25804820EDAC}">
                  <c15:fullRef>
                    <c15:sqref>'ESG Inputs'!$G$74:$Q$74</c15:sqref>
                  </c15:fullRef>
                </c:ext>
              </c:extLst>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extLst>
                <c:ext xmlns:c15="http://schemas.microsoft.com/office/drawing/2012/chart" uri="{02D57815-91ED-43cb-92C2-25804820EDAC}">
                  <c15:fullRef>
                    <c15:sqref>'ESG Inputs'!$G$79:$Q$79</c15:sqref>
                  </c15:fullRef>
                </c:ext>
              </c:extLst>
              <c:f>'ESG Inputs'!$G$79:$P$79</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3-A33D-44A1-A7C1-FB656FA5A222}"/>
            </c:ext>
          </c:extLst>
        </c:ser>
        <c:ser>
          <c:idx val="3"/>
          <c:order val="4"/>
          <c:tx>
            <c:strRef>
              <c:f>'ESG Inputs'!$B$80</c:f>
              <c:strCache>
                <c:ptCount val="1"/>
                <c:pt idx="0">
                  <c:v>WESTERN DIGITAL CORPORATION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c:ext xmlns:c15="http://schemas.microsoft.com/office/drawing/2012/chart" uri="{02D57815-91ED-43cb-92C2-25804820EDAC}">
                  <c15:fullRef>
                    <c15:sqref>'ESG Inputs'!$G$74:$Q$74</c15:sqref>
                  </c15:fullRef>
                </c:ext>
              </c:extLst>
              <c:f>'ESG Inputs'!$G$74:$P$74</c:f>
              <c:numCache>
                <c:formatCode>0</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extLst>
                <c:ext xmlns:c15="http://schemas.microsoft.com/office/drawing/2012/chart" uri="{02D57815-91ED-43cb-92C2-25804820EDAC}">
                  <c15:fullRef>
                    <c15:sqref>'ESG Inputs'!$G$80:$Q$80</c15:sqref>
                  </c15:fullRef>
                </c:ext>
              </c:extLst>
              <c:f>'ESG Inputs'!$G$80:$P$80</c:f>
              <c:numCache>
                <c:formatCode>General</c:formatCode>
                <c:ptCount val="10"/>
                <c:pt idx="0">
                  <c:v>1096</c:v>
                </c:pt>
                <c:pt idx="1">
                  <c:v>962</c:v>
                </c:pt>
                <c:pt idx="2">
                  <c:v>1172</c:v>
                </c:pt>
                <c:pt idx="3">
                  <c:v>1131</c:v>
                </c:pt>
                <c:pt idx="4">
                  <c:v>1156</c:v>
                </c:pt>
                <c:pt idx="5">
                  <c:v>1021</c:v>
                </c:pt>
                <c:pt idx="6">
                  <c:v>1003</c:v>
                </c:pt>
                <c:pt idx="7">
                  <c:v>1045</c:v>
                </c:pt>
                <c:pt idx="8">
                  <c:v>1067</c:v>
                </c:pt>
                <c:pt idx="9">
                  <c:v>107</c:v>
                </c:pt>
              </c:numCache>
            </c:numRef>
          </c:val>
          <c:smooth val="0"/>
          <c:extLst>
            <c:ext xmlns:c16="http://schemas.microsoft.com/office/drawing/2014/chart" uri="{C3380CC4-5D6E-409C-BE32-E72D297353CC}">
              <c16:uniqueId val="{00000004-A33D-44A1-A7C1-FB656FA5A222}"/>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legend>
      <c:legendPos val="b"/>
      <c:layout>
        <c:manualLayout>
          <c:xMode val="edge"/>
          <c:yMode val="edge"/>
          <c:x val="1.2949953955591448E-2"/>
          <c:y val="0.84488196610549504"/>
          <c:w val="0.97702197074670194"/>
          <c:h val="0.15511803389450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Inputs'!$B$48</c:f>
              <c:strCache>
                <c:ptCount val="1"/>
                <c:pt idx="0">
                  <c:v>SK hynix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pt idx="4">
                  <c:v>13854</c:v>
                </c:pt>
                <c:pt idx="5">
                  <c:v>14720</c:v>
                </c:pt>
                <c:pt idx="6">
                  <c:v>13418</c:v>
                </c:pt>
                <c:pt idx="7">
                  <c:v>17982</c:v>
                </c:pt>
                <c:pt idx="8">
                  <c:v>20851</c:v>
                </c:pt>
                <c:pt idx="9">
                  <c:v>19198</c:v>
                </c:pt>
              </c:numCache>
            </c:numRef>
          </c:val>
          <c:smooth val="0"/>
          <c:extLst>
            <c:ext xmlns:c16="http://schemas.microsoft.com/office/drawing/2014/chart" uri="{C3380CC4-5D6E-409C-BE32-E72D297353CC}">
              <c16:uniqueId val="{00000000-E980-4DF7-896B-DD4FDA36ADD3}"/>
            </c:ext>
          </c:extLst>
        </c:ser>
        <c:ser>
          <c:idx val="2"/>
          <c:order val="2"/>
          <c:tx>
            <c:strRef>
              <c:f>'ESG Inputs'!$B$51</c:f>
              <c:strCache>
                <c:ptCount val="1"/>
                <c:pt idx="0">
                  <c:v>Kioxia Holdings Corporation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numCache>
            </c:numRef>
          </c:val>
          <c:smooth val="0"/>
          <c:extLst>
            <c:ext xmlns:c16="http://schemas.microsoft.com/office/drawing/2014/chart" uri="{C3380CC4-5D6E-409C-BE32-E72D297353CC}">
              <c16:uniqueId val="{00000001-E980-4DF7-896B-DD4FDA36ADD3}"/>
            </c:ext>
          </c:extLst>
        </c:ser>
        <c:ser>
          <c:idx val="3"/>
          <c:order val="3"/>
          <c:tx>
            <c:strRef>
              <c:f>'ESG Inputs'!$B$52</c:f>
              <c:strCache>
                <c:ptCount val="1"/>
                <c:pt idx="0">
                  <c:v>WESTERN DIGITAL CORPORATION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Inputs'!$G$52:$Q$52</c:f>
              <c:numCache>
                <c:formatCode>General</c:formatCode>
                <c:ptCount val="11"/>
                <c:pt idx="4">
                  <c:v>9856</c:v>
                </c:pt>
                <c:pt idx="5">
                  <c:v>9106</c:v>
                </c:pt>
                <c:pt idx="6">
                  <c:v>6482</c:v>
                </c:pt>
                <c:pt idx="7">
                  <c:v>7231</c:v>
                </c:pt>
                <c:pt idx="8">
                  <c:v>6939</c:v>
                </c:pt>
                <c:pt idx="9">
                  <c:v>5480</c:v>
                </c:pt>
              </c:numCache>
            </c:numRef>
          </c:val>
          <c:smooth val="0"/>
          <c:extLst>
            <c:ext xmlns:c16="http://schemas.microsoft.com/office/drawing/2014/chart" uri="{C3380CC4-5D6E-409C-BE32-E72D297353CC}">
              <c16:uniqueId val="{00000002-E980-4DF7-896B-DD4FDA36ADD3}"/>
            </c:ext>
          </c:extLst>
        </c:ser>
        <c:ser>
          <c:idx val="1"/>
          <c:order val="4"/>
          <c:tx>
            <c:strRef>
              <c:f>'ESG Inputs'!$B$50</c:f>
              <c:strCache>
                <c:ptCount val="1"/>
                <c:pt idx="0">
                  <c:v>MICRON TECHNOLOGY,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Inputs'!$G$50:$Q$50</c:f>
              <c:numCache>
                <c:formatCode>General</c:formatCode>
                <c:ptCount val="11"/>
                <c:pt idx="4">
                  <c:v>10343</c:v>
                </c:pt>
                <c:pt idx="5">
                  <c:v>11185</c:v>
                </c:pt>
                <c:pt idx="6">
                  <c:v>12196</c:v>
                </c:pt>
                <c:pt idx="7">
                  <c:v>12811</c:v>
                </c:pt>
                <c:pt idx="8">
                  <c:v>14590</c:v>
                </c:pt>
                <c:pt idx="9">
                  <c:v>14319</c:v>
                </c:pt>
              </c:numCache>
            </c:numRef>
          </c:val>
          <c:smooth val="0"/>
          <c:extLst>
            <c:ext xmlns:c16="http://schemas.microsoft.com/office/drawing/2014/chart" uri="{C3380CC4-5D6E-409C-BE32-E72D297353CC}">
              <c16:uniqueId val="{00000003-E980-4DF7-896B-DD4FDA36ADD3}"/>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Inputs'!$B$49</c15:sqref>
                        </c15:formulaRef>
                      </c:ext>
                    </c:extLst>
                    <c:strCache>
                      <c:ptCount val="1"/>
                      <c:pt idx="0">
                        <c:v>Samsung Electronics Co., Ltd.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Inputs'!$G$46:$Q$46</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Inputs'!$G$49:$Q$49</c15:sqref>
                        </c15:formulaRef>
                      </c:ext>
                    </c:extLst>
                    <c:numCache>
                      <c:formatCode>General</c:formatCode>
                      <c:ptCount val="11"/>
                      <c:pt idx="1">
                        <c:v>19831</c:v>
                      </c:pt>
                      <c:pt idx="2">
                        <c:v>22537</c:v>
                      </c:pt>
                      <c:pt idx="3">
                        <c:v>24700</c:v>
                      </c:pt>
                      <c:pt idx="4">
                        <c:v>26531</c:v>
                      </c:pt>
                      <c:pt idx="5">
                        <c:v>26020</c:v>
                      </c:pt>
                      <c:pt idx="6">
                        <c:v>33093</c:v>
                      </c:pt>
                      <c:pt idx="7">
                        <c:v>32706</c:v>
                      </c:pt>
                      <c:pt idx="8">
                        <c:v>36691</c:v>
                      </c:pt>
                      <c:pt idx="9">
                        <c:v>34356</c:v>
                      </c:pt>
                    </c:numCache>
                  </c:numRef>
                </c:val>
                <c:smooth val="0"/>
                <c:extLst>
                  <c:ext xmlns:c16="http://schemas.microsoft.com/office/drawing/2014/chart" uri="{C3380CC4-5D6E-409C-BE32-E72D297353CC}">
                    <c16:uniqueId val="{00000004-E980-4DF7-896B-DD4FDA36ADD3}"/>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Inputs'!$B$62</c:f>
              <c:strCache>
                <c:ptCount val="1"/>
                <c:pt idx="0">
                  <c:v>SK hynix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Inputs'!$G$62:$Q$62</c:f>
              <c:numCache>
                <c:formatCode>General</c:formatCode>
                <c:ptCount val="11"/>
                <c:pt idx="0">
                  <c:v>158</c:v>
                </c:pt>
                <c:pt idx="1">
                  <c:v>189</c:v>
                </c:pt>
                <c:pt idx="2">
                  <c:v>192</c:v>
                </c:pt>
                <c:pt idx="3">
                  <c:v>295</c:v>
                </c:pt>
                <c:pt idx="4">
                  <c:v>442</c:v>
                </c:pt>
                <c:pt idx="5">
                  <c:v>413</c:v>
                </c:pt>
                <c:pt idx="6">
                  <c:v>468</c:v>
                </c:pt>
                <c:pt idx="7">
                  <c:v>505</c:v>
                </c:pt>
                <c:pt idx="8">
                  <c:v>590</c:v>
                </c:pt>
                <c:pt idx="9">
                  <c:v>501</c:v>
                </c:pt>
              </c:numCache>
            </c:numRef>
          </c:val>
          <c:smooth val="0"/>
          <c:extLst>
            <c:ext xmlns:c16="http://schemas.microsoft.com/office/drawing/2014/chart" uri="{C3380CC4-5D6E-409C-BE32-E72D297353CC}">
              <c16:uniqueId val="{00000000-F38D-409A-B510-CAA45AC4F704}"/>
            </c:ext>
          </c:extLst>
        </c:ser>
        <c:ser>
          <c:idx val="2"/>
          <c:order val="3"/>
          <c:tx>
            <c:strRef>
              <c:f>'ESG Inputs'!$B$65</c:f>
              <c:strCache>
                <c:ptCount val="1"/>
                <c:pt idx="0">
                  <c:v>Kioxia Holdings Corporation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Inputs'!$G$65:$Q$65</c:f>
              <c:numCache>
                <c:formatCode>General</c:formatCode>
                <c:ptCount val="11"/>
              </c:numCache>
            </c:numRef>
          </c:val>
          <c:smooth val="0"/>
          <c:extLst>
            <c:ext xmlns:c16="http://schemas.microsoft.com/office/drawing/2014/chart" uri="{C3380CC4-5D6E-409C-BE32-E72D297353CC}">
              <c16:uniqueId val="{00000001-F38D-409A-B510-CAA45AC4F704}"/>
            </c:ext>
          </c:extLst>
        </c:ser>
        <c:ser>
          <c:idx val="3"/>
          <c:order val="4"/>
          <c:tx>
            <c:strRef>
              <c:f>'ESG Inputs'!$B$66</c:f>
              <c:strCache>
                <c:ptCount val="1"/>
                <c:pt idx="0">
                  <c:v>WESTERN DIGITAL CORPORATION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Inputs'!$G$66:$Q$66</c:f>
              <c:numCache>
                <c:formatCode>General</c:formatCode>
                <c:ptCount val="11"/>
                <c:pt idx="8">
                  <c:v>24</c:v>
                </c:pt>
                <c:pt idx="9">
                  <c:v>20</c:v>
                </c:pt>
              </c:numCache>
            </c:numRef>
          </c:val>
          <c:smooth val="0"/>
          <c:extLst>
            <c:ext xmlns:c16="http://schemas.microsoft.com/office/drawing/2014/chart" uri="{C3380CC4-5D6E-409C-BE32-E72D297353CC}">
              <c16:uniqueId val="{00000002-F38D-409A-B510-CAA45AC4F704}"/>
            </c:ext>
          </c:extLst>
        </c:ser>
        <c:ser>
          <c:idx val="4"/>
          <c:order val="5"/>
          <c:tx>
            <c:strRef>
              <c:f>'ESG Inputs'!$B$67</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Inputs'!$G$67:$Q$67</c:f>
              <c:numCache>
                <c:formatCode>General</c:formatCode>
                <c:ptCount val="11"/>
              </c:numCache>
            </c:numRef>
          </c:val>
          <c:smooth val="0"/>
          <c:extLst>
            <c:ext xmlns:c16="http://schemas.microsoft.com/office/drawing/2014/chart" uri="{C3380CC4-5D6E-409C-BE32-E72D297353CC}">
              <c16:uniqueId val="{00000003-F38D-409A-B510-CAA45AC4F704}"/>
            </c:ext>
          </c:extLst>
        </c:ser>
        <c:ser>
          <c:idx val="6"/>
          <c:order val="6"/>
          <c:tx>
            <c:strRef>
              <c:f>'ESG Inputs'!$B$68</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Inputs'!$G$68:$Q$68</c:f>
              <c:numCache>
                <c:formatCode>General</c:formatCode>
                <c:ptCount val="11"/>
              </c:numCache>
            </c:numRef>
          </c:val>
          <c:smooth val="0"/>
          <c:extLst>
            <c:ext xmlns:c16="http://schemas.microsoft.com/office/drawing/2014/chart" uri="{C3380CC4-5D6E-409C-BE32-E72D297353CC}">
              <c16:uniqueId val="{00000004-F38D-409A-B510-CAA45AC4F704}"/>
            </c:ext>
          </c:extLst>
        </c:ser>
        <c:ser>
          <c:idx val="7"/>
          <c:order val="7"/>
          <c:tx>
            <c:strRef>
              <c:f>'ESG Inputs'!$B$69</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Inputs'!$G$69:$Q$69</c:f>
              <c:numCache>
                <c:formatCode>General</c:formatCode>
                <c:ptCount val="11"/>
              </c:numCache>
            </c:numRef>
          </c:val>
          <c:smooth val="0"/>
          <c:extLst>
            <c:ext xmlns:c16="http://schemas.microsoft.com/office/drawing/2014/chart" uri="{C3380CC4-5D6E-409C-BE32-E72D297353CC}">
              <c16:uniqueId val="{00000005-F38D-409A-B510-CAA45AC4F704}"/>
            </c:ext>
          </c:extLst>
        </c:ser>
        <c:ser>
          <c:idx val="8"/>
          <c:order val="8"/>
          <c:tx>
            <c:strRef>
              <c:f>'ESG Inputs'!$B$70</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Inputs'!$G$70:$Q$70</c:f>
              <c:numCache>
                <c:formatCode>General</c:formatCode>
                <c:ptCount val="11"/>
              </c:numCache>
            </c:numRef>
          </c:val>
          <c:smooth val="0"/>
          <c:extLst>
            <c:ext xmlns:c16="http://schemas.microsoft.com/office/drawing/2014/chart" uri="{C3380CC4-5D6E-409C-BE32-E72D297353CC}">
              <c16:uniqueId val="{00000006-F38D-409A-B510-CAA45AC4F704}"/>
            </c:ext>
          </c:extLst>
        </c:ser>
        <c:ser>
          <c:idx val="9"/>
          <c:order val="9"/>
          <c:tx>
            <c:strRef>
              <c:f>'ESG Inputs'!$B$71</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Inputs'!$G$71:$Q$71</c:f>
              <c:numCache>
                <c:formatCode>General</c:formatCode>
                <c:ptCount val="11"/>
              </c:numCache>
            </c:numRef>
          </c:val>
          <c:smooth val="0"/>
          <c:extLst>
            <c:ext xmlns:c16="http://schemas.microsoft.com/office/drawing/2014/chart" uri="{C3380CC4-5D6E-409C-BE32-E72D297353CC}">
              <c16:uniqueId val="{00000007-F38D-409A-B510-CAA45AC4F704}"/>
            </c:ext>
          </c:extLst>
        </c:ser>
        <c:ser>
          <c:idx val="10"/>
          <c:order val="10"/>
          <c:tx>
            <c:strRef>
              <c:f>'ESG Inputs'!$B$72</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Inputs'!$G$72:$Q$72</c:f>
              <c:numCache>
                <c:formatCode>General</c:formatCode>
                <c:ptCount val="11"/>
              </c:numCache>
            </c:numRef>
          </c:val>
          <c:smooth val="0"/>
          <c:extLst>
            <c:ext xmlns:c16="http://schemas.microsoft.com/office/drawing/2014/chart" uri="{C3380CC4-5D6E-409C-BE32-E72D297353CC}">
              <c16:uniqueId val="{00000008-F38D-409A-B510-CAA45AC4F704}"/>
            </c:ext>
          </c:extLst>
        </c:ser>
        <c:dLbls>
          <c:showLegendKey val="0"/>
          <c:showVal val="0"/>
          <c:showCatName val="0"/>
          <c:showSerName val="0"/>
          <c:showPercent val="0"/>
          <c:showBubbleSize val="0"/>
        </c:dLbls>
        <c:marker val="1"/>
        <c:smooth val="0"/>
        <c:axId val="1086075584"/>
        <c:axId val="1086077504"/>
        <c:extLst>
          <c:ext xmlns:c15="http://schemas.microsoft.com/office/drawing/2012/chart" uri="{02D57815-91ED-43cb-92C2-25804820EDAC}">
            <c15:filteredLineSeries>
              <c15:ser>
                <c:idx val="0"/>
                <c:order val="1"/>
                <c:tx>
                  <c:strRef>
                    <c:extLst>
                      <c:ext uri="{02D57815-91ED-43cb-92C2-25804820EDAC}">
                        <c15:formulaRef>
                          <c15:sqref>'ESG Inputs'!$B$63</c15:sqref>
                        </c15:formulaRef>
                      </c:ext>
                    </c:extLst>
                    <c:strCache>
                      <c:ptCount val="1"/>
                      <c:pt idx="0">
                        <c:v>Samsung Electronics Co., Ltd.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c:ext uri="{02D57815-91ED-43cb-92C2-25804820EDAC}">
                        <c15:formulaRef>
                          <c15:sqref>'ESG Inputs'!$G$63:$Q$63</c15:sqref>
                        </c15:formulaRef>
                      </c:ext>
                    </c:extLst>
                    <c:numCache>
                      <c:formatCode>General</c:formatCode>
                      <c:ptCount val="11"/>
                      <c:pt idx="0">
                        <c:v>778</c:v>
                      </c:pt>
                      <c:pt idx="1">
                        <c:v>937</c:v>
                      </c:pt>
                      <c:pt idx="2">
                        <c:v>1078</c:v>
                      </c:pt>
                      <c:pt idx="3">
                        <c:v>1147</c:v>
                      </c:pt>
                      <c:pt idx="4">
                        <c:v>1211</c:v>
                      </c:pt>
                      <c:pt idx="5">
                        <c:v>1099</c:v>
                      </c:pt>
                      <c:pt idx="6">
                        <c:v>1182</c:v>
                      </c:pt>
                      <c:pt idx="7">
                        <c:v>1325</c:v>
                      </c:pt>
                      <c:pt idx="8">
                        <c:v>1413</c:v>
                      </c:pt>
                      <c:pt idx="9">
                        <c:v>1315</c:v>
                      </c:pt>
                    </c:numCache>
                  </c:numRef>
                </c:val>
                <c:smooth val="0"/>
                <c:extLst>
                  <c:ext xmlns:c16="http://schemas.microsoft.com/office/drawing/2014/chart" uri="{C3380CC4-5D6E-409C-BE32-E72D297353CC}">
                    <c16:uniqueId val="{00000009-F38D-409A-B510-CAA45AC4F704}"/>
                  </c:ext>
                </c:extLst>
              </c15:ser>
            </c15:filteredLineSeries>
            <c15:filteredLineSeries>
              <c15:ser>
                <c:idx val="1"/>
                <c:order val="2"/>
                <c:tx>
                  <c:strRef>
                    <c:extLst xmlns:c15="http://schemas.microsoft.com/office/drawing/2012/chart">
                      <c:ext xmlns:c15="http://schemas.microsoft.com/office/drawing/2012/chart" uri="{02D57815-91ED-43cb-92C2-25804820EDAC}">
                        <c15:formulaRef>
                          <c15:sqref>'ESG Inputs'!$B$64</c15:sqref>
                        </c15:formulaRef>
                      </c:ext>
                    </c:extLst>
                    <c:strCache>
                      <c:ptCount val="1"/>
                      <c:pt idx="0">
                        <c:v>MICRON TECHNOLOGY,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 Inputs'!$G$60:$Q$60</c15:sqref>
                        </c15:formulaRef>
                      </c:ext>
                    </c:extLst>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extLst xmlns:c15="http://schemas.microsoft.com/office/drawing/2012/chart">
                      <c:ext xmlns:c15="http://schemas.microsoft.com/office/drawing/2012/chart" uri="{02D57815-91ED-43cb-92C2-25804820EDAC}">
                        <c15:formulaRef>
                          <c15:sqref>'ESG Inputs'!$G$64:$Q$64</c15:sqref>
                        </c15:formulaRef>
                      </c:ext>
                    </c:extLst>
                    <c:numCache>
                      <c:formatCode>General</c:formatCode>
                      <c:ptCount val="11"/>
                      <c:pt idx="1">
                        <c:v>95</c:v>
                      </c:pt>
                      <c:pt idx="2">
                        <c:v>131</c:v>
                      </c:pt>
                      <c:pt idx="3">
                        <c:v>192</c:v>
                      </c:pt>
                      <c:pt idx="4">
                        <c:v>163</c:v>
                      </c:pt>
                      <c:pt idx="5">
                        <c:v>183</c:v>
                      </c:pt>
                      <c:pt idx="6">
                        <c:v>198</c:v>
                      </c:pt>
                      <c:pt idx="7">
                        <c:v>223</c:v>
                      </c:pt>
                      <c:pt idx="8">
                        <c:v>234</c:v>
                      </c:pt>
                      <c:pt idx="9">
                        <c:v>196</c:v>
                      </c:pt>
                    </c:numCache>
                  </c:numRef>
                </c:val>
                <c:smooth val="0"/>
                <c:extLst xmlns:c15="http://schemas.microsoft.com/office/drawing/2012/chart">
                  <c:ext xmlns:c16="http://schemas.microsoft.com/office/drawing/2014/chart" uri="{C3380CC4-5D6E-409C-BE32-E72D297353CC}">
                    <c16:uniqueId val="{0000000A-F38D-409A-B510-CAA45AC4F704}"/>
                  </c:ext>
                </c:extLst>
              </c15:ser>
            </c15:filteredLineSeries>
          </c:ext>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SK hynix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pt idx="0">
                  <c:v>14408</c:v>
                </c:pt>
                <c:pt idx="1">
                  <c:v>6641</c:v>
                </c:pt>
                <c:pt idx="2">
                  <c:v>7391</c:v>
                </c:pt>
                <c:pt idx="3">
                  <c:v>8123</c:v>
                </c:pt>
                <c:pt idx="4">
                  <c:v>9713</c:v>
                </c:pt>
                <c:pt idx="5">
                  <c:v>11053</c:v>
                </c:pt>
                <c:pt idx="6">
                  <c:v>11765</c:v>
                </c:pt>
                <c:pt idx="7">
                  <c:v>13160</c:v>
                </c:pt>
                <c:pt idx="8">
                  <c:v>14768</c:v>
                </c:pt>
                <c:pt idx="9">
                  <c:v>20049</c:v>
                </c:pt>
              </c:numCache>
            </c:numRef>
          </c:val>
          <c:smooth val="0"/>
          <c:extLst>
            <c:ext xmlns:c16="http://schemas.microsoft.com/office/drawing/2014/chart" uri="{C3380CC4-5D6E-409C-BE32-E72D297353CC}">
              <c16:uniqueId val="{00000000-AC1E-4410-B719-66281604211E}"/>
            </c:ext>
          </c:extLst>
        </c:ser>
        <c:ser>
          <c:idx val="0"/>
          <c:order val="1"/>
          <c:tx>
            <c:strRef>
              <c:f>'ESG Inputs'!$B$35</c:f>
              <c:strCache>
                <c:ptCount val="1"/>
                <c:pt idx="0">
                  <c:v>Samsung Electronics Co., Ltd.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pt idx="0">
                  <c:v>16485</c:v>
                </c:pt>
                <c:pt idx="1">
                  <c:v>19006</c:v>
                </c:pt>
                <c:pt idx="2">
                  <c:v>21073</c:v>
                </c:pt>
                <c:pt idx="3">
                  <c:v>23420</c:v>
                </c:pt>
                <c:pt idx="4">
                  <c:v>26028</c:v>
                </c:pt>
                <c:pt idx="5">
                  <c:v>27452</c:v>
                </c:pt>
                <c:pt idx="6">
                  <c:v>29025</c:v>
                </c:pt>
                <c:pt idx="7">
                  <c:v>32322</c:v>
                </c:pt>
                <c:pt idx="8">
                  <c:v>35177</c:v>
                </c:pt>
                <c:pt idx="9">
                  <c:v>36399</c:v>
                </c:pt>
              </c:numCache>
            </c:numRef>
          </c:val>
          <c:smooth val="0"/>
          <c:extLst>
            <c:ext xmlns:c16="http://schemas.microsoft.com/office/drawing/2014/chart" uri="{C3380CC4-5D6E-409C-BE32-E72D297353CC}">
              <c16:uniqueId val="{00000001-AC1E-4410-B719-66281604211E}"/>
            </c:ext>
          </c:extLst>
        </c:ser>
        <c:ser>
          <c:idx val="1"/>
          <c:order val="2"/>
          <c:tx>
            <c:strRef>
              <c:f>'ESG Inputs'!$B$36</c:f>
              <c:strCache>
                <c:ptCount val="1"/>
                <c:pt idx="0">
                  <c:v>MICRON TECHNOLOGY,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pt idx="2">
                  <c:v>6695</c:v>
                </c:pt>
                <c:pt idx="3">
                  <c:v>7432</c:v>
                </c:pt>
                <c:pt idx="4">
                  <c:v>7951</c:v>
                </c:pt>
                <c:pt idx="5">
                  <c:v>8563</c:v>
                </c:pt>
                <c:pt idx="6">
                  <c:v>9399</c:v>
                </c:pt>
                <c:pt idx="7">
                  <c:v>10418</c:v>
                </c:pt>
                <c:pt idx="8">
                  <c:v>11140</c:v>
                </c:pt>
                <c:pt idx="9">
                  <c:v>11389</c:v>
                </c:pt>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Kioxia Holdings Corporation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pt idx="0">
                  <c:v>WESTERN DIGITAL CORPORATION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pt idx="2">
                  <c:v>2219</c:v>
                </c:pt>
                <c:pt idx="3">
                  <c:v>2331</c:v>
                </c:pt>
                <c:pt idx="4">
                  <c:v>2215</c:v>
                </c:pt>
                <c:pt idx="5">
                  <c:v>2067</c:v>
                </c:pt>
                <c:pt idx="6">
                  <c:v>2034</c:v>
                </c:pt>
                <c:pt idx="7">
                  <c:v>2101</c:v>
                </c:pt>
                <c:pt idx="8">
                  <c:v>2161</c:v>
                </c:pt>
                <c:pt idx="9">
                  <c:v>1916</c:v>
                </c:pt>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CORRELATION!$K$1</c:f>
              <c:strCache>
                <c:ptCount val="1"/>
                <c:pt idx="0">
                  <c:v>Volume</c:v>
                </c:pt>
              </c:strCache>
            </c:strRef>
          </c:tx>
          <c:spPr>
            <a:solidFill>
              <a:schemeClr val="accent2"/>
            </a:solidFill>
            <a:ln>
              <a:noFill/>
            </a:ln>
            <a:effectLst/>
          </c:spPr>
          <c:invertIfNegative val="0"/>
          <c:cat>
            <c:numRef>
              <c:f>CORRELATION!$A$3:$A$524</c:f>
              <c:numCache>
                <c:formatCode>m/d/yyyy</c:formatCode>
                <c:ptCount val="522"/>
                <c:pt idx="0">
                  <c:v>45757</c:v>
                </c:pt>
                <c:pt idx="1">
                  <c:v>45751</c:v>
                </c:pt>
                <c:pt idx="2">
                  <c:v>45744</c:v>
                </c:pt>
                <c:pt idx="3">
                  <c:v>45737</c:v>
                </c:pt>
                <c:pt idx="4">
                  <c:v>45730</c:v>
                </c:pt>
                <c:pt idx="5">
                  <c:v>45723</c:v>
                </c:pt>
                <c:pt idx="6">
                  <c:v>45716</c:v>
                </c:pt>
                <c:pt idx="7">
                  <c:v>45709</c:v>
                </c:pt>
                <c:pt idx="8">
                  <c:v>45702</c:v>
                </c:pt>
                <c:pt idx="9">
                  <c:v>45695</c:v>
                </c:pt>
                <c:pt idx="10">
                  <c:v>45688</c:v>
                </c:pt>
                <c:pt idx="11">
                  <c:v>45681</c:v>
                </c:pt>
                <c:pt idx="12">
                  <c:v>45674</c:v>
                </c:pt>
                <c:pt idx="13">
                  <c:v>45667</c:v>
                </c:pt>
                <c:pt idx="14">
                  <c:v>45660</c:v>
                </c:pt>
                <c:pt idx="15">
                  <c:v>45653</c:v>
                </c:pt>
                <c:pt idx="16">
                  <c:v>45646</c:v>
                </c:pt>
                <c:pt idx="17">
                  <c:v>45639</c:v>
                </c:pt>
                <c:pt idx="18">
                  <c:v>45632</c:v>
                </c:pt>
                <c:pt idx="19">
                  <c:v>45625</c:v>
                </c:pt>
                <c:pt idx="20">
                  <c:v>45618</c:v>
                </c:pt>
                <c:pt idx="21">
                  <c:v>45611</c:v>
                </c:pt>
                <c:pt idx="22">
                  <c:v>45604</c:v>
                </c:pt>
                <c:pt idx="23">
                  <c:v>45597</c:v>
                </c:pt>
                <c:pt idx="24">
                  <c:v>45590</c:v>
                </c:pt>
                <c:pt idx="25">
                  <c:v>45583</c:v>
                </c:pt>
                <c:pt idx="26">
                  <c:v>45576</c:v>
                </c:pt>
                <c:pt idx="27">
                  <c:v>45569</c:v>
                </c:pt>
                <c:pt idx="28">
                  <c:v>45562</c:v>
                </c:pt>
                <c:pt idx="29">
                  <c:v>45555</c:v>
                </c:pt>
                <c:pt idx="30">
                  <c:v>45548</c:v>
                </c:pt>
                <c:pt idx="31">
                  <c:v>45541</c:v>
                </c:pt>
                <c:pt idx="32">
                  <c:v>45534</c:v>
                </c:pt>
                <c:pt idx="33">
                  <c:v>45527</c:v>
                </c:pt>
                <c:pt idx="34">
                  <c:v>45520</c:v>
                </c:pt>
                <c:pt idx="35">
                  <c:v>45513</c:v>
                </c:pt>
                <c:pt idx="36">
                  <c:v>45506</c:v>
                </c:pt>
                <c:pt idx="37">
                  <c:v>45499</c:v>
                </c:pt>
                <c:pt idx="38">
                  <c:v>45492</c:v>
                </c:pt>
                <c:pt idx="39">
                  <c:v>45485</c:v>
                </c:pt>
                <c:pt idx="40">
                  <c:v>45478</c:v>
                </c:pt>
                <c:pt idx="41">
                  <c:v>45471</c:v>
                </c:pt>
                <c:pt idx="42">
                  <c:v>45464</c:v>
                </c:pt>
                <c:pt idx="43">
                  <c:v>45457</c:v>
                </c:pt>
                <c:pt idx="44">
                  <c:v>45450</c:v>
                </c:pt>
                <c:pt idx="45">
                  <c:v>45443</c:v>
                </c:pt>
                <c:pt idx="46">
                  <c:v>45436</c:v>
                </c:pt>
                <c:pt idx="47">
                  <c:v>45429</c:v>
                </c:pt>
                <c:pt idx="48">
                  <c:v>45422</c:v>
                </c:pt>
                <c:pt idx="49">
                  <c:v>45415</c:v>
                </c:pt>
                <c:pt idx="50">
                  <c:v>45408</c:v>
                </c:pt>
                <c:pt idx="51">
                  <c:v>45401</c:v>
                </c:pt>
                <c:pt idx="52">
                  <c:v>45394</c:v>
                </c:pt>
                <c:pt idx="53">
                  <c:v>45387</c:v>
                </c:pt>
                <c:pt idx="54">
                  <c:v>45380</c:v>
                </c:pt>
                <c:pt idx="55">
                  <c:v>45373</c:v>
                </c:pt>
                <c:pt idx="56">
                  <c:v>45366</c:v>
                </c:pt>
                <c:pt idx="57">
                  <c:v>45359</c:v>
                </c:pt>
                <c:pt idx="58">
                  <c:v>45352</c:v>
                </c:pt>
                <c:pt idx="59">
                  <c:v>45345</c:v>
                </c:pt>
                <c:pt idx="60">
                  <c:v>45338</c:v>
                </c:pt>
                <c:pt idx="61">
                  <c:v>45331</c:v>
                </c:pt>
                <c:pt idx="62">
                  <c:v>45324</c:v>
                </c:pt>
                <c:pt idx="63">
                  <c:v>45317</c:v>
                </c:pt>
                <c:pt idx="64">
                  <c:v>45310</c:v>
                </c:pt>
                <c:pt idx="65">
                  <c:v>45303</c:v>
                </c:pt>
                <c:pt idx="66">
                  <c:v>45296</c:v>
                </c:pt>
                <c:pt idx="67">
                  <c:v>45289</c:v>
                </c:pt>
                <c:pt idx="68">
                  <c:v>45282</c:v>
                </c:pt>
                <c:pt idx="69">
                  <c:v>45275</c:v>
                </c:pt>
                <c:pt idx="70">
                  <c:v>45268</c:v>
                </c:pt>
                <c:pt idx="71">
                  <c:v>45261</c:v>
                </c:pt>
                <c:pt idx="72">
                  <c:v>45254</c:v>
                </c:pt>
                <c:pt idx="73">
                  <c:v>45247</c:v>
                </c:pt>
                <c:pt idx="74">
                  <c:v>45240</c:v>
                </c:pt>
                <c:pt idx="75">
                  <c:v>45233</c:v>
                </c:pt>
                <c:pt idx="76">
                  <c:v>45226</c:v>
                </c:pt>
                <c:pt idx="77">
                  <c:v>45219</c:v>
                </c:pt>
                <c:pt idx="78">
                  <c:v>45212</c:v>
                </c:pt>
                <c:pt idx="79">
                  <c:v>45205</c:v>
                </c:pt>
                <c:pt idx="80">
                  <c:v>45198</c:v>
                </c:pt>
                <c:pt idx="81">
                  <c:v>45191</c:v>
                </c:pt>
                <c:pt idx="82">
                  <c:v>45184</c:v>
                </c:pt>
                <c:pt idx="83">
                  <c:v>45177</c:v>
                </c:pt>
                <c:pt idx="84">
                  <c:v>45170</c:v>
                </c:pt>
                <c:pt idx="85">
                  <c:v>45163</c:v>
                </c:pt>
                <c:pt idx="86">
                  <c:v>45156</c:v>
                </c:pt>
                <c:pt idx="87">
                  <c:v>45149</c:v>
                </c:pt>
                <c:pt idx="88">
                  <c:v>45142</c:v>
                </c:pt>
                <c:pt idx="89">
                  <c:v>45135</c:v>
                </c:pt>
                <c:pt idx="90">
                  <c:v>45128</c:v>
                </c:pt>
                <c:pt idx="91">
                  <c:v>45121</c:v>
                </c:pt>
                <c:pt idx="92">
                  <c:v>45114</c:v>
                </c:pt>
                <c:pt idx="93">
                  <c:v>45107</c:v>
                </c:pt>
                <c:pt idx="94">
                  <c:v>45100</c:v>
                </c:pt>
                <c:pt idx="95">
                  <c:v>45093</c:v>
                </c:pt>
                <c:pt idx="96">
                  <c:v>45086</c:v>
                </c:pt>
                <c:pt idx="97">
                  <c:v>45079</c:v>
                </c:pt>
                <c:pt idx="98">
                  <c:v>45072</c:v>
                </c:pt>
                <c:pt idx="99">
                  <c:v>45065</c:v>
                </c:pt>
                <c:pt idx="100">
                  <c:v>45058</c:v>
                </c:pt>
                <c:pt idx="101">
                  <c:v>45051</c:v>
                </c:pt>
                <c:pt idx="102">
                  <c:v>45044</c:v>
                </c:pt>
                <c:pt idx="103">
                  <c:v>45037</c:v>
                </c:pt>
                <c:pt idx="104">
                  <c:v>45030</c:v>
                </c:pt>
                <c:pt idx="105">
                  <c:v>45023</c:v>
                </c:pt>
                <c:pt idx="106">
                  <c:v>45016</c:v>
                </c:pt>
                <c:pt idx="107">
                  <c:v>45009</c:v>
                </c:pt>
                <c:pt idx="108">
                  <c:v>45002</c:v>
                </c:pt>
                <c:pt idx="109">
                  <c:v>44995</c:v>
                </c:pt>
                <c:pt idx="110">
                  <c:v>44988</c:v>
                </c:pt>
                <c:pt idx="111">
                  <c:v>44981</c:v>
                </c:pt>
                <c:pt idx="112">
                  <c:v>44974</c:v>
                </c:pt>
                <c:pt idx="113">
                  <c:v>44967</c:v>
                </c:pt>
                <c:pt idx="114">
                  <c:v>44960</c:v>
                </c:pt>
                <c:pt idx="115">
                  <c:v>44953</c:v>
                </c:pt>
                <c:pt idx="116">
                  <c:v>44946</c:v>
                </c:pt>
                <c:pt idx="117">
                  <c:v>44939</c:v>
                </c:pt>
                <c:pt idx="118">
                  <c:v>44932</c:v>
                </c:pt>
                <c:pt idx="119">
                  <c:v>44925</c:v>
                </c:pt>
                <c:pt idx="120">
                  <c:v>44918</c:v>
                </c:pt>
                <c:pt idx="121">
                  <c:v>44911</c:v>
                </c:pt>
                <c:pt idx="122">
                  <c:v>44904</c:v>
                </c:pt>
                <c:pt idx="123">
                  <c:v>44897</c:v>
                </c:pt>
                <c:pt idx="124">
                  <c:v>44890</c:v>
                </c:pt>
                <c:pt idx="125">
                  <c:v>44883</c:v>
                </c:pt>
                <c:pt idx="126">
                  <c:v>44876</c:v>
                </c:pt>
                <c:pt idx="127">
                  <c:v>44869</c:v>
                </c:pt>
                <c:pt idx="128">
                  <c:v>44862</c:v>
                </c:pt>
                <c:pt idx="129">
                  <c:v>44855</c:v>
                </c:pt>
                <c:pt idx="130">
                  <c:v>44848</c:v>
                </c:pt>
                <c:pt idx="131">
                  <c:v>44841</c:v>
                </c:pt>
                <c:pt idx="132">
                  <c:v>44834</c:v>
                </c:pt>
                <c:pt idx="133">
                  <c:v>44827</c:v>
                </c:pt>
                <c:pt idx="134">
                  <c:v>44820</c:v>
                </c:pt>
                <c:pt idx="135">
                  <c:v>44813</c:v>
                </c:pt>
                <c:pt idx="136">
                  <c:v>44806</c:v>
                </c:pt>
                <c:pt idx="137">
                  <c:v>44799</c:v>
                </c:pt>
                <c:pt idx="138">
                  <c:v>44792</c:v>
                </c:pt>
                <c:pt idx="139">
                  <c:v>44785</c:v>
                </c:pt>
                <c:pt idx="140">
                  <c:v>44778</c:v>
                </c:pt>
                <c:pt idx="141">
                  <c:v>44771</c:v>
                </c:pt>
                <c:pt idx="142">
                  <c:v>44764</c:v>
                </c:pt>
                <c:pt idx="143">
                  <c:v>44757</c:v>
                </c:pt>
                <c:pt idx="144">
                  <c:v>44750</c:v>
                </c:pt>
                <c:pt idx="145">
                  <c:v>44743</c:v>
                </c:pt>
                <c:pt idx="146">
                  <c:v>44736</c:v>
                </c:pt>
                <c:pt idx="147">
                  <c:v>44729</c:v>
                </c:pt>
                <c:pt idx="148">
                  <c:v>44722</c:v>
                </c:pt>
                <c:pt idx="149">
                  <c:v>44715</c:v>
                </c:pt>
                <c:pt idx="150">
                  <c:v>44708</c:v>
                </c:pt>
                <c:pt idx="151">
                  <c:v>44701</c:v>
                </c:pt>
                <c:pt idx="152">
                  <c:v>44694</c:v>
                </c:pt>
                <c:pt idx="153">
                  <c:v>44687</c:v>
                </c:pt>
                <c:pt idx="154">
                  <c:v>44680</c:v>
                </c:pt>
                <c:pt idx="155">
                  <c:v>44673</c:v>
                </c:pt>
                <c:pt idx="156">
                  <c:v>44666</c:v>
                </c:pt>
                <c:pt idx="157">
                  <c:v>44659</c:v>
                </c:pt>
                <c:pt idx="158">
                  <c:v>44652</c:v>
                </c:pt>
                <c:pt idx="159">
                  <c:v>44645</c:v>
                </c:pt>
                <c:pt idx="160">
                  <c:v>44638</c:v>
                </c:pt>
                <c:pt idx="161">
                  <c:v>44631</c:v>
                </c:pt>
                <c:pt idx="162">
                  <c:v>44624</c:v>
                </c:pt>
                <c:pt idx="163">
                  <c:v>44617</c:v>
                </c:pt>
                <c:pt idx="164">
                  <c:v>44610</c:v>
                </c:pt>
                <c:pt idx="165">
                  <c:v>44603</c:v>
                </c:pt>
                <c:pt idx="166">
                  <c:v>44596</c:v>
                </c:pt>
                <c:pt idx="167">
                  <c:v>44589</c:v>
                </c:pt>
                <c:pt idx="168">
                  <c:v>44582</c:v>
                </c:pt>
                <c:pt idx="169">
                  <c:v>44575</c:v>
                </c:pt>
                <c:pt idx="170">
                  <c:v>44568</c:v>
                </c:pt>
                <c:pt idx="171">
                  <c:v>44561</c:v>
                </c:pt>
                <c:pt idx="172">
                  <c:v>44554</c:v>
                </c:pt>
                <c:pt idx="173">
                  <c:v>44547</c:v>
                </c:pt>
                <c:pt idx="174">
                  <c:v>44540</c:v>
                </c:pt>
                <c:pt idx="175">
                  <c:v>44533</c:v>
                </c:pt>
                <c:pt idx="176">
                  <c:v>44526</c:v>
                </c:pt>
                <c:pt idx="177">
                  <c:v>44519</c:v>
                </c:pt>
                <c:pt idx="178">
                  <c:v>44512</c:v>
                </c:pt>
                <c:pt idx="179">
                  <c:v>44505</c:v>
                </c:pt>
                <c:pt idx="180">
                  <c:v>44498</c:v>
                </c:pt>
                <c:pt idx="181">
                  <c:v>44491</c:v>
                </c:pt>
                <c:pt idx="182">
                  <c:v>44484</c:v>
                </c:pt>
                <c:pt idx="183">
                  <c:v>44477</c:v>
                </c:pt>
                <c:pt idx="184">
                  <c:v>44470</c:v>
                </c:pt>
                <c:pt idx="185">
                  <c:v>44463</c:v>
                </c:pt>
                <c:pt idx="186">
                  <c:v>44456</c:v>
                </c:pt>
                <c:pt idx="187">
                  <c:v>44449</c:v>
                </c:pt>
                <c:pt idx="188">
                  <c:v>44442</c:v>
                </c:pt>
                <c:pt idx="189">
                  <c:v>44435</c:v>
                </c:pt>
                <c:pt idx="190">
                  <c:v>44428</c:v>
                </c:pt>
                <c:pt idx="191">
                  <c:v>44421</c:v>
                </c:pt>
                <c:pt idx="192">
                  <c:v>44414</c:v>
                </c:pt>
                <c:pt idx="193">
                  <c:v>44407</c:v>
                </c:pt>
                <c:pt idx="194">
                  <c:v>44400</c:v>
                </c:pt>
                <c:pt idx="195">
                  <c:v>44393</c:v>
                </c:pt>
                <c:pt idx="196">
                  <c:v>44386</c:v>
                </c:pt>
                <c:pt idx="197">
                  <c:v>44379</c:v>
                </c:pt>
                <c:pt idx="198">
                  <c:v>44372</c:v>
                </c:pt>
                <c:pt idx="199">
                  <c:v>44365</c:v>
                </c:pt>
                <c:pt idx="200">
                  <c:v>44358</c:v>
                </c:pt>
                <c:pt idx="201">
                  <c:v>44351</c:v>
                </c:pt>
                <c:pt idx="202">
                  <c:v>44344</c:v>
                </c:pt>
                <c:pt idx="203">
                  <c:v>44337</c:v>
                </c:pt>
                <c:pt idx="204">
                  <c:v>44330</c:v>
                </c:pt>
                <c:pt idx="205">
                  <c:v>44323</c:v>
                </c:pt>
                <c:pt idx="206">
                  <c:v>44316</c:v>
                </c:pt>
                <c:pt idx="207">
                  <c:v>44309</c:v>
                </c:pt>
                <c:pt idx="208">
                  <c:v>44302</c:v>
                </c:pt>
                <c:pt idx="209">
                  <c:v>44295</c:v>
                </c:pt>
                <c:pt idx="210">
                  <c:v>44288</c:v>
                </c:pt>
                <c:pt idx="211">
                  <c:v>44281</c:v>
                </c:pt>
                <c:pt idx="212">
                  <c:v>44274</c:v>
                </c:pt>
                <c:pt idx="213">
                  <c:v>44267</c:v>
                </c:pt>
                <c:pt idx="214">
                  <c:v>44260</c:v>
                </c:pt>
                <c:pt idx="215">
                  <c:v>44253</c:v>
                </c:pt>
                <c:pt idx="216">
                  <c:v>44246</c:v>
                </c:pt>
                <c:pt idx="217">
                  <c:v>44239</c:v>
                </c:pt>
                <c:pt idx="218">
                  <c:v>44232</c:v>
                </c:pt>
                <c:pt idx="219">
                  <c:v>44225</c:v>
                </c:pt>
                <c:pt idx="220">
                  <c:v>44218</c:v>
                </c:pt>
                <c:pt idx="221">
                  <c:v>44211</c:v>
                </c:pt>
                <c:pt idx="222">
                  <c:v>44204</c:v>
                </c:pt>
                <c:pt idx="223">
                  <c:v>44197</c:v>
                </c:pt>
                <c:pt idx="224">
                  <c:v>44190</c:v>
                </c:pt>
                <c:pt idx="225">
                  <c:v>44183</c:v>
                </c:pt>
                <c:pt idx="226">
                  <c:v>44176</c:v>
                </c:pt>
                <c:pt idx="227">
                  <c:v>44169</c:v>
                </c:pt>
                <c:pt idx="228">
                  <c:v>44162</c:v>
                </c:pt>
                <c:pt idx="229">
                  <c:v>44155</c:v>
                </c:pt>
                <c:pt idx="230">
                  <c:v>44148</c:v>
                </c:pt>
                <c:pt idx="231">
                  <c:v>44141</c:v>
                </c:pt>
                <c:pt idx="232">
                  <c:v>44134</c:v>
                </c:pt>
                <c:pt idx="233">
                  <c:v>44127</c:v>
                </c:pt>
                <c:pt idx="234">
                  <c:v>44120</c:v>
                </c:pt>
                <c:pt idx="235">
                  <c:v>44113</c:v>
                </c:pt>
                <c:pt idx="236">
                  <c:v>44106</c:v>
                </c:pt>
                <c:pt idx="237">
                  <c:v>44099</c:v>
                </c:pt>
                <c:pt idx="238">
                  <c:v>44092</c:v>
                </c:pt>
                <c:pt idx="239">
                  <c:v>44085</c:v>
                </c:pt>
                <c:pt idx="240">
                  <c:v>44078</c:v>
                </c:pt>
                <c:pt idx="241">
                  <c:v>44071</c:v>
                </c:pt>
                <c:pt idx="242">
                  <c:v>44064</c:v>
                </c:pt>
                <c:pt idx="243">
                  <c:v>44057</c:v>
                </c:pt>
                <c:pt idx="244">
                  <c:v>44050</c:v>
                </c:pt>
                <c:pt idx="245">
                  <c:v>44043</c:v>
                </c:pt>
                <c:pt idx="246">
                  <c:v>44036</c:v>
                </c:pt>
                <c:pt idx="247">
                  <c:v>44029</c:v>
                </c:pt>
                <c:pt idx="248">
                  <c:v>44022</c:v>
                </c:pt>
                <c:pt idx="249">
                  <c:v>44015</c:v>
                </c:pt>
                <c:pt idx="250">
                  <c:v>44008</c:v>
                </c:pt>
                <c:pt idx="251">
                  <c:v>44001</c:v>
                </c:pt>
                <c:pt idx="252">
                  <c:v>43994</c:v>
                </c:pt>
                <c:pt idx="253">
                  <c:v>43987</c:v>
                </c:pt>
                <c:pt idx="254">
                  <c:v>43980</c:v>
                </c:pt>
                <c:pt idx="255">
                  <c:v>43973</c:v>
                </c:pt>
                <c:pt idx="256">
                  <c:v>43966</c:v>
                </c:pt>
                <c:pt idx="257">
                  <c:v>43959</c:v>
                </c:pt>
                <c:pt idx="258">
                  <c:v>43952</c:v>
                </c:pt>
                <c:pt idx="259">
                  <c:v>43945</c:v>
                </c:pt>
                <c:pt idx="260">
                  <c:v>43938</c:v>
                </c:pt>
                <c:pt idx="261">
                  <c:v>43931</c:v>
                </c:pt>
                <c:pt idx="262">
                  <c:v>43924</c:v>
                </c:pt>
                <c:pt idx="263">
                  <c:v>43917</c:v>
                </c:pt>
                <c:pt idx="264">
                  <c:v>43910</c:v>
                </c:pt>
                <c:pt idx="265">
                  <c:v>43903</c:v>
                </c:pt>
                <c:pt idx="266">
                  <c:v>43896</c:v>
                </c:pt>
                <c:pt idx="267">
                  <c:v>43889</c:v>
                </c:pt>
                <c:pt idx="268">
                  <c:v>43882</c:v>
                </c:pt>
                <c:pt idx="269">
                  <c:v>43875</c:v>
                </c:pt>
                <c:pt idx="270">
                  <c:v>43868</c:v>
                </c:pt>
                <c:pt idx="271">
                  <c:v>43861</c:v>
                </c:pt>
                <c:pt idx="272">
                  <c:v>43854</c:v>
                </c:pt>
                <c:pt idx="273">
                  <c:v>43847</c:v>
                </c:pt>
                <c:pt idx="274">
                  <c:v>43840</c:v>
                </c:pt>
                <c:pt idx="275">
                  <c:v>43833</c:v>
                </c:pt>
                <c:pt idx="276">
                  <c:v>43826</c:v>
                </c:pt>
                <c:pt idx="277">
                  <c:v>43819</c:v>
                </c:pt>
                <c:pt idx="278">
                  <c:v>43812</c:v>
                </c:pt>
                <c:pt idx="279">
                  <c:v>43805</c:v>
                </c:pt>
                <c:pt idx="280">
                  <c:v>43798</c:v>
                </c:pt>
                <c:pt idx="281">
                  <c:v>43791</c:v>
                </c:pt>
                <c:pt idx="282">
                  <c:v>43784</c:v>
                </c:pt>
                <c:pt idx="283">
                  <c:v>43777</c:v>
                </c:pt>
                <c:pt idx="284">
                  <c:v>43770</c:v>
                </c:pt>
                <c:pt idx="285">
                  <c:v>43763</c:v>
                </c:pt>
                <c:pt idx="286">
                  <c:v>43756</c:v>
                </c:pt>
                <c:pt idx="287">
                  <c:v>43749</c:v>
                </c:pt>
                <c:pt idx="288">
                  <c:v>43742</c:v>
                </c:pt>
                <c:pt idx="289">
                  <c:v>43735</c:v>
                </c:pt>
                <c:pt idx="290">
                  <c:v>43728</c:v>
                </c:pt>
                <c:pt idx="291">
                  <c:v>43721</c:v>
                </c:pt>
                <c:pt idx="292">
                  <c:v>43714</c:v>
                </c:pt>
                <c:pt idx="293">
                  <c:v>43707</c:v>
                </c:pt>
                <c:pt idx="294">
                  <c:v>43700</c:v>
                </c:pt>
                <c:pt idx="295">
                  <c:v>43693</c:v>
                </c:pt>
                <c:pt idx="296">
                  <c:v>43686</c:v>
                </c:pt>
                <c:pt idx="297">
                  <c:v>43679</c:v>
                </c:pt>
                <c:pt idx="298">
                  <c:v>43672</c:v>
                </c:pt>
                <c:pt idx="299">
                  <c:v>43665</c:v>
                </c:pt>
                <c:pt idx="300">
                  <c:v>43658</c:v>
                </c:pt>
                <c:pt idx="301">
                  <c:v>43651</c:v>
                </c:pt>
                <c:pt idx="302">
                  <c:v>43644</c:v>
                </c:pt>
                <c:pt idx="303">
                  <c:v>43637</c:v>
                </c:pt>
                <c:pt idx="304">
                  <c:v>43630</c:v>
                </c:pt>
                <c:pt idx="305">
                  <c:v>43623</c:v>
                </c:pt>
                <c:pt idx="306">
                  <c:v>43616</c:v>
                </c:pt>
                <c:pt idx="307">
                  <c:v>43609</c:v>
                </c:pt>
                <c:pt idx="308">
                  <c:v>43602</c:v>
                </c:pt>
                <c:pt idx="309">
                  <c:v>43595</c:v>
                </c:pt>
                <c:pt idx="310">
                  <c:v>43588</c:v>
                </c:pt>
                <c:pt idx="311">
                  <c:v>43581</c:v>
                </c:pt>
                <c:pt idx="312">
                  <c:v>43574</c:v>
                </c:pt>
                <c:pt idx="313">
                  <c:v>43567</c:v>
                </c:pt>
                <c:pt idx="314">
                  <c:v>43560</c:v>
                </c:pt>
                <c:pt idx="315">
                  <c:v>43553</c:v>
                </c:pt>
                <c:pt idx="316">
                  <c:v>43546</c:v>
                </c:pt>
                <c:pt idx="317">
                  <c:v>43539</c:v>
                </c:pt>
                <c:pt idx="318">
                  <c:v>43532</c:v>
                </c:pt>
                <c:pt idx="319">
                  <c:v>43525</c:v>
                </c:pt>
                <c:pt idx="320">
                  <c:v>43518</c:v>
                </c:pt>
                <c:pt idx="321">
                  <c:v>43511</c:v>
                </c:pt>
                <c:pt idx="322">
                  <c:v>43504</c:v>
                </c:pt>
                <c:pt idx="323">
                  <c:v>43497</c:v>
                </c:pt>
                <c:pt idx="324">
                  <c:v>43490</c:v>
                </c:pt>
                <c:pt idx="325">
                  <c:v>43483</c:v>
                </c:pt>
                <c:pt idx="326">
                  <c:v>43476</c:v>
                </c:pt>
                <c:pt idx="327">
                  <c:v>43469</c:v>
                </c:pt>
                <c:pt idx="328">
                  <c:v>43462</c:v>
                </c:pt>
                <c:pt idx="329">
                  <c:v>43455</c:v>
                </c:pt>
                <c:pt idx="330">
                  <c:v>43448</c:v>
                </c:pt>
                <c:pt idx="331">
                  <c:v>43441</c:v>
                </c:pt>
                <c:pt idx="332">
                  <c:v>43434</c:v>
                </c:pt>
                <c:pt idx="333">
                  <c:v>43427</c:v>
                </c:pt>
                <c:pt idx="334">
                  <c:v>43420</c:v>
                </c:pt>
                <c:pt idx="335">
                  <c:v>43413</c:v>
                </c:pt>
                <c:pt idx="336">
                  <c:v>43406</c:v>
                </c:pt>
                <c:pt idx="337">
                  <c:v>43399</c:v>
                </c:pt>
                <c:pt idx="338">
                  <c:v>43392</c:v>
                </c:pt>
                <c:pt idx="339">
                  <c:v>43385</c:v>
                </c:pt>
                <c:pt idx="340">
                  <c:v>43378</c:v>
                </c:pt>
                <c:pt idx="341">
                  <c:v>43371</c:v>
                </c:pt>
                <c:pt idx="342">
                  <c:v>43364</c:v>
                </c:pt>
                <c:pt idx="343">
                  <c:v>43357</c:v>
                </c:pt>
                <c:pt idx="344">
                  <c:v>43350</c:v>
                </c:pt>
                <c:pt idx="345">
                  <c:v>43343</c:v>
                </c:pt>
                <c:pt idx="346">
                  <c:v>43336</c:v>
                </c:pt>
                <c:pt idx="347">
                  <c:v>43329</c:v>
                </c:pt>
                <c:pt idx="348">
                  <c:v>43322</c:v>
                </c:pt>
                <c:pt idx="349">
                  <c:v>43315</c:v>
                </c:pt>
                <c:pt idx="350">
                  <c:v>43308</c:v>
                </c:pt>
                <c:pt idx="351">
                  <c:v>43301</c:v>
                </c:pt>
                <c:pt idx="352">
                  <c:v>43294</c:v>
                </c:pt>
                <c:pt idx="353">
                  <c:v>43287</c:v>
                </c:pt>
                <c:pt idx="354">
                  <c:v>43280</c:v>
                </c:pt>
                <c:pt idx="355">
                  <c:v>43273</c:v>
                </c:pt>
                <c:pt idx="356">
                  <c:v>43266</c:v>
                </c:pt>
                <c:pt idx="357">
                  <c:v>43259</c:v>
                </c:pt>
                <c:pt idx="358">
                  <c:v>43252</c:v>
                </c:pt>
                <c:pt idx="359">
                  <c:v>43245</c:v>
                </c:pt>
                <c:pt idx="360">
                  <c:v>43238</c:v>
                </c:pt>
                <c:pt idx="361">
                  <c:v>43231</c:v>
                </c:pt>
                <c:pt idx="362">
                  <c:v>43224</c:v>
                </c:pt>
                <c:pt idx="363">
                  <c:v>43217</c:v>
                </c:pt>
                <c:pt idx="364">
                  <c:v>43210</c:v>
                </c:pt>
                <c:pt idx="365">
                  <c:v>43203</c:v>
                </c:pt>
                <c:pt idx="366">
                  <c:v>43196</c:v>
                </c:pt>
                <c:pt idx="367">
                  <c:v>43189</c:v>
                </c:pt>
                <c:pt idx="368">
                  <c:v>43182</c:v>
                </c:pt>
                <c:pt idx="369">
                  <c:v>43175</c:v>
                </c:pt>
                <c:pt idx="370">
                  <c:v>43168</c:v>
                </c:pt>
                <c:pt idx="371">
                  <c:v>43161</c:v>
                </c:pt>
                <c:pt idx="372">
                  <c:v>43154</c:v>
                </c:pt>
                <c:pt idx="373">
                  <c:v>43147</c:v>
                </c:pt>
                <c:pt idx="374">
                  <c:v>43140</c:v>
                </c:pt>
                <c:pt idx="375">
                  <c:v>43133</c:v>
                </c:pt>
                <c:pt idx="376">
                  <c:v>43126</c:v>
                </c:pt>
                <c:pt idx="377">
                  <c:v>43119</c:v>
                </c:pt>
                <c:pt idx="378">
                  <c:v>43112</c:v>
                </c:pt>
                <c:pt idx="379">
                  <c:v>43105</c:v>
                </c:pt>
                <c:pt idx="380">
                  <c:v>43098</c:v>
                </c:pt>
                <c:pt idx="381">
                  <c:v>43091</c:v>
                </c:pt>
                <c:pt idx="382">
                  <c:v>43084</c:v>
                </c:pt>
                <c:pt idx="383">
                  <c:v>43077</c:v>
                </c:pt>
                <c:pt idx="384">
                  <c:v>43070</c:v>
                </c:pt>
                <c:pt idx="385">
                  <c:v>43063</c:v>
                </c:pt>
                <c:pt idx="386">
                  <c:v>43056</c:v>
                </c:pt>
                <c:pt idx="387">
                  <c:v>43049</c:v>
                </c:pt>
                <c:pt idx="388">
                  <c:v>43042</c:v>
                </c:pt>
                <c:pt idx="389">
                  <c:v>43035</c:v>
                </c:pt>
                <c:pt idx="390">
                  <c:v>43028</c:v>
                </c:pt>
                <c:pt idx="391">
                  <c:v>43021</c:v>
                </c:pt>
                <c:pt idx="392">
                  <c:v>43014</c:v>
                </c:pt>
                <c:pt idx="393">
                  <c:v>43007</c:v>
                </c:pt>
                <c:pt idx="394">
                  <c:v>43000</c:v>
                </c:pt>
                <c:pt idx="395">
                  <c:v>42993</c:v>
                </c:pt>
                <c:pt idx="396">
                  <c:v>42986</c:v>
                </c:pt>
                <c:pt idx="397">
                  <c:v>42979</c:v>
                </c:pt>
                <c:pt idx="398">
                  <c:v>42972</c:v>
                </c:pt>
                <c:pt idx="399">
                  <c:v>42965</c:v>
                </c:pt>
                <c:pt idx="400">
                  <c:v>42958</c:v>
                </c:pt>
                <c:pt idx="401">
                  <c:v>42951</c:v>
                </c:pt>
                <c:pt idx="402">
                  <c:v>42944</c:v>
                </c:pt>
                <c:pt idx="403">
                  <c:v>42937</c:v>
                </c:pt>
                <c:pt idx="404">
                  <c:v>42930</c:v>
                </c:pt>
                <c:pt idx="405">
                  <c:v>42923</c:v>
                </c:pt>
                <c:pt idx="406">
                  <c:v>42916</c:v>
                </c:pt>
                <c:pt idx="407">
                  <c:v>42909</c:v>
                </c:pt>
                <c:pt idx="408">
                  <c:v>42902</c:v>
                </c:pt>
                <c:pt idx="409">
                  <c:v>42895</c:v>
                </c:pt>
                <c:pt idx="410">
                  <c:v>42888</c:v>
                </c:pt>
                <c:pt idx="411">
                  <c:v>42881</c:v>
                </c:pt>
                <c:pt idx="412">
                  <c:v>42874</c:v>
                </c:pt>
                <c:pt idx="413">
                  <c:v>42867</c:v>
                </c:pt>
                <c:pt idx="414">
                  <c:v>42860</c:v>
                </c:pt>
                <c:pt idx="415">
                  <c:v>42853</c:v>
                </c:pt>
                <c:pt idx="416">
                  <c:v>42846</c:v>
                </c:pt>
                <c:pt idx="417">
                  <c:v>42839</c:v>
                </c:pt>
                <c:pt idx="418">
                  <c:v>42832</c:v>
                </c:pt>
                <c:pt idx="419">
                  <c:v>42825</c:v>
                </c:pt>
                <c:pt idx="420">
                  <c:v>42818</c:v>
                </c:pt>
                <c:pt idx="421">
                  <c:v>42811</c:v>
                </c:pt>
                <c:pt idx="422">
                  <c:v>42804</c:v>
                </c:pt>
                <c:pt idx="423">
                  <c:v>42797</c:v>
                </c:pt>
                <c:pt idx="424">
                  <c:v>42790</c:v>
                </c:pt>
                <c:pt idx="425">
                  <c:v>42783</c:v>
                </c:pt>
                <c:pt idx="426">
                  <c:v>42776</c:v>
                </c:pt>
                <c:pt idx="427">
                  <c:v>42769</c:v>
                </c:pt>
                <c:pt idx="428">
                  <c:v>42762</c:v>
                </c:pt>
                <c:pt idx="429">
                  <c:v>42755</c:v>
                </c:pt>
                <c:pt idx="430">
                  <c:v>42748</c:v>
                </c:pt>
                <c:pt idx="431">
                  <c:v>42741</c:v>
                </c:pt>
                <c:pt idx="432">
                  <c:v>42734</c:v>
                </c:pt>
                <c:pt idx="433">
                  <c:v>42727</c:v>
                </c:pt>
                <c:pt idx="434">
                  <c:v>42720</c:v>
                </c:pt>
                <c:pt idx="435">
                  <c:v>42713</c:v>
                </c:pt>
                <c:pt idx="436">
                  <c:v>42706</c:v>
                </c:pt>
                <c:pt idx="437">
                  <c:v>42699</c:v>
                </c:pt>
                <c:pt idx="438">
                  <c:v>42692</c:v>
                </c:pt>
                <c:pt idx="439">
                  <c:v>42685</c:v>
                </c:pt>
                <c:pt idx="440">
                  <c:v>42678</c:v>
                </c:pt>
                <c:pt idx="441">
                  <c:v>42671</c:v>
                </c:pt>
                <c:pt idx="442">
                  <c:v>42664</c:v>
                </c:pt>
                <c:pt idx="443">
                  <c:v>42657</c:v>
                </c:pt>
                <c:pt idx="444">
                  <c:v>42650</c:v>
                </c:pt>
                <c:pt idx="445">
                  <c:v>42643</c:v>
                </c:pt>
                <c:pt idx="446">
                  <c:v>42636</c:v>
                </c:pt>
                <c:pt idx="447">
                  <c:v>42629</c:v>
                </c:pt>
                <c:pt idx="448">
                  <c:v>42622</c:v>
                </c:pt>
                <c:pt idx="449">
                  <c:v>42615</c:v>
                </c:pt>
                <c:pt idx="450">
                  <c:v>42608</c:v>
                </c:pt>
                <c:pt idx="451">
                  <c:v>42601</c:v>
                </c:pt>
                <c:pt idx="452">
                  <c:v>42594</c:v>
                </c:pt>
                <c:pt idx="453">
                  <c:v>42587</c:v>
                </c:pt>
                <c:pt idx="454">
                  <c:v>42580</c:v>
                </c:pt>
                <c:pt idx="455">
                  <c:v>42573</c:v>
                </c:pt>
                <c:pt idx="456">
                  <c:v>42566</c:v>
                </c:pt>
                <c:pt idx="457">
                  <c:v>42559</c:v>
                </c:pt>
                <c:pt idx="458">
                  <c:v>42552</c:v>
                </c:pt>
                <c:pt idx="459">
                  <c:v>42545</c:v>
                </c:pt>
                <c:pt idx="460">
                  <c:v>42538</c:v>
                </c:pt>
                <c:pt idx="461">
                  <c:v>42531</c:v>
                </c:pt>
                <c:pt idx="462">
                  <c:v>42524</c:v>
                </c:pt>
                <c:pt idx="463">
                  <c:v>42517</c:v>
                </c:pt>
                <c:pt idx="464">
                  <c:v>42510</c:v>
                </c:pt>
                <c:pt idx="465">
                  <c:v>42503</c:v>
                </c:pt>
                <c:pt idx="466">
                  <c:v>42496</c:v>
                </c:pt>
                <c:pt idx="467">
                  <c:v>42489</c:v>
                </c:pt>
                <c:pt idx="468">
                  <c:v>42482</c:v>
                </c:pt>
                <c:pt idx="469">
                  <c:v>42475</c:v>
                </c:pt>
                <c:pt idx="470">
                  <c:v>42468</c:v>
                </c:pt>
                <c:pt idx="471">
                  <c:v>42461</c:v>
                </c:pt>
                <c:pt idx="472">
                  <c:v>42454</c:v>
                </c:pt>
                <c:pt idx="473">
                  <c:v>42447</c:v>
                </c:pt>
                <c:pt idx="474">
                  <c:v>42440</c:v>
                </c:pt>
                <c:pt idx="475">
                  <c:v>42433</c:v>
                </c:pt>
                <c:pt idx="476">
                  <c:v>42426</c:v>
                </c:pt>
                <c:pt idx="477">
                  <c:v>42419</c:v>
                </c:pt>
                <c:pt idx="478">
                  <c:v>42412</c:v>
                </c:pt>
                <c:pt idx="479">
                  <c:v>42405</c:v>
                </c:pt>
                <c:pt idx="480">
                  <c:v>42398</c:v>
                </c:pt>
                <c:pt idx="481">
                  <c:v>42391</c:v>
                </c:pt>
                <c:pt idx="482">
                  <c:v>42384</c:v>
                </c:pt>
                <c:pt idx="483">
                  <c:v>42377</c:v>
                </c:pt>
                <c:pt idx="484">
                  <c:v>42370</c:v>
                </c:pt>
                <c:pt idx="485">
                  <c:v>42363</c:v>
                </c:pt>
                <c:pt idx="486">
                  <c:v>42356</c:v>
                </c:pt>
                <c:pt idx="487">
                  <c:v>42349</c:v>
                </c:pt>
                <c:pt idx="488">
                  <c:v>42342</c:v>
                </c:pt>
                <c:pt idx="489">
                  <c:v>42335</c:v>
                </c:pt>
                <c:pt idx="490">
                  <c:v>42328</c:v>
                </c:pt>
                <c:pt idx="491">
                  <c:v>42321</c:v>
                </c:pt>
                <c:pt idx="492">
                  <c:v>42314</c:v>
                </c:pt>
                <c:pt idx="493">
                  <c:v>42307</c:v>
                </c:pt>
                <c:pt idx="494">
                  <c:v>42300</c:v>
                </c:pt>
                <c:pt idx="495">
                  <c:v>42293</c:v>
                </c:pt>
                <c:pt idx="496">
                  <c:v>42286</c:v>
                </c:pt>
                <c:pt idx="497">
                  <c:v>42279</c:v>
                </c:pt>
                <c:pt idx="498">
                  <c:v>42272</c:v>
                </c:pt>
                <c:pt idx="499">
                  <c:v>42265</c:v>
                </c:pt>
                <c:pt idx="500">
                  <c:v>42258</c:v>
                </c:pt>
                <c:pt idx="501">
                  <c:v>42251</c:v>
                </c:pt>
                <c:pt idx="502">
                  <c:v>42244</c:v>
                </c:pt>
                <c:pt idx="503">
                  <c:v>42237</c:v>
                </c:pt>
                <c:pt idx="504">
                  <c:v>42230</c:v>
                </c:pt>
                <c:pt idx="505">
                  <c:v>42223</c:v>
                </c:pt>
                <c:pt idx="506">
                  <c:v>42216</c:v>
                </c:pt>
                <c:pt idx="507">
                  <c:v>42209</c:v>
                </c:pt>
                <c:pt idx="508">
                  <c:v>42202</c:v>
                </c:pt>
                <c:pt idx="509">
                  <c:v>42195</c:v>
                </c:pt>
                <c:pt idx="510">
                  <c:v>42188</c:v>
                </c:pt>
                <c:pt idx="511">
                  <c:v>42181</c:v>
                </c:pt>
                <c:pt idx="512">
                  <c:v>42174</c:v>
                </c:pt>
                <c:pt idx="513">
                  <c:v>42167</c:v>
                </c:pt>
                <c:pt idx="514">
                  <c:v>42160</c:v>
                </c:pt>
                <c:pt idx="515">
                  <c:v>42153</c:v>
                </c:pt>
                <c:pt idx="516">
                  <c:v>42146</c:v>
                </c:pt>
                <c:pt idx="517">
                  <c:v>42139</c:v>
                </c:pt>
                <c:pt idx="518">
                  <c:v>42132</c:v>
                </c:pt>
                <c:pt idx="519">
                  <c:v>42125</c:v>
                </c:pt>
                <c:pt idx="520">
                  <c:v>42118</c:v>
                </c:pt>
                <c:pt idx="521">
                  <c:v>42111</c:v>
                </c:pt>
              </c:numCache>
            </c:numRef>
          </c:cat>
          <c:val>
            <c:numRef>
              <c:f>CORRELATION!$K$3:$K$524</c:f>
              <c:numCache>
                <c:formatCode>General</c:formatCode>
                <c:ptCount val="522"/>
                <c:pt idx="0">
                  <c:v>28720000</c:v>
                </c:pt>
                <c:pt idx="1">
                  <c:v>23000000</c:v>
                </c:pt>
                <c:pt idx="2">
                  <c:v>10890000</c:v>
                </c:pt>
                <c:pt idx="3">
                  <c:v>16890000</c:v>
                </c:pt>
                <c:pt idx="4">
                  <c:v>17310000</c:v>
                </c:pt>
                <c:pt idx="5">
                  <c:v>14830000</c:v>
                </c:pt>
                <c:pt idx="6">
                  <c:v>20110000</c:v>
                </c:pt>
                <c:pt idx="7">
                  <c:v>13650000</c:v>
                </c:pt>
                <c:pt idx="8">
                  <c:v>14330000</c:v>
                </c:pt>
                <c:pt idx="9">
                  <c:v>24260000</c:v>
                </c:pt>
                <c:pt idx="10">
                  <c:v>11870000</c:v>
                </c:pt>
                <c:pt idx="11">
                  <c:v>22030000</c:v>
                </c:pt>
                <c:pt idx="12">
                  <c:v>22480000</c:v>
                </c:pt>
                <c:pt idx="13">
                  <c:v>30510000</c:v>
                </c:pt>
                <c:pt idx="14">
                  <c:v>7770000</c:v>
                </c:pt>
                <c:pt idx="15">
                  <c:v>9800000</c:v>
                </c:pt>
                <c:pt idx="16">
                  <c:v>18150000</c:v>
                </c:pt>
                <c:pt idx="17">
                  <c:v>18970000</c:v>
                </c:pt>
                <c:pt idx="18">
                  <c:v>22550000</c:v>
                </c:pt>
                <c:pt idx="19">
                  <c:v>21520000</c:v>
                </c:pt>
                <c:pt idx="20">
                  <c:v>19390000</c:v>
                </c:pt>
                <c:pt idx="21">
                  <c:v>20370000</c:v>
                </c:pt>
                <c:pt idx="22">
                  <c:v>16600000</c:v>
                </c:pt>
                <c:pt idx="23">
                  <c:v>19810000</c:v>
                </c:pt>
                <c:pt idx="24">
                  <c:v>22140000</c:v>
                </c:pt>
                <c:pt idx="25">
                  <c:v>21660000</c:v>
                </c:pt>
                <c:pt idx="26">
                  <c:v>17690000</c:v>
                </c:pt>
                <c:pt idx="27">
                  <c:v>13210000</c:v>
                </c:pt>
                <c:pt idx="28">
                  <c:v>29010000</c:v>
                </c:pt>
                <c:pt idx="29">
                  <c:v>22160000</c:v>
                </c:pt>
                <c:pt idx="30">
                  <c:v>26280000</c:v>
                </c:pt>
                <c:pt idx="31">
                  <c:v>25620000</c:v>
                </c:pt>
                <c:pt idx="32">
                  <c:v>29080000</c:v>
                </c:pt>
                <c:pt idx="33">
                  <c:v>20280000</c:v>
                </c:pt>
                <c:pt idx="34">
                  <c:v>20030000</c:v>
                </c:pt>
                <c:pt idx="35">
                  <c:v>43320000</c:v>
                </c:pt>
                <c:pt idx="36">
                  <c:v>35130000</c:v>
                </c:pt>
                <c:pt idx="37">
                  <c:v>38750000</c:v>
                </c:pt>
                <c:pt idx="38">
                  <c:v>26700000</c:v>
                </c:pt>
                <c:pt idx="39">
                  <c:v>20010000</c:v>
                </c:pt>
                <c:pt idx="40">
                  <c:v>19010000</c:v>
                </c:pt>
                <c:pt idx="41">
                  <c:v>22110000</c:v>
                </c:pt>
                <c:pt idx="42">
                  <c:v>15870000</c:v>
                </c:pt>
                <c:pt idx="43">
                  <c:v>16760000</c:v>
                </c:pt>
                <c:pt idx="44">
                  <c:v>12490000</c:v>
                </c:pt>
                <c:pt idx="45">
                  <c:v>18290000</c:v>
                </c:pt>
                <c:pt idx="46">
                  <c:v>18490000</c:v>
                </c:pt>
                <c:pt idx="47">
                  <c:v>13920000</c:v>
                </c:pt>
                <c:pt idx="48">
                  <c:v>12330000</c:v>
                </c:pt>
                <c:pt idx="49">
                  <c:v>12050000</c:v>
                </c:pt>
                <c:pt idx="50">
                  <c:v>24920000</c:v>
                </c:pt>
                <c:pt idx="51">
                  <c:v>23680000</c:v>
                </c:pt>
                <c:pt idx="52">
                  <c:v>12780000</c:v>
                </c:pt>
                <c:pt idx="53">
                  <c:v>21730000</c:v>
                </c:pt>
                <c:pt idx="54">
                  <c:v>22220000</c:v>
                </c:pt>
                <c:pt idx="55">
                  <c:v>27160000</c:v>
                </c:pt>
                <c:pt idx="56">
                  <c:v>19380000</c:v>
                </c:pt>
                <c:pt idx="57">
                  <c:v>19660000</c:v>
                </c:pt>
                <c:pt idx="58">
                  <c:v>17490000</c:v>
                </c:pt>
                <c:pt idx="59">
                  <c:v>24760000</c:v>
                </c:pt>
                <c:pt idx="60">
                  <c:v>18130000</c:v>
                </c:pt>
                <c:pt idx="61">
                  <c:v>17100000</c:v>
                </c:pt>
                <c:pt idx="62">
                  <c:v>14910000</c:v>
                </c:pt>
                <c:pt idx="63">
                  <c:v>17230000</c:v>
                </c:pt>
                <c:pt idx="64">
                  <c:v>17350000</c:v>
                </c:pt>
                <c:pt idx="65">
                  <c:v>15220000</c:v>
                </c:pt>
                <c:pt idx="66">
                  <c:v>9910000</c:v>
                </c:pt>
                <c:pt idx="67">
                  <c:v>7040000</c:v>
                </c:pt>
                <c:pt idx="68">
                  <c:v>13880000</c:v>
                </c:pt>
                <c:pt idx="69">
                  <c:v>22910000</c:v>
                </c:pt>
                <c:pt idx="70">
                  <c:v>14970000</c:v>
                </c:pt>
                <c:pt idx="71">
                  <c:v>14320000</c:v>
                </c:pt>
                <c:pt idx="72">
                  <c:v>10340000</c:v>
                </c:pt>
                <c:pt idx="73">
                  <c:v>13750000</c:v>
                </c:pt>
                <c:pt idx="74">
                  <c:v>20080000</c:v>
                </c:pt>
                <c:pt idx="75">
                  <c:v>15210000</c:v>
                </c:pt>
                <c:pt idx="76">
                  <c:v>19730000</c:v>
                </c:pt>
                <c:pt idx="77">
                  <c:v>23140000</c:v>
                </c:pt>
                <c:pt idx="78">
                  <c:v>17100000</c:v>
                </c:pt>
                <c:pt idx="79">
                  <c:v>14720000</c:v>
                </c:pt>
                <c:pt idx="80">
                  <c:v>8480000</c:v>
                </c:pt>
                <c:pt idx="81">
                  <c:v>12600000</c:v>
                </c:pt>
                <c:pt idx="82">
                  <c:v>16680000</c:v>
                </c:pt>
                <c:pt idx="83">
                  <c:v>14790000</c:v>
                </c:pt>
                <c:pt idx="84">
                  <c:v>14350000</c:v>
                </c:pt>
                <c:pt idx="85">
                  <c:v>18450000</c:v>
                </c:pt>
                <c:pt idx="86">
                  <c:v>12300000</c:v>
                </c:pt>
                <c:pt idx="87">
                  <c:v>14040000</c:v>
                </c:pt>
                <c:pt idx="88">
                  <c:v>18920000</c:v>
                </c:pt>
                <c:pt idx="89">
                  <c:v>28790000</c:v>
                </c:pt>
                <c:pt idx="90">
                  <c:v>12000000</c:v>
                </c:pt>
                <c:pt idx="91">
                  <c:v>16840000</c:v>
                </c:pt>
                <c:pt idx="92">
                  <c:v>13740000</c:v>
                </c:pt>
                <c:pt idx="93">
                  <c:v>17200000</c:v>
                </c:pt>
                <c:pt idx="94">
                  <c:v>15860000</c:v>
                </c:pt>
                <c:pt idx="95">
                  <c:v>20190000</c:v>
                </c:pt>
                <c:pt idx="96">
                  <c:v>18940000</c:v>
                </c:pt>
                <c:pt idx="97">
                  <c:v>26770000</c:v>
                </c:pt>
                <c:pt idx="98">
                  <c:v>26390000</c:v>
                </c:pt>
                <c:pt idx="99">
                  <c:v>19360000</c:v>
                </c:pt>
                <c:pt idx="100">
                  <c:v>12570000</c:v>
                </c:pt>
                <c:pt idx="101">
                  <c:v>6000000</c:v>
                </c:pt>
                <c:pt idx="102">
                  <c:v>16110000</c:v>
                </c:pt>
                <c:pt idx="103">
                  <c:v>10040000</c:v>
                </c:pt>
                <c:pt idx="104">
                  <c:v>22370000</c:v>
                </c:pt>
                <c:pt idx="105">
                  <c:v>39940000</c:v>
                </c:pt>
                <c:pt idx="106">
                  <c:v>16400000</c:v>
                </c:pt>
                <c:pt idx="107">
                  <c:v>14530000</c:v>
                </c:pt>
                <c:pt idx="108">
                  <c:v>22620000</c:v>
                </c:pt>
                <c:pt idx="109">
                  <c:v>13580000</c:v>
                </c:pt>
                <c:pt idx="110">
                  <c:v>8890000</c:v>
                </c:pt>
                <c:pt idx="111">
                  <c:v>11710000</c:v>
                </c:pt>
                <c:pt idx="112">
                  <c:v>10600000</c:v>
                </c:pt>
                <c:pt idx="113">
                  <c:v>13530000</c:v>
                </c:pt>
                <c:pt idx="114">
                  <c:v>18740000</c:v>
                </c:pt>
                <c:pt idx="115">
                  <c:v>8490000</c:v>
                </c:pt>
                <c:pt idx="116">
                  <c:v>8650000</c:v>
                </c:pt>
                <c:pt idx="117">
                  <c:v>15260000</c:v>
                </c:pt>
                <c:pt idx="118">
                  <c:v>16450000</c:v>
                </c:pt>
                <c:pt idx="119">
                  <c:v>6740000</c:v>
                </c:pt>
                <c:pt idx="120">
                  <c:v>8310000</c:v>
                </c:pt>
                <c:pt idx="121">
                  <c:v>11900000</c:v>
                </c:pt>
                <c:pt idx="122">
                  <c:v>16680000</c:v>
                </c:pt>
                <c:pt idx="123">
                  <c:v>14780000</c:v>
                </c:pt>
                <c:pt idx="124">
                  <c:v>8800000</c:v>
                </c:pt>
                <c:pt idx="125">
                  <c:v>14240000</c:v>
                </c:pt>
                <c:pt idx="126">
                  <c:v>17040000</c:v>
                </c:pt>
                <c:pt idx="127">
                  <c:v>18560000</c:v>
                </c:pt>
                <c:pt idx="128">
                  <c:v>20430000</c:v>
                </c:pt>
                <c:pt idx="129">
                  <c:v>15190000</c:v>
                </c:pt>
                <c:pt idx="130">
                  <c:v>16400000</c:v>
                </c:pt>
                <c:pt idx="131">
                  <c:v>16340000</c:v>
                </c:pt>
                <c:pt idx="132">
                  <c:v>15730000</c:v>
                </c:pt>
                <c:pt idx="133">
                  <c:v>15430000</c:v>
                </c:pt>
                <c:pt idx="134">
                  <c:v>9730000</c:v>
                </c:pt>
                <c:pt idx="135">
                  <c:v>7160000</c:v>
                </c:pt>
                <c:pt idx="136">
                  <c:v>11010000</c:v>
                </c:pt>
                <c:pt idx="137">
                  <c:v>10160000</c:v>
                </c:pt>
                <c:pt idx="138">
                  <c:v>9810000</c:v>
                </c:pt>
                <c:pt idx="139">
                  <c:v>17830000</c:v>
                </c:pt>
                <c:pt idx="140">
                  <c:v>9640000</c:v>
                </c:pt>
                <c:pt idx="141">
                  <c:v>14240000</c:v>
                </c:pt>
                <c:pt idx="142">
                  <c:v>16530000</c:v>
                </c:pt>
                <c:pt idx="143">
                  <c:v>14000000</c:v>
                </c:pt>
                <c:pt idx="144">
                  <c:v>18020000</c:v>
                </c:pt>
                <c:pt idx="145">
                  <c:v>16020000</c:v>
                </c:pt>
                <c:pt idx="146">
                  <c:v>15630000</c:v>
                </c:pt>
                <c:pt idx="147">
                  <c:v>17730000</c:v>
                </c:pt>
                <c:pt idx="148">
                  <c:v>14370000</c:v>
                </c:pt>
                <c:pt idx="149">
                  <c:v>10810000</c:v>
                </c:pt>
                <c:pt idx="150">
                  <c:v>24010000</c:v>
                </c:pt>
                <c:pt idx="151">
                  <c:v>15640000</c:v>
                </c:pt>
                <c:pt idx="152">
                  <c:v>18140000</c:v>
                </c:pt>
                <c:pt idx="153">
                  <c:v>9910000</c:v>
                </c:pt>
                <c:pt idx="154">
                  <c:v>15070000</c:v>
                </c:pt>
                <c:pt idx="155">
                  <c:v>14160000</c:v>
                </c:pt>
                <c:pt idx="156">
                  <c:v>16020000</c:v>
                </c:pt>
                <c:pt idx="157">
                  <c:v>18410000</c:v>
                </c:pt>
                <c:pt idx="158">
                  <c:v>18460000</c:v>
                </c:pt>
                <c:pt idx="159">
                  <c:v>19500000</c:v>
                </c:pt>
                <c:pt idx="160">
                  <c:v>22200000</c:v>
                </c:pt>
                <c:pt idx="161">
                  <c:v>15820000</c:v>
                </c:pt>
                <c:pt idx="162">
                  <c:v>12470000</c:v>
                </c:pt>
                <c:pt idx="163">
                  <c:v>19040000</c:v>
                </c:pt>
                <c:pt idx="164">
                  <c:v>22100000</c:v>
                </c:pt>
                <c:pt idx="165">
                  <c:v>26520000</c:v>
                </c:pt>
                <c:pt idx="166">
                  <c:v>8210000</c:v>
                </c:pt>
                <c:pt idx="167">
                  <c:v>25460000</c:v>
                </c:pt>
                <c:pt idx="168">
                  <c:v>23340000</c:v>
                </c:pt>
                <c:pt idx="169">
                  <c:v>18890000</c:v>
                </c:pt>
                <c:pt idx="170">
                  <c:v>21820000</c:v>
                </c:pt>
                <c:pt idx="171">
                  <c:v>15780000</c:v>
                </c:pt>
                <c:pt idx="172">
                  <c:v>15200000</c:v>
                </c:pt>
                <c:pt idx="173">
                  <c:v>15930000</c:v>
                </c:pt>
                <c:pt idx="174">
                  <c:v>23740000</c:v>
                </c:pt>
                <c:pt idx="175">
                  <c:v>27620000</c:v>
                </c:pt>
                <c:pt idx="176">
                  <c:v>26310000</c:v>
                </c:pt>
                <c:pt idx="177">
                  <c:v>15780000</c:v>
                </c:pt>
                <c:pt idx="178">
                  <c:v>12530000</c:v>
                </c:pt>
                <c:pt idx="179">
                  <c:v>13710000</c:v>
                </c:pt>
                <c:pt idx="180">
                  <c:v>19610000</c:v>
                </c:pt>
                <c:pt idx="181">
                  <c:v>9640000</c:v>
                </c:pt>
                <c:pt idx="182">
                  <c:v>14420000</c:v>
                </c:pt>
                <c:pt idx="183">
                  <c:v>13990000</c:v>
                </c:pt>
                <c:pt idx="184">
                  <c:v>17740000</c:v>
                </c:pt>
                <c:pt idx="185">
                  <c:v>4730000</c:v>
                </c:pt>
                <c:pt idx="186">
                  <c:v>14310000</c:v>
                </c:pt>
                <c:pt idx="187">
                  <c:v>12560000</c:v>
                </c:pt>
                <c:pt idx="188">
                  <c:v>16770000</c:v>
                </c:pt>
                <c:pt idx="189">
                  <c:v>19370000</c:v>
                </c:pt>
                <c:pt idx="190">
                  <c:v>26780000</c:v>
                </c:pt>
                <c:pt idx="191">
                  <c:v>52660000</c:v>
                </c:pt>
                <c:pt idx="192">
                  <c:v>18540000</c:v>
                </c:pt>
                <c:pt idx="193">
                  <c:v>16730000</c:v>
                </c:pt>
                <c:pt idx="194">
                  <c:v>10670000</c:v>
                </c:pt>
                <c:pt idx="195">
                  <c:v>12210000</c:v>
                </c:pt>
                <c:pt idx="196">
                  <c:v>13920000</c:v>
                </c:pt>
                <c:pt idx="197">
                  <c:v>16280000</c:v>
                </c:pt>
                <c:pt idx="198">
                  <c:v>13340000</c:v>
                </c:pt>
                <c:pt idx="199">
                  <c:v>10520000</c:v>
                </c:pt>
                <c:pt idx="200">
                  <c:v>22250000</c:v>
                </c:pt>
                <c:pt idx="201">
                  <c:v>14060000</c:v>
                </c:pt>
                <c:pt idx="202">
                  <c:v>16330000</c:v>
                </c:pt>
                <c:pt idx="203">
                  <c:v>15240000</c:v>
                </c:pt>
                <c:pt idx="204">
                  <c:v>30490000</c:v>
                </c:pt>
                <c:pt idx="205">
                  <c:v>14290000</c:v>
                </c:pt>
                <c:pt idx="206">
                  <c:v>19590000</c:v>
                </c:pt>
                <c:pt idx="207">
                  <c:v>17060000</c:v>
                </c:pt>
                <c:pt idx="208">
                  <c:v>13810000</c:v>
                </c:pt>
                <c:pt idx="209">
                  <c:v>15850000</c:v>
                </c:pt>
                <c:pt idx="210">
                  <c:v>19450000</c:v>
                </c:pt>
                <c:pt idx="211">
                  <c:v>18450000</c:v>
                </c:pt>
                <c:pt idx="212">
                  <c:v>18630000</c:v>
                </c:pt>
                <c:pt idx="213">
                  <c:v>30280000</c:v>
                </c:pt>
                <c:pt idx="214">
                  <c:v>27880000</c:v>
                </c:pt>
                <c:pt idx="215">
                  <c:v>44220000</c:v>
                </c:pt>
                <c:pt idx="216">
                  <c:v>23000000</c:v>
                </c:pt>
                <c:pt idx="217">
                  <c:v>12320000</c:v>
                </c:pt>
                <c:pt idx="218">
                  <c:v>22290000</c:v>
                </c:pt>
                <c:pt idx="219">
                  <c:v>30060000</c:v>
                </c:pt>
                <c:pt idx="220">
                  <c:v>22350000</c:v>
                </c:pt>
                <c:pt idx="221">
                  <c:v>36860000</c:v>
                </c:pt>
                <c:pt idx="222">
                  <c:v>38400000</c:v>
                </c:pt>
                <c:pt idx="223">
                  <c:v>13230000</c:v>
                </c:pt>
                <c:pt idx="224">
                  <c:v>14520000</c:v>
                </c:pt>
                <c:pt idx="225">
                  <c:v>14700000</c:v>
                </c:pt>
                <c:pt idx="226">
                  <c:v>27370000</c:v>
                </c:pt>
                <c:pt idx="227">
                  <c:v>30700000</c:v>
                </c:pt>
                <c:pt idx="228">
                  <c:v>16910000</c:v>
                </c:pt>
                <c:pt idx="229">
                  <c:v>23420000</c:v>
                </c:pt>
                <c:pt idx="230">
                  <c:v>15710000</c:v>
                </c:pt>
                <c:pt idx="231">
                  <c:v>14790000</c:v>
                </c:pt>
                <c:pt idx="232">
                  <c:v>11050000</c:v>
                </c:pt>
                <c:pt idx="233">
                  <c:v>19900000</c:v>
                </c:pt>
                <c:pt idx="234">
                  <c:v>19300000</c:v>
                </c:pt>
                <c:pt idx="235">
                  <c:v>11730000</c:v>
                </c:pt>
                <c:pt idx="236">
                  <c:v>7860000</c:v>
                </c:pt>
                <c:pt idx="237">
                  <c:v>22290000</c:v>
                </c:pt>
                <c:pt idx="238">
                  <c:v>22370000</c:v>
                </c:pt>
                <c:pt idx="239">
                  <c:v>16460000</c:v>
                </c:pt>
                <c:pt idx="240">
                  <c:v>21610000</c:v>
                </c:pt>
                <c:pt idx="241">
                  <c:v>19250000</c:v>
                </c:pt>
                <c:pt idx="242">
                  <c:v>27930000</c:v>
                </c:pt>
                <c:pt idx="243">
                  <c:v>16750000</c:v>
                </c:pt>
                <c:pt idx="244">
                  <c:v>19360000</c:v>
                </c:pt>
                <c:pt idx="245">
                  <c:v>22760000</c:v>
                </c:pt>
                <c:pt idx="246">
                  <c:v>16320000</c:v>
                </c:pt>
                <c:pt idx="247">
                  <c:v>11050000</c:v>
                </c:pt>
                <c:pt idx="248">
                  <c:v>15490000</c:v>
                </c:pt>
                <c:pt idx="249">
                  <c:v>15790000</c:v>
                </c:pt>
                <c:pt idx="250">
                  <c:v>15490000</c:v>
                </c:pt>
                <c:pt idx="251">
                  <c:v>18090000</c:v>
                </c:pt>
                <c:pt idx="252">
                  <c:v>20450000</c:v>
                </c:pt>
                <c:pt idx="253">
                  <c:v>29640000</c:v>
                </c:pt>
                <c:pt idx="254">
                  <c:v>24880000</c:v>
                </c:pt>
                <c:pt idx="255">
                  <c:v>19990000</c:v>
                </c:pt>
                <c:pt idx="256">
                  <c:v>22320000</c:v>
                </c:pt>
                <c:pt idx="257">
                  <c:v>16330000</c:v>
                </c:pt>
                <c:pt idx="258">
                  <c:v>10190000</c:v>
                </c:pt>
                <c:pt idx="259">
                  <c:v>25170000</c:v>
                </c:pt>
                <c:pt idx="260">
                  <c:v>17640000</c:v>
                </c:pt>
                <c:pt idx="261">
                  <c:v>22950000</c:v>
                </c:pt>
                <c:pt idx="262">
                  <c:v>26600000</c:v>
                </c:pt>
                <c:pt idx="263">
                  <c:v>40210000</c:v>
                </c:pt>
                <c:pt idx="264">
                  <c:v>40050000</c:v>
                </c:pt>
                <c:pt idx="265">
                  <c:v>34350000</c:v>
                </c:pt>
                <c:pt idx="266">
                  <c:v>24250000</c:v>
                </c:pt>
                <c:pt idx="267">
                  <c:v>31370000</c:v>
                </c:pt>
                <c:pt idx="268">
                  <c:v>13450000</c:v>
                </c:pt>
                <c:pt idx="269">
                  <c:v>11680000</c:v>
                </c:pt>
                <c:pt idx="270">
                  <c:v>14500000</c:v>
                </c:pt>
                <c:pt idx="271">
                  <c:v>14190000</c:v>
                </c:pt>
                <c:pt idx="272">
                  <c:v>8300000</c:v>
                </c:pt>
                <c:pt idx="273">
                  <c:v>12970000</c:v>
                </c:pt>
                <c:pt idx="274">
                  <c:v>18540000</c:v>
                </c:pt>
                <c:pt idx="275">
                  <c:v>7230000</c:v>
                </c:pt>
                <c:pt idx="276">
                  <c:v>6970000</c:v>
                </c:pt>
                <c:pt idx="277">
                  <c:v>18890000</c:v>
                </c:pt>
                <c:pt idx="278">
                  <c:v>17210000</c:v>
                </c:pt>
                <c:pt idx="279">
                  <c:v>26490000</c:v>
                </c:pt>
                <c:pt idx="280">
                  <c:v>12000000</c:v>
                </c:pt>
                <c:pt idx="281">
                  <c:v>12840000</c:v>
                </c:pt>
                <c:pt idx="282">
                  <c:v>9010000</c:v>
                </c:pt>
                <c:pt idx="283">
                  <c:v>9930000</c:v>
                </c:pt>
                <c:pt idx="284">
                  <c:v>9380000</c:v>
                </c:pt>
                <c:pt idx="285">
                  <c:v>18230000</c:v>
                </c:pt>
                <c:pt idx="286">
                  <c:v>21270000</c:v>
                </c:pt>
                <c:pt idx="287">
                  <c:v>9620000</c:v>
                </c:pt>
                <c:pt idx="288">
                  <c:v>9430000</c:v>
                </c:pt>
                <c:pt idx="289">
                  <c:v>9080000</c:v>
                </c:pt>
                <c:pt idx="290">
                  <c:v>16480000</c:v>
                </c:pt>
                <c:pt idx="291">
                  <c:v>8050000</c:v>
                </c:pt>
                <c:pt idx="292">
                  <c:v>12250000</c:v>
                </c:pt>
                <c:pt idx="293">
                  <c:v>12430000</c:v>
                </c:pt>
                <c:pt idx="294">
                  <c:v>9190000</c:v>
                </c:pt>
                <c:pt idx="295">
                  <c:v>7140000</c:v>
                </c:pt>
                <c:pt idx="296">
                  <c:v>15630000</c:v>
                </c:pt>
                <c:pt idx="297">
                  <c:v>16940000</c:v>
                </c:pt>
                <c:pt idx="298">
                  <c:v>18650000</c:v>
                </c:pt>
                <c:pt idx="299">
                  <c:v>11920000</c:v>
                </c:pt>
                <c:pt idx="300">
                  <c:v>17210000</c:v>
                </c:pt>
                <c:pt idx="301">
                  <c:v>12370000</c:v>
                </c:pt>
                <c:pt idx="302">
                  <c:v>17540000</c:v>
                </c:pt>
                <c:pt idx="303">
                  <c:v>15390000</c:v>
                </c:pt>
                <c:pt idx="304">
                  <c:v>17590000</c:v>
                </c:pt>
                <c:pt idx="305">
                  <c:v>14100000</c:v>
                </c:pt>
                <c:pt idx="306">
                  <c:v>26540000</c:v>
                </c:pt>
                <c:pt idx="307">
                  <c:v>15440000</c:v>
                </c:pt>
                <c:pt idx="308">
                  <c:v>14710000</c:v>
                </c:pt>
                <c:pt idx="309">
                  <c:v>17070000</c:v>
                </c:pt>
                <c:pt idx="310">
                  <c:v>11520000</c:v>
                </c:pt>
                <c:pt idx="311">
                  <c:v>19750000</c:v>
                </c:pt>
                <c:pt idx="312">
                  <c:v>13450000</c:v>
                </c:pt>
                <c:pt idx="313">
                  <c:v>12610000</c:v>
                </c:pt>
                <c:pt idx="314">
                  <c:v>18600000</c:v>
                </c:pt>
                <c:pt idx="315">
                  <c:v>15470000</c:v>
                </c:pt>
                <c:pt idx="316">
                  <c:v>23400000</c:v>
                </c:pt>
                <c:pt idx="317">
                  <c:v>15230000</c:v>
                </c:pt>
                <c:pt idx="318">
                  <c:v>20330000</c:v>
                </c:pt>
                <c:pt idx="319">
                  <c:v>16080000</c:v>
                </c:pt>
                <c:pt idx="320">
                  <c:v>11130000</c:v>
                </c:pt>
                <c:pt idx="321">
                  <c:v>15750000</c:v>
                </c:pt>
                <c:pt idx="322">
                  <c:v>8260000</c:v>
                </c:pt>
                <c:pt idx="323">
                  <c:v>21440000</c:v>
                </c:pt>
                <c:pt idx="324">
                  <c:v>24930000</c:v>
                </c:pt>
                <c:pt idx="325">
                  <c:v>13270000</c:v>
                </c:pt>
                <c:pt idx="326">
                  <c:v>19190000</c:v>
                </c:pt>
                <c:pt idx="327">
                  <c:v>8660000</c:v>
                </c:pt>
                <c:pt idx="328">
                  <c:v>9250000</c:v>
                </c:pt>
                <c:pt idx="329">
                  <c:v>18000000</c:v>
                </c:pt>
                <c:pt idx="330">
                  <c:v>17250000</c:v>
                </c:pt>
                <c:pt idx="331">
                  <c:v>15480000</c:v>
                </c:pt>
                <c:pt idx="332">
                  <c:v>14530000</c:v>
                </c:pt>
                <c:pt idx="333">
                  <c:v>12200000</c:v>
                </c:pt>
                <c:pt idx="334">
                  <c:v>15300000</c:v>
                </c:pt>
                <c:pt idx="335">
                  <c:v>17130000</c:v>
                </c:pt>
                <c:pt idx="336">
                  <c:v>23950000</c:v>
                </c:pt>
                <c:pt idx="337">
                  <c:v>23330000</c:v>
                </c:pt>
                <c:pt idx="338">
                  <c:v>14130000</c:v>
                </c:pt>
                <c:pt idx="339">
                  <c:v>16840000</c:v>
                </c:pt>
                <c:pt idx="340">
                  <c:v>18350000</c:v>
                </c:pt>
                <c:pt idx="341">
                  <c:v>11670000</c:v>
                </c:pt>
                <c:pt idx="342">
                  <c:v>16690000</c:v>
                </c:pt>
                <c:pt idx="343">
                  <c:v>21080000</c:v>
                </c:pt>
                <c:pt idx="344">
                  <c:v>20050000</c:v>
                </c:pt>
                <c:pt idx="345">
                  <c:v>14510000</c:v>
                </c:pt>
                <c:pt idx="346">
                  <c:v>19890000</c:v>
                </c:pt>
                <c:pt idx="347">
                  <c:v>15140000</c:v>
                </c:pt>
                <c:pt idx="348">
                  <c:v>24380000</c:v>
                </c:pt>
                <c:pt idx="349">
                  <c:v>12670000</c:v>
                </c:pt>
                <c:pt idx="350">
                  <c:v>26420000</c:v>
                </c:pt>
                <c:pt idx="351">
                  <c:v>11510000</c:v>
                </c:pt>
                <c:pt idx="352">
                  <c:v>13740000</c:v>
                </c:pt>
                <c:pt idx="353">
                  <c:v>13140000</c:v>
                </c:pt>
                <c:pt idx="354">
                  <c:v>20580000</c:v>
                </c:pt>
                <c:pt idx="355">
                  <c:v>18580000</c:v>
                </c:pt>
                <c:pt idx="356">
                  <c:v>12000000</c:v>
                </c:pt>
                <c:pt idx="357">
                  <c:v>13230000</c:v>
                </c:pt>
                <c:pt idx="358">
                  <c:v>19830000</c:v>
                </c:pt>
                <c:pt idx="359">
                  <c:v>21010000</c:v>
                </c:pt>
                <c:pt idx="360">
                  <c:v>12290000</c:v>
                </c:pt>
                <c:pt idx="361">
                  <c:v>10650000</c:v>
                </c:pt>
                <c:pt idx="362">
                  <c:v>15160000</c:v>
                </c:pt>
                <c:pt idx="363">
                  <c:v>26170000</c:v>
                </c:pt>
                <c:pt idx="364">
                  <c:v>17860000</c:v>
                </c:pt>
                <c:pt idx="365">
                  <c:v>17970000</c:v>
                </c:pt>
                <c:pt idx="366">
                  <c:v>17810000</c:v>
                </c:pt>
                <c:pt idx="367">
                  <c:v>25430000</c:v>
                </c:pt>
                <c:pt idx="368">
                  <c:v>19780000</c:v>
                </c:pt>
                <c:pt idx="369">
                  <c:v>26570000</c:v>
                </c:pt>
                <c:pt idx="370">
                  <c:v>25600000</c:v>
                </c:pt>
                <c:pt idx="371">
                  <c:v>11500000</c:v>
                </c:pt>
                <c:pt idx="372">
                  <c:v>12800000</c:v>
                </c:pt>
                <c:pt idx="373">
                  <c:v>15080000</c:v>
                </c:pt>
                <c:pt idx="374">
                  <c:v>26450000</c:v>
                </c:pt>
                <c:pt idx="375">
                  <c:v>22190000</c:v>
                </c:pt>
                <c:pt idx="376">
                  <c:v>27140000</c:v>
                </c:pt>
                <c:pt idx="377">
                  <c:v>21280000</c:v>
                </c:pt>
                <c:pt idx="378">
                  <c:v>24870000</c:v>
                </c:pt>
                <c:pt idx="379">
                  <c:v>12240000</c:v>
                </c:pt>
                <c:pt idx="380">
                  <c:v>13370000</c:v>
                </c:pt>
                <c:pt idx="381">
                  <c:v>22610000</c:v>
                </c:pt>
                <c:pt idx="382">
                  <c:v>18650000</c:v>
                </c:pt>
                <c:pt idx="383">
                  <c:v>20610000</c:v>
                </c:pt>
                <c:pt idx="384">
                  <c:v>29160000</c:v>
                </c:pt>
                <c:pt idx="385">
                  <c:v>18040000</c:v>
                </c:pt>
                <c:pt idx="386">
                  <c:v>16960000</c:v>
                </c:pt>
                <c:pt idx="387">
                  <c:v>15630000</c:v>
                </c:pt>
                <c:pt idx="388">
                  <c:v>28090000</c:v>
                </c:pt>
                <c:pt idx="389">
                  <c:v>31000000</c:v>
                </c:pt>
                <c:pt idx="390">
                  <c:v>37450000</c:v>
                </c:pt>
                <c:pt idx="391">
                  <c:v>23870000</c:v>
                </c:pt>
                <c:pt idx="392">
                  <c:v>29120000</c:v>
                </c:pt>
                <c:pt idx="393">
                  <c:v>25770000</c:v>
                </c:pt>
                <c:pt idx="394">
                  <c:v>18770000</c:v>
                </c:pt>
                <c:pt idx="395">
                  <c:v>18480000</c:v>
                </c:pt>
                <c:pt idx="396">
                  <c:v>11290000</c:v>
                </c:pt>
                <c:pt idx="397">
                  <c:v>12050000</c:v>
                </c:pt>
                <c:pt idx="398">
                  <c:v>16790000</c:v>
                </c:pt>
                <c:pt idx="399">
                  <c:v>23070000</c:v>
                </c:pt>
                <c:pt idx="400">
                  <c:v>23610000</c:v>
                </c:pt>
                <c:pt idx="401">
                  <c:v>33560000</c:v>
                </c:pt>
                <c:pt idx="402">
                  <c:v>10130000</c:v>
                </c:pt>
                <c:pt idx="403">
                  <c:v>17680000</c:v>
                </c:pt>
                <c:pt idx="404">
                  <c:v>18510000</c:v>
                </c:pt>
                <c:pt idx="405">
                  <c:v>20920000</c:v>
                </c:pt>
                <c:pt idx="406">
                  <c:v>25650000</c:v>
                </c:pt>
                <c:pt idx="407">
                  <c:v>19010000</c:v>
                </c:pt>
                <c:pt idx="408">
                  <c:v>14310000</c:v>
                </c:pt>
                <c:pt idx="409">
                  <c:v>13470000</c:v>
                </c:pt>
                <c:pt idx="410">
                  <c:v>12420000</c:v>
                </c:pt>
                <c:pt idx="411">
                  <c:v>12930000</c:v>
                </c:pt>
                <c:pt idx="412">
                  <c:v>14400000</c:v>
                </c:pt>
                <c:pt idx="413">
                  <c:v>7130000</c:v>
                </c:pt>
                <c:pt idx="414">
                  <c:v>20400000</c:v>
                </c:pt>
                <c:pt idx="415">
                  <c:v>12900000</c:v>
                </c:pt>
                <c:pt idx="416">
                  <c:v>11120000</c:v>
                </c:pt>
                <c:pt idx="417">
                  <c:v>12950000</c:v>
                </c:pt>
                <c:pt idx="418">
                  <c:v>17510000</c:v>
                </c:pt>
                <c:pt idx="419">
                  <c:v>19460000</c:v>
                </c:pt>
                <c:pt idx="420">
                  <c:v>25220000</c:v>
                </c:pt>
                <c:pt idx="421">
                  <c:v>19020000</c:v>
                </c:pt>
                <c:pt idx="422">
                  <c:v>24220000</c:v>
                </c:pt>
                <c:pt idx="423">
                  <c:v>18250000</c:v>
                </c:pt>
                <c:pt idx="424">
                  <c:v>31210000</c:v>
                </c:pt>
                <c:pt idx="425">
                  <c:v>23520000</c:v>
                </c:pt>
                <c:pt idx="426">
                  <c:v>14140000</c:v>
                </c:pt>
                <c:pt idx="427">
                  <c:v>14830000</c:v>
                </c:pt>
                <c:pt idx="428">
                  <c:v>14530000</c:v>
                </c:pt>
                <c:pt idx="429">
                  <c:v>20070000</c:v>
                </c:pt>
                <c:pt idx="430">
                  <c:v>12470000</c:v>
                </c:pt>
                <c:pt idx="431">
                  <c:v>5880000</c:v>
                </c:pt>
                <c:pt idx="432">
                  <c:v>11800000</c:v>
                </c:pt>
                <c:pt idx="433">
                  <c:v>9200000</c:v>
                </c:pt>
                <c:pt idx="434">
                  <c:v>13100000</c:v>
                </c:pt>
                <c:pt idx="435">
                  <c:v>15350000</c:v>
                </c:pt>
                <c:pt idx="436">
                  <c:v>12360000</c:v>
                </c:pt>
                <c:pt idx="437">
                  <c:v>11440000</c:v>
                </c:pt>
                <c:pt idx="438">
                  <c:v>15180000</c:v>
                </c:pt>
                <c:pt idx="439">
                  <c:v>14480000</c:v>
                </c:pt>
                <c:pt idx="440">
                  <c:v>20110000</c:v>
                </c:pt>
                <c:pt idx="441">
                  <c:v>17770000</c:v>
                </c:pt>
                <c:pt idx="442">
                  <c:v>15600000</c:v>
                </c:pt>
                <c:pt idx="443">
                  <c:v>13480000</c:v>
                </c:pt>
                <c:pt idx="444">
                  <c:v>17600000</c:v>
                </c:pt>
                <c:pt idx="445">
                  <c:v>14920000</c:v>
                </c:pt>
                <c:pt idx="446">
                  <c:v>8810000</c:v>
                </c:pt>
                <c:pt idx="447">
                  <c:v>14690000</c:v>
                </c:pt>
                <c:pt idx="448">
                  <c:v>11920000</c:v>
                </c:pt>
                <c:pt idx="449">
                  <c:v>13060000</c:v>
                </c:pt>
                <c:pt idx="450">
                  <c:v>11510000</c:v>
                </c:pt>
                <c:pt idx="451">
                  <c:v>12880000</c:v>
                </c:pt>
                <c:pt idx="452">
                  <c:v>12400000</c:v>
                </c:pt>
                <c:pt idx="453">
                  <c:v>20190000</c:v>
                </c:pt>
                <c:pt idx="454">
                  <c:v>9950000</c:v>
                </c:pt>
                <c:pt idx="455">
                  <c:v>15970000</c:v>
                </c:pt>
                <c:pt idx="456">
                  <c:v>17220000</c:v>
                </c:pt>
                <c:pt idx="457">
                  <c:v>24880000</c:v>
                </c:pt>
                <c:pt idx="458">
                  <c:v>36000000</c:v>
                </c:pt>
                <c:pt idx="459">
                  <c:v>18430000</c:v>
                </c:pt>
                <c:pt idx="460">
                  <c:v>16120000</c:v>
                </c:pt>
                <c:pt idx="461">
                  <c:v>21660000</c:v>
                </c:pt>
                <c:pt idx="462">
                  <c:v>18870000</c:v>
                </c:pt>
                <c:pt idx="463">
                  <c:v>11970000</c:v>
                </c:pt>
                <c:pt idx="464">
                  <c:v>13200000</c:v>
                </c:pt>
                <c:pt idx="465">
                  <c:v>7070000</c:v>
                </c:pt>
                <c:pt idx="466">
                  <c:v>25120000</c:v>
                </c:pt>
                <c:pt idx="467">
                  <c:v>13490000</c:v>
                </c:pt>
                <c:pt idx="468">
                  <c:v>11820000</c:v>
                </c:pt>
                <c:pt idx="469">
                  <c:v>15570000</c:v>
                </c:pt>
                <c:pt idx="470">
                  <c:v>15980000</c:v>
                </c:pt>
                <c:pt idx="471">
                  <c:v>11760000</c:v>
                </c:pt>
                <c:pt idx="472">
                  <c:v>12680000</c:v>
                </c:pt>
                <c:pt idx="473">
                  <c:v>16460000</c:v>
                </c:pt>
                <c:pt idx="474">
                  <c:v>12370000</c:v>
                </c:pt>
                <c:pt idx="475">
                  <c:v>10780000</c:v>
                </c:pt>
                <c:pt idx="476">
                  <c:v>17430000</c:v>
                </c:pt>
                <c:pt idx="477">
                  <c:v>4900000</c:v>
                </c:pt>
                <c:pt idx="478">
                  <c:v>14280000</c:v>
                </c:pt>
                <c:pt idx="479">
                  <c:v>17470000</c:v>
                </c:pt>
                <c:pt idx="480">
                  <c:v>17340000</c:v>
                </c:pt>
                <c:pt idx="481">
                  <c:v>22650000</c:v>
                </c:pt>
                <c:pt idx="482">
                  <c:v>13210000</c:v>
                </c:pt>
                <c:pt idx="483">
                  <c:v>6300000</c:v>
                </c:pt>
                <c:pt idx="484">
                  <c:v>17390000</c:v>
                </c:pt>
                <c:pt idx="485">
                  <c:v>13340000</c:v>
                </c:pt>
                <c:pt idx="486">
                  <c:v>12120000</c:v>
                </c:pt>
                <c:pt idx="487">
                  <c:v>14260000</c:v>
                </c:pt>
                <c:pt idx="488">
                  <c:v>29800000</c:v>
                </c:pt>
                <c:pt idx="489">
                  <c:v>12050000</c:v>
                </c:pt>
                <c:pt idx="490">
                  <c:v>12690000</c:v>
                </c:pt>
                <c:pt idx="491">
                  <c:v>19370000</c:v>
                </c:pt>
                <c:pt idx="492">
                  <c:v>20100000</c:v>
                </c:pt>
                <c:pt idx="493">
                  <c:v>31870000</c:v>
                </c:pt>
                <c:pt idx="494">
                  <c:v>14040000</c:v>
                </c:pt>
                <c:pt idx="495">
                  <c:v>18020000</c:v>
                </c:pt>
                <c:pt idx="496">
                  <c:v>10880000</c:v>
                </c:pt>
                <c:pt idx="497">
                  <c:v>13170000</c:v>
                </c:pt>
                <c:pt idx="498">
                  <c:v>17920000</c:v>
                </c:pt>
                <c:pt idx="499">
                  <c:v>12480000</c:v>
                </c:pt>
                <c:pt idx="500">
                  <c:v>21670000</c:v>
                </c:pt>
                <c:pt idx="501">
                  <c:v>41400000</c:v>
                </c:pt>
                <c:pt idx="502">
                  <c:v>28000000</c:v>
                </c:pt>
                <c:pt idx="503">
                  <c:v>9800000</c:v>
                </c:pt>
                <c:pt idx="504">
                  <c:v>20140000</c:v>
                </c:pt>
                <c:pt idx="505">
                  <c:v>27240000</c:v>
                </c:pt>
                <c:pt idx="506">
                  <c:v>20680000</c:v>
                </c:pt>
                <c:pt idx="507">
                  <c:v>32900000</c:v>
                </c:pt>
                <c:pt idx="508">
                  <c:v>16810000</c:v>
                </c:pt>
                <c:pt idx="509">
                  <c:v>15110000</c:v>
                </c:pt>
                <c:pt idx="510">
                  <c:v>19420000</c:v>
                </c:pt>
                <c:pt idx="511">
                  <c:v>17480000</c:v>
                </c:pt>
                <c:pt idx="512">
                  <c:v>11780000</c:v>
                </c:pt>
                <c:pt idx="513">
                  <c:v>14920000</c:v>
                </c:pt>
                <c:pt idx="514">
                  <c:v>19060000</c:v>
                </c:pt>
                <c:pt idx="515">
                  <c:v>11320000</c:v>
                </c:pt>
                <c:pt idx="516">
                  <c:v>8960000</c:v>
                </c:pt>
                <c:pt idx="517">
                  <c:v>9370000</c:v>
                </c:pt>
                <c:pt idx="518">
                  <c:v>10840000</c:v>
                </c:pt>
                <c:pt idx="519">
                  <c:v>18840000</c:v>
                </c:pt>
                <c:pt idx="520">
                  <c:v>11890000</c:v>
                </c:pt>
                <c:pt idx="521">
                  <c:v>23870000</c:v>
                </c:pt>
              </c:numCache>
            </c:numRef>
          </c:val>
          <c:extLst>
            <c:ext xmlns:c16="http://schemas.microsoft.com/office/drawing/2014/chart" uri="{C3380CC4-5D6E-409C-BE32-E72D297353CC}">
              <c16:uniqueId val="{00000001-E487-498C-943D-2AACED4D580D}"/>
            </c:ext>
          </c:extLst>
        </c:ser>
        <c:dLbls>
          <c:showLegendKey val="0"/>
          <c:showVal val="0"/>
          <c:showCatName val="0"/>
          <c:showSerName val="0"/>
          <c:showPercent val="0"/>
          <c:showBubbleSize val="0"/>
        </c:dLbls>
        <c:gapWidth val="219"/>
        <c:axId val="19357040"/>
        <c:axId val="74551424"/>
      </c:barChart>
      <c:lineChart>
        <c:grouping val="standard"/>
        <c:varyColors val="0"/>
        <c:ser>
          <c:idx val="0"/>
          <c:order val="0"/>
          <c:tx>
            <c:strRef>
              <c:f>CORRELATION!$B$1</c:f>
              <c:strCache>
                <c:ptCount val="1"/>
                <c:pt idx="0">
                  <c:v>Last Price</c:v>
                </c:pt>
              </c:strCache>
            </c:strRef>
          </c:tx>
          <c:spPr>
            <a:ln w="28575" cap="rnd">
              <a:solidFill>
                <a:schemeClr val="accent1"/>
              </a:solidFill>
              <a:round/>
            </a:ln>
            <a:effectLst/>
          </c:spPr>
          <c:marker>
            <c:symbol val="none"/>
          </c:marker>
          <c:cat>
            <c:numRef>
              <c:f>CORRELATION!$A$3:$A$524</c:f>
              <c:numCache>
                <c:formatCode>m/d/yyyy</c:formatCode>
                <c:ptCount val="522"/>
                <c:pt idx="0">
                  <c:v>45757</c:v>
                </c:pt>
                <c:pt idx="1">
                  <c:v>45751</c:v>
                </c:pt>
                <c:pt idx="2">
                  <c:v>45744</c:v>
                </c:pt>
                <c:pt idx="3">
                  <c:v>45737</c:v>
                </c:pt>
                <c:pt idx="4">
                  <c:v>45730</c:v>
                </c:pt>
                <c:pt idx="5">
                  <c:v>45723</c:v>
                </c:pt>
                <c:pt idx="6">
                  <c:v>45716</c:v>
                </c:pt>
                <c:pt idx="7">
                  <c:v>45709</c:v>
                </c:pt>
                <c:pt idx="8">
                  <c:v>45702</c:v>
                </c:pt>
                <c:pt idx="9">
                  <c:v>45695</c:v>
                </c:pt>
                <c:pt idx="10">
                  <c:v>45688</c:v>
                </c:pt>
                <c:pt idx="11">
                  <c:v>45681</c:v>
                </c:pt>
                <c:pt idx="12">
                  <c:v>45674</c:v>
                </c:pt>
                <c:pt idx="13">
                  <c:v>45667</c:v>
                </c:pt>
                <c:pt idx="14">
                  <c:v>45660</c:v>
                </c:pt>
                <c:pt idx="15">
                  <c:v>45653</c:v>
                </c:pt>
                <c:pt idx="16">
                  <c:v>45646</c:v>
                </c:pt>
                <c:pt idx="17">
                  <c:v>45639</c:v>
                </c:pt>
                <c:pt idx="18">
                  <c:v>45632</c:v>
                </c:pt>
                <c:pt idx="19">
                  <c:v>45625</c:v>
                </c:pt>
                <c:pt idx="20">
                  <c:v>45618</c:v>
                </c:pt>
                <c:pt idx="21">
                  <c:v>45611</c:v>
                </c:pt>
                <c:pt idx="22">
                  <c:v>45604</c:v>
                </c:pt>
                <c:pt idx="23">
                  <c:v>45597</c:v>
                </c:pt>
                <c:pt idx="24">
                  <c:v>45590</c:v>
                </c:pt>
                <c:pt idx="25">
                  <c:v>45583</c:v>
                </c:pt>
                <c:pt idx="26">
                  <c:v>45576</c:v>
                </c:pt>
                <c:pt idx="27">
                  <c:v>45569</c:v>
                </c:pt>
                <c:pt idx="28">
                  <c:v>45562</c:v>
                </c:pt>
                <c:pt idx="29">
                  <c:v>45555</c:v>
                </c:pt>
                <c:pt idx="30">
                  <c:v>45548</c:v>
                </c:pt>
                <c:pt idx="31">
                  <c:v>45541</c:v>
                </c:pt>
                <c:pt idx="32">
                  <c:v>45534</c:v>
                </c:pt>
                <c:pt idx="33">
                  <c:v>45527</c:v>
                </c:pt>
                <c:pt idx="34">
                  <c:v>45520</c:v>
                </c:pt>
                <c:pt idx="35">
                  <c:v>45513</c:v>
                </c:pt>
                <c:pt idx="36">
                  <c:v>45506</c:v>
                </c:pt>
                <c:pt idx="37">
                  <c:v>45499</c:v>
                </c:pt>
                <c:pt idx="38">
                  <c:v>45492</c:v>
                </c:pt>
                <c:pt idx="39">
                  <c:v>45485</c:v>
                </c:pt>
                <c:pt idx="40">
                  <c:v>45478</c:v>
                </c:pt>
                <c:pt idx="41">
                  <c:v>45471</c:v>
                </c:pt>
                <c:pt idx="42">
                  <c:v>45464</c:v>
                </c:pt>
                <c:pt idx="43">
                  <c:v>45457</c:v>
                </c:pt>
                <c:pt idx="44">
                  <c:v>45450</c:v>
                </c:pt>
                <c:pt idx="45">
                  <c:v>45443</c:v>
                </c:pt>
                <c:pt idx="46">
                  <c:v>45436</c:v>
                </c:pt>
                <c:pt idx="47">
                  <c:v>45429</c:v>
                </c:pt>
                <c:pt idx="48">
                  <c:v>45422</c:v>
                </c:pt>
                <c:pt idx="49">
                  <c:v>45415</c:v>
                </c:pt>
                <c:pt idx="50">
                  <c:v>45408</c:v>
                </c:pt>
                <c:pt idx="51">
                  <c:v>45401</c:v>
                </c:pt>
                <c:pt idx="52">
                  <c:v>45394</c:v>
                </c:pt>
                <c:pt idx="53">
                  <c:v>45387</c:v>
                </c:pt>
                <c:pt idx="54">
                  <c:v>45380</c:v>
                </c:pt>
                <c:pt idx="55">
                  <c:v>45373</c:v>
                </c:pt>
                <c:pt idx="56">
                  <c:v>45366</c:v>
                </c:pt>
                <c:pt idx="57">
                  <c:v>45359</c:v>
                </c:pt>
                <c:pt idx="58">
                  <c:v>45352</c:v>
                </c:pt>
                <c:pt idx="59">
                  <c:v>45345</c:v>
                </c:pt>
                <c:pt idx="60">
                  <c:v>45338</c:v>
                </c:pt>
                <c:pt idx="61">
                  <c:v>45331</c:v>
                </c:pt>
                <c:pt idx="62">
                  <c:v>45324</c:v>
                </c:pt>
                <c:pt idx="63">
                  <c:v>45317</c:v>
                </c:pt>
                <c:pt idx="64">
                  <c:v>45310</c:v>
                </c:pt>
                <c:pt idx="65">
                  <c:v>45303</c:v>
                </c:pt>
                <c:pt idx="66">
                  <c:v>45296</c:v>
                </c:pt>
                <c:pt idx="67">
                  <c:v>45289</c:v>
                </c:pt>
                <c:pt idx="68">
                  <c:v>45282</c:v>
                </c:pt>
                <c:pt idx="69">
                  <c:v>45275</c:v>
                </c:pt>
                <c:pt idx="70">
                  <c:v>45268</c:v>
                </c:pt>
                <c:pt idx="71">
                  <c:v>45261</c:v>
                </c:pt>
                <c:pt idx="72">
                  <c:v>45254</c:v>
                </c:pt>
                <c:pt idx="73">
                  <c:v>45247</c:v>
                </c:pt>
                <c:pt idx="74">
                  <c:v>45240</c:v>
                </c:pt>
                <c:pt idx="75">
                  <c:v>45233</c:v>
                </c:pt>
                <c:pt idx="76">
                  <c:v>45226</c:v>
                </c:pt>
                <c:pt idx="77">
                  <c:v>45219</c:v>
                </c:pt>
                <c:pt idx="78">
                  <c:v>45212</c:v>
                </c:pt>
                <c:pt idx="79">
                  <c:v>45205</c:v>
                </c:pt>
                <c:pt idx="80">
                  <c:v>45198</c:v>
                </c:pt>
                <c:pt idx="81">
                  <c:v>45191</c:v>
                </c:pt>
                <c:pt idx="82">
                  <c:v>45184</c:v>
                </c:pt>
                <c:pt idx="83">
                  <c:v>45177</c:v>
                </c:pt>
                <c:pt idx="84">
                  <c:v>45170</c:v>
                </c:pt>
                <c:pt idx="85">
                  <c:v>45163</c:v>
                </c:pt>
                <c:pt idx="86">
                  <c:v>45156</c:v>
                </c:pt>
                <c:pt idx="87">
                  <c:v>45149</c:v>
                </c:pt>
                <c:pt idx="88">
                  <c:v>45142</c:v>
                </c:pt>
                <c:pt idx="89">
                  <c:v>45135</c:v>
                </c:pt>
                <c:pt idx="90">
                  <c:v>45128</c:v>
                </c:pt>
                <c:pt idx="91">
                  <c:v>45121</c:v>
                </c:pt>
                <c:pt idx="92">
                  <c:v>45114</c:v>
                </c:pt>
                <c:pt idx="93">
                  <c:v>45107</c:v>
                </c:pt>
                <c:pt idx="94">
                  <c:v>45100</c:v>
                </c:pt>
                <c:pt idx="95">
                  <c:v>45093</c:v>
                </c:pt>
                <c:pt idx="96">
                  <c:v>45086</c:v>
                </c:pt>
                <c:pt idx="97">
                  <c:v>45079</c:v>
                </c:pt>
                <c:pt idx="98">
                  <c:v>45072</c:v>
                </c:pt>
                <c:pt idx="99">
                  <c:v>45065</c:v>
                </c:pt>
                <c:pt idx="100">
                  <c:v>45058</c:v>
                </c:pt>
                <c:pt idx="101">
                  <c:v>45051</c:v>
                </c:pt>
                <c:pt idx="102">
                  <c:v>45044</c:v>
                </c:pt>
                <c:pt idx="103">
                  <c:v>45037</c:v>
                </c:pt>
                <c:pt idx="104">
                  <c:v>45030</c:v>
                </c:pt>
                <c:pt idx="105">
                  <c:v>45023</c:v>
                </c:pt>
                <c:pt idx="106">
                  <c:v>45016</c:v>
                </c:pt>
                <c:pt idx="107">
                  <c:v>45009</c:v>
                </c:pt>
                <c:pt idx="108">
                  <c:v>45002</c:v>
                </c:pt>
                <c:pt idx="109">
                  <c:v>44995</c:v>
                </c:pt>
                <c:pt idx="110">
                  <c:v>44988</c:v>
                </c:pt>
                <c:pt idx="111">
                  <c:v>44981</c:v>
                </c:pt>
                <c:pt idx="112">
                  <c:v>44974</c:v>
                </c:pt>
                <c:pt idx="113">
                  <c:v>44967</c:v>
                </c:pt>
                <c:pt idx="114">
                  <c:v>44960</c:v>
                </c:pt>
                <c:pt idx="115">
                  <c:v>44953</c:v>
                </c:pt>
                <c:pt idx="116">
                  <c:v>44946</c:v>
                </c:pt>
                <c:pt idx="117">
                  <c:v>44939</c:v>
                </c:pt>
                <c:pt idx="118">
                  <c:v>44932</c:v>
                </c:pt>
                <c:pt idx="119">
                  <c:v>44925</c:v>
                </c:pt>
                <c:pt idx="120">
                  <c:v>44918</c:v>
                </c:pt>
                <c:pt idx="121">
                  <c:v>44911</c:v>
                </c:pt>
                <c:pt idx="122">
                  <c:v>44904</c:v>
                </c:pt>
                <c:pt idx="123">
                  <c:v>44897</c:v>
                </c:pt>
                <c:pt idx="124">
                  <c:v>44890</c:v>
                </c:pt>
                <c:pt idx="125">
                  <c:v>44883</c:v>
                </c:pt>
                <c:pt idx="126">
                  <c:v>44876</c:v>
                </c:pt>
                <c:pt idx="127">
                  <c:v>44869</c:v>
                </c:pt>
                <c:pt idx="128">
                  <c:v>44862</c:v>
                </c:pt>
                <c:pt idx="129">
                  <c:v>44855</c:v>
                </c:pt>
                <c:pt idx="130">
                  <c:v>44848</c:v>
                </c:pt>
                <c:pt idx="131">
                  <c:v>44841</c:v>
                </c:pt>
                <c:pt idx="132">
                  <c:v>44834</c:v>
                </c:pt>
                <c:pt idx="133">
                  <c:v>44827</c:v>
                </c:pt>
                <c:pt idx="134">
                  <c:v>44820</c:v>
                </c:pt>
                <c:pt idx="135">
                  <c:v>44813</c:v>
                </c:pt>
                <c:pt idx="136">
                  <c:v>44806</c:v>
                </c:pt>
                <c:pt idx="137">
                  <c:v>44799</c:v>
                </c:pt>
                <c:pt idx="138">
                  <c:v>44792</c:v>
                </c:pt>
                <c:pt idx="139">
                  <c:v>44785</c:v>
                </c:pt>
                <c:pt idx="140">
                  <c:v>44778</c:v>
                </c:pt>
                <c:pt idx="141">
                  <c:v>44771</c:v>
                </c:pt>
                <c:pt idx="142">
                  <c:v>44764</c:v>
                </c:pt>
                <c:pt idx="143">
                  <c:v>44757</c:v>
                </c:pt>
                <c:pt idx="144">
                  <c:v>44750</c:v>
                </c:pt>
                <c:pt idx="145">
                  <c:v>44743</c:v>
                </c:pt>
                <c:pt idx="146">
                  <c:v>44736</c:v>
                </c:pt>
                <c:pt idx="147">
                  <c:v>44729</c:v>
                </c:pt>
                <c:pt idx="148">
                  <c:v>44722</c:v>
                </c:pt>
                <c:pt idx="149">
                  <c:v>44715</c:v>
                </c:pt>
                <c:pt idx="150">
                  <c:v>44708</c:v>
                </c:pt>
                <c:pt idx="151">
                  <c:v>44701</c:v>
                </c:pt>
                <c:pt idx="152">
                  <c:v>44694</c:v>
                </c:pt>
                <c:pt idx="153">
                  <c:v>44687</c:v>
                </c:pt>
                <c:pt idx="154">
                  <c:v>44680</c:v>
                </c:pt>
                <c:pt idx="155">
                  <c:v>44673</c:v>
                </c:pt>
                <c:pt idx="156">
                  <c:v>44666</c:v>
                </c:pt>
                <c:pt idx="157">
                  <c:v>44659</c:v>
                </c:pt>
                <c:pt idx="158">
                  <c:v>44652</c:v>
                </c:pt>
                <c:pt idx="159">
                  <c:v>44645</c:v>
                </c:pt>
                <c:pt idx="160">
                  <c:v>44638</c:v>
                </c:pt>
                <c:pt idx="161">
                  <c:v>44631</c:v>
                </c:pt>
                <c:pt idx="162">
                  <c:v>44624</c:v>
                </c:pt>
                <c:pt idx="163">
                  <c:v>44617</c:v>
                </c:pt>
                <c:pt idx="164">
                  <c:v>44610</c:v>
                </c:pt>
                <c:pt idx="165">
                  <c:v>44603</c:v>
                </c:pt>
                <c:pt idx="166">
                  <c:v>44596</c:v>
                </c:pt>
                <c:pt idx="167">
                  <c:v>44589</c:v>
                </c:pt>
                <c:pt idx="168">
                  <c:v>44582</c:v>
                </c:pt>
                <c:pt idx="169">
                  <c:v>44575</c:v>
                </c:pt>
                <c:pt idx="170">
                  <c:v>44568</c:v>
                </c:pt>
                <c:pt idx="171">
                  <c:v>44561</c:v>
                </c:pt>
                <c:pt idx="172">
                  <c:v>44554</c:v>
                </c:pt>
                <c:pt idx="173">
                  <c:v>44547</c:v>
                </c:pt>
                <c:pt idx="174">
                  <c:v>44540</c:v>
                </c:pt>
                <c:pt idx="175">
                  <c:v>44533</c:v>
                </c:pt>
                <c:pt idx="176">
                  <c:v>44526</c:v>
                </c:pt>
                <c:pt idx="177">
                  <c:v>44519</c:v>
                </c:pt>
                <c:pt idx="178">
                  <c:v>44512</c:v>
                </c:pt>
                <c:pt idx="179">
                  <c:v>44505</c:v>
                </c:pt>
                <c:pt idx="180">
                  <c:v>44498</c:v>
                </c:pt>
                <c:pt idx="181">
                  <c:v>44491</c:v>
                </c:pt>
                <c:pt idx="182">
                  <c:v>44484</c:v>
                </c:pt>
                <c:pt idx="183">
                  <c:v>44477</c:v>
                </c:pt>
                <c:pt idx="184">
                  <c:v>44470</c:v>
                </c:pt>
                <c:pt idx="185">
                  <c:v>44463</c:v>
                </c:pt>
                <c:pt idx="186">
                  <c:v>44456</c:v>
                </c:pt>
                <c:pt idx="187">
                  <c:v>44449</c:v>
                </c:pt>
                <c:pt idx="188">
                  <c:v>44442</c:v>
                </c:pt>
                <c:pt idx="189">
                  <c:v>44435</c:v>
                </c:pt>
                <c:pt idx="190">
                  <c:v>44428</c:v>
                </c:pt>
                <c:pt idx="191">
                  <c:v>44421</c:v>
                </c:pt>
                <c:pt idx="192">
                  <c:v>44414</c:v>
                </c:pt>
                <c:pt idx="193">
                  <c:v>44407</c:v>
                </c:pt>
                <c:pt idx="194">
                  <c:v>44400</c:v>
                </c:pt>
                <c:pt idx="195">
                  <c:v>44393</c:v>
                </c:pt>
                <c:pt idx="196">
                  <c:v>44386</c:v>
                </c:pt>
                <c:pt idx="197">
                  <c:v>44379</c:v>
                </c:pt>
                <c:pt idx="198">
                  <c:v>44372</c:v>
                </c:pt>
                <c:pt idx="199">
                  <c:v>44365</c:v>
                </c:pt>
                <c:pt idx="200">
                  <c:v>44358</c:v>
                </c:pt>
                <c:pt idx="201">
                  <c:v>44351</c:v>
                </c:pt>
                <c:pt idx="202">
                  <c:v>44344</c:v>
                </c:pt>
                <c:pt idx="203">
                  <c:v>44337</c:v>
                </c:pt>
                <c:pt idx="204">
                  <c:v>44330</c:v>
                </c:pt>
                <c:pt idx="205">
                  <c:v>44323</c:v>
                </c:pt>
                <c:pt idx="206">
                  <c:v>44316</c:v>
                </c:pt>
                <c:pt idx="207">
                  <c:v>44309</c:v>
                </c:pt>
                <c:pt idx="208">
                  <c:v>44302</c:v>
                </c:pt>
                <c:pt idx="209">
                  <c:v>44295</c:v>
                </c:pt>
                <c:pt idx="210">
                  <c:v>44288</c:v>
                </c:pt>
                <c:pt idx="211">
                  <c:v>44281</c:v>
                </c:pt>
                <c:pt idx="212">
                  <c:v>44274</c:v>
                </c:pt>
                <c:pt idx="213">
                  <c:v>44267</c:v>
                </c:pt>
                <c:pt idx="214">
                  <c:v>44260</c:v>
                </c:pt>
                <c:pt idx="215">
                  <c:v>44253</c:v>
                </c:pt>
                <c:pt idx="216">
                  <c:v>44246</c:v>
                </c:pt>
                <c:pt idx="217">
                  <c:v>44239</c:v>
                </c:pt>
                <c:pt idx="218">
                  <c:v>44232</c:v>
                </c:pt>
                <c:pt idx="219">
                  <c:v>44225</c:v>
                </c:pt>
                <c:pt idx="220">
                  <c:v>44218</c:v>
                </c:pt>
                <c:pt idx="221">
                  <c:v>44211</c:v>
                </c:pt>
                <c:pt idx="222">
                  <c:v>44204</c:v>
                </c:pt>
                <c:pt idx="223">
                  <c:v>44197</c:v>
                </c:pt>
                <c:pt idx="224">
                  <c:v>44190</c:v>
                </c:pt>
                <c:pt idx="225">
                  <c:v>44183</c:v>
                </c:pt>
                <c:pt idx="226">
                  <c:v>44176</c:v>
                </c:pt>
                <c:pt idx="227">
                  <c:v>44169</c:v>
                </c:pt>
                <c:pt idx="228">
                  <c:v>44162</c:v>
                </c:pt>
                <c:pt idx="229">
                  <c:v>44155</c:v>
                </c:pt>
                <c:pt idx="230">
                  <c:v>44148</c:v>
                </c:pt>
                <c:pt idx="231">
                  <c:v>44141</c:v>
                </c:pt>
                <c:pt idx="232">
                  <c:v>44134</c:v>
                </c:pt>
                <c:pt idx="233">
                  <c:v>44127</c:v>
                </c:pt>
                <c:pt idx="234">
                  <c:v>44120</c:v>
                </c:pt>
                <c:pt idx="235">
                  <c:v>44113</c:v>
                </c:pt>
                <c:pt idx="236">
                  <c:v>44106</c:v>
                </c:pt>
                <c:pt idx="237">
                  <c:v>44099</c:v>
                </c:pt>
                <c:pt idx="238">
                  <c:v>44092</c:v>
                </c:pt>
                <c:pt idx="239">
                  <c:v>44085</c:v>
                </c:pt>
                <c:pt idx="240">
                  <c:v>44078</c:v>
                </c:pt>
                <c:pt idx="241">
                  <c:v>44071</c:v>
                </c:pt>
                <c:pt idx="242">
                  <c:v>44064</c:v>
                </c:pt>
                <c:pt idx="243">
                  <c:v>44057</c:v>
                </c:pt>
                <c:pt idx="244">
                  <c:v>44050</c:v>
                </c:pt>
                <c:pt idx="245">
                  <c:v>44043</c:v>
                </c:pt>
                <c:pt idx="246">
                  <c:v>44036</c:v>
                </c:pt>
                <c:pt idx="247">
                  <c:v>44029</c:v>
                </c:pt>
                <c:pt idx="248">
                  <c:v>44022</c:v>
                </c:pt>
                <c:pt idx="249">
                  <c:v>44015</c:v>
                </c:pt>
                <c:pt idx="250">
                  <c:v>44008</c:v>
                </c:pt>
                <c:pt idx="251">
                  <c:v>44001</c:v>
                </c:pt>
                <c:pt idx="252">
                  <c:v>43994</c:v>
                </c:pt>
                <c:pt idx="253">
                  <c:v>43987</c:v>
                </c:pt>
                <c:pt idx="254">
                  <c:v>43980</c:v>
                </c:pt>
                <c:pt idx="255">
                  <c:v>43973</c:v>
                </c:pt>
                <c:pt idx="256">
                  <c:v>43966</c:v>
                </c:pt>
                <c:pt idx="257">
                  <c:v>43959</c:v>
                </c:pt>
                <c:pt idx="258">
                  <c:v>43952</c:v>
                </c:pt>
                <c:pt idx="259">
                  <c:v>43945</c:v>
                </c:pt>
                <c:pt idx="260">
                  <c:v>43938</c:v>
                </c:pt>
                <c:pt idx="261">
                  <c:v>43931</c:v>
                </c:pt>
                <c:pt idx="262">
                  <c:v>43924</c:v>
                </c:pt>
                <c:pt idx="263">
                  <c:v>43917</c:v>
                </c:pt>
                <c:pt idx="264">
                  <c:v>43910</c:v>
                </c:pt>
                <c:pt idx="265">
                  <c:v>43903</c:v>
                </c:pt>
                <c:pt idx="266">
                  <c:v>43896</c:v>
                </c:pt>
                <c:pt idx="267">
                  <c:v>43889</c:v>
                </c:pt>
                <c:pt idx="268">
                  <c:v>43882</c:v>
                </c:pt>
                <c:pt idx="269">
                  <c:v>43875</c:v>
                </c:pt>
                <c:pt idx="270">
                  <c:v>43868</c:v>
                </c:pt>
                <c:pt idx="271">
                  <c:v>43861</c:v>
                </c:pt>
                <c:pt idx="272">
                  <c:v>43854</c:v>
                </c:pt>
                <c:pt idx="273">
                  <c:v>43847</c:v>
                </c:pt>
                <c:pt idx="274">
                  <c:v>43840</c:v>
                </c:pt>
                <c:pt idx="275">
                  <c:v>43833</c:v>
                </c:pt>
                <c:pt idx="276">
                  <c:v>43826</c:v>
                </c:pt>
                <c:pt idx="277">
                  <c:v>43819</c:v>
                </c:pt>
                <c:pt idx="278">
                  <c:v>43812</c:v>
                </c:pt>
                <c:pt idx="279">
                  <c:v>43805</c:v>
                </c:pt>
                <c:pt idx="280">
                  <c:v>43798</c:v>
                </c:pt>
                <c:pt idx="281">
                  <c:v>43791</c:v>
                </c:pt>
                <c:pt idx="282">
                  <c:v>43784</c:v>
                </c:pt>
                <c:pt idx="283">
                  <c:v>43777</c:v>
                </c:pt>
                <c:pt idx="284">
                  <c:v>43770</c:v>
                </c:pt>
                <c:pt idx="285">
                  <c:v>43763</c:v>
                </c:pt>
                <c:pt idx="286">
                  <c:v>43756</c:v>
                </c:pt>
                <c:pt idx="287">
                  <c:v>43749</c:v>
                </c:pt>
                <c:pt idx="288">
                  <c:v>43742</c:v>
                </c:pt>
                <c:pt idx="289">
                  <c:v>43735</c:v>
                </c:pt>
                <c:pt idx="290">
                  <c:v>43728</c:v>
                </c:pt>
                <c:pt idx="291">
                  <c:v>43721</c:v>
                </c:pt>
                <c:pt idx="292">
                  <c:v>43714</c:v>
                </c:pt>
                <c:pt idx="293">
                  <c:v>43707</c:v>
                </c:pt>
                <c:pt idx="294">
                  <c:v>43700</c:v>
                </c:pt>
                <c:pt idx="295">
                  <c:v>43693</c:v>
                </c:pt>
                <c:pt idx="296">
                  <c:v>43686</c:v>
                </c:pt>
                <c:pt idx="297">
                  <c:v>43679</c:v>
                </c:pt>
                <c:pt idx="298">
                  <c:v>43672</c:v>
                </c:pt>
                <c:pt idx="299">
                  <c:v>43665</c:v>
                </c:pt>
                <c:pt idx="300">
                  <c:v>43658</c:v>
                </c:pt>
                <c:pt idx="301">
                  <c:v>43651</c:v>
                </c:pt>
                <c:pt idx="302">
                  <c:v>43644</c:v>
                </c:pt>
                <c:pt idx="303">
                  <c:v>43637</c:v>
                </c:pt>
                <c:pt idx="304">
                  <c:v>43630</c:v>
                </c:pt>
                <c:pt idx="305">
                  <c:v>43623</c:v>
                </c:pt>
                <c:pt idx="306">
                  <c:v>43616</c:v>
                </c:pt>
                <c:pt idx="307">
                  <c:v>43609</c:v>
                </c:pt>
                <c:pt idx="308">
                  <c:v>43602</c:v>
                </c:pt>
                <c:pt idx="309">
                  <c:v>43595</c:v>
                </c:pt>
                <c:pt idx="310">
                  <c:v>43588</c:v>
                </c:pt>
                <c:pt idx="311">
                  <c:v>43581</c:v>
                </c:pt>
                <c:pt idx="312">
                  <c:v>43574</c:v>
                </c:pt>
                <c:pt idx="313">
                  <c:v>43567</c:v>
                </c:pt>
                <c:pt idx="314">
                  <c:v>43560</c:v>
                </c:pt>
                <c:pt idx="315">
                  <c:v>43553</c:v>
                </c:pt>
                <c:pt idx="316">
                  <c:v>43546</c:v>
                </c:pt>
                <c:pt idx="317">
                  <c:v>43539</c:v>
                </c:pt>
                <c:pt idx="318">
                  <c:v>43532</c:v>
                </c:pt>
                <c:pt idx="319">
                  <c:v>43525</c:v>
                </c:pt>
                <c:pt idx="320">
                  <c:v>43518</c:v>
                </c:pt>
                <c:pt idx="321">
                  <c:v>43511</c:v>
                </c:pt>
                <c:pt idx="322">
                  <c:v>43504</c:v>
                </c:pt>
                <c:pt idx="323">
                  <c:v>43497</c:v>
                </c:pt>
                <c:pt idx="324">
                  <c:v>43490</c:v>
                </c:pt>
                <c:pt idx="325">
                  <c:v>43483</c:v>
                </c:pt>
                <c:pt idx="326">
                  <c:v>43476</c:v>
                </c:pt>
                <c:pt idx="327">
                  <c:v>43469</c:v>
                </c:pt>
                <c:pt idx="328">
                  <c:v>43462</c:v>
                </c:pt>
                <c:pt idx="329">
                  <c:v>43455</c:v>
                </c:pt>
                <c:pt idx="330">
                  <c:v>43448</c:v>
                </c:pt>
                <c:pt idx="331">
                  <c:v>43441</c:v>
                </c:pt>
                <c:pt idx="332">
                  <c:v>43434</c:v>
                </c:pt>
                <c:pt idx="333">
                  <c:v>43427</c:v>
                </c:pt>
                <c:pt idx="334">
                  <c:v>43420</c:v>
                </c:pt>
                <c:pt idx="335">
                  <c:v>43413</c:v>
                </c:pt>
                <c:pt idx="336">
                  <c:v>43406</c:v>
                </c:pt>
                <c:pt idx="337">
                  <c:v>43399</c:v>
                </c:pt>
                <c:pt idx="338">
                  <c:v>43392</c:v>
                </c:pt>
                <c:pt idx="339">
                  <c:v>43385</c:v>
                </c:pt>
                <c:pt idx="340">
                  <c:v>43378</c:v>
                </c:pt>
                <c:pt idx="341">
                  <c:v>43371</c:v>
                </c:pt>
                <c:pt idx="342">
                  <c:v>43364</c:v>
                </c:pt>
                <c:pt idx="343">
                  <c:v>43357</c:v>
                </c:pt>
                <c:pt idx="344">
                  <c:v>43350</c:v>
                </c:pt>
                <c:pt idx="345">
                  <c:v>43343</c:v>
                </c:pt>
                <c:pt idx="346">
                  <c:v>43336</c:v>
                </c:pt>
                <c:pt idx="347">
                  <c:v>43329</c:v>
                </c:pt>
                <c:pt idx="348">
                  <c:v>43322</c:v>
                </c:pt>
                <c:pt idx="349">
                  <c:v>43315</c:v>
                </c:pt>
                <c:pt idx="350">
                  <c:v>43308</c:v>
                </c:pt>
                <c:pt idx="351">
                  <c:v>43301</c:v>
                </c:pt>
                <c:pt idx="352">
                  <c:v>43294</c:v>
                </c:pt>
                <c:pt idx="353">
                  <c:v>43287</c:v>
                </c:pt>
                <c:pt idx="354">
                  <c:v>43280</c:v>
                </c:pt>
                <c:pt idx="355">
                  <c:v>43273</c:v>
                </c:pt>
                <c:pt idx="356">
                  <c:v>43266</c:v>
                </c:pt>
                <c:pt idx="357">
                  <c:v>43259</c:v>
                </c:pt>
                <c:pt idx="358">
                  <c:v>43252</c:v>
                </c:pt>
                <c:pt idx="359">
                  <c:v>43245</c:v>
                </c:pt>
                <c:pt idx="360">
                  <c:v>43238</c:v>
                </c:pt>
                <c:pt idx="361">
                  <c:v>43231</c:v>
                </c:pt>
                <c:pt idx="362">
                  <c:v>43224</c:v>
                </c:pt>
                <c:pt idx="363">
                  <c:v>43217</c:v>
                </c:pt>
                <c:pt idx="364">
                  <c:v>43210</c:v>
                </c:pt>
                <c:pt idx="365">
                  <c:v>43203</c:v>
                </c:pt>
                <c:pt idx="366">
                  <c:v>43196</c:v>
                </c:pt>
                <c:pt idx="367">
                  <c:v>43189</c:v>
                </c:pt>
                <c:pt idx="368">
                  <c:v>43182</c:v>
                </c:pt>
                <c:pt idx="369">
                  <c:v>43175</c:v>
                </c:pt>
                <c:pt idx="370">
                  <c:v>43168</c:v>
                </c:pt>
                <c:pt idx="371">
                  <c:v>43161</c:v>
                </c:pt>
                <c:pt idx="372">
                  <c:v>43154</c:v>
                </c:pt>
                <c:pt idx="373">
                  <c:v>43147</c:v>
                </c:pt>
                <c:pt idx="374">
                  <c:v>43140</c:v>
                </c:pt>
                <c:pt idx="375">
                  <c:v>43133</c:v>
                </c:pt>
                <c:pt idx="376">
                  <c:v>43126</c:v>
                </c:pt>
                <c:pt idx="377">
                  <c:v>43119</c:v>
                </c:pt>
                <c:pt idx="378">
                  <c:v>43112</c:v>
                </c:pt>
                <c:pt idx="379">
                  <c:v>43105</c:v>
                </c:pt>
                <c:pt idx="380">
                  <c:v>43098</c:v>
                </c:pt>
                <c:pt idx="381">
                  <c:v>43091</c:v>
                </c:pt>
                <c:pt idx="382">
                  <c:v>43084</c:v>
                </c:pt>
                <c:pt idx="383">
                  <c:v>43077</c:v>
                </c:pt>
                <c:pt idx="384">
                  <c:v>43070</c:v>
                </c:pt>
                <c:pt idx="385">
                  <c:v>43063</c:v>
                </c:pt>
                <c:pt idx="386">
                  <c:v>43056</c:v>
                </c:pt>
                <c:pt idx="387">
                  <c:v>43049</c:v>
                </c:pt>
                <c:pt idx="388">
                  <c:v>43042</c:v>
                </c:pt>
                <c:pt idx="389">
                  <c:v>43035</c:v>
                </c:pt>
                <c:pt idx="390">
                  <c:v>43028</c:v>
                </c:pt>
                <c:pt idx="391">
                  <c:v>43021</c:v>
                </c:pt>
                <c:pt idx="392">
                  <c:v>43014</c:v>
                </c:pt>
                <c:pt idx="393">
                  <c:v>43007</c:v>
                </c:pt>
                <c:pt idx="394">
                  <c:v>43000</c:v>
                </c:pt>
                <c:pt idx="395">
                  <c:v>42993</c:v>
                </c:pt>
                <c:pt idx="396">
                  <c:v>42986</c:v>
                </c:pt>
                <c:pt idx="397">
                  <c:v>42979</c:v>
                </c:pt>
                <c:pt idx="398">
                  <c:v>42972</c:v>
                </c:pt>
                <c:pt idx="399">
                  <c:v>42965</c:v>
                </c:pt>
                <c:pt idx="400">
                  <c:v>42958</c:v>
                </c:pt>
                <c:pt idx="401">
                  <c:v>42951</c:v>
                </c:pt>
                <c:pt idx="402">
                  <c:v>42944</c:v>
                </c:pt>
                <c:pt idx="403">
                  <c:v>42937</c:v>
                </c:pt>
                <c:pt idx="404">
                  <c:v>42930</c:v>
                </c:pt>
                <c:pt idx="405">
                  <c:v>42923</c:v>
                </c:pt>
                <c:pt idx="406">
                  <c:v>42916</c:v>
                </c:pt>
                <c:pt idx="407">
                  <c:v>42909</c:v>
                </c:pt>
                <c:pt idx="408">
                  <c:v>42902</c:v>
                </c:pt>
                <c:pt idx="409">
                  <c:v>42895</c:v>
                </c:pt>
                <c:pt idx="410">
                  <c:v>42888</c:v>
                </c:pt>
                <c:pt idx="411">
                  <c:v>42881</c:v>
                </c:pt>
                <c:pt idx="412">
                  <c:v>42874</c:v>
                </c:pt>
                <c:pt idx="413">
                  <c:v>42867</c:v>
                </c:pt>
                <c:pt idx="414">
                  <c:v>42860</c:v>
                </c:pt>
                <c:pt idx="415">
                  <c:v>42853</c:v>
                </c:pt>
                <c:pt idx="416">
                  <c:v>42846</c:v>
                </c:pt>
                <c:pt idx="417">
                  <c:v>42839</c:v>
                </c:pt>
                <c:pt idx="418">
                  <c:v>42832</c:v>
                </c:pt>
                <c:pt idx="419">
                  <c:v>42825</c:v>
                </c:pt>
                <c:pt idx="420">
                  <c:v>42818</c:v>
                </c:pt>
                <c:pt idx="421">
                  <c:v>42811</c:v>
                </c:pt>
                <c:pt idx="422">
                  <c:v>42804</c:v>
                </c:pt>
                <c:pt idx="423">
                  <c:v>42797</c:v>
                </c:pt>
                <c:pt idx="424">
                  <c:v>42790</c:v>
                </c:pt>
                <c:pt idx="425">
                  <c:v>42783</c:v>
                </c:pt>
                <c:pt idx="426">
                  <c:v>42776</c:v>
                </c:pt>
                <c:pt idx="427">
                  <c:v>42769</c:v>
                </c:pt>
                <c:pt idx="428">
                  <c:v>42762</c:v>
                </c:pt>
                <c:pt idx="429">
                  <c:v>42755</c:v>
                </c:pt>
                <c:pt idx="430">
                  <c:v>42748</c:v>
                </c:pt>
                <c:pt idx="431">
                  <c:v>42741</c:v>
                </c:pt>
                <c:pt idx="432">
                  <c:v>42734</c:v>
                </c:pt>
                <c:pt idx="433">
                  <c:v>42727</c:v>
                </c:pt>
                <c:pt idx="434">
                  <c:v>42720</c:v>
                </c:pt>
                <c:pt idx="435">
                  <c:v>42713</c:v>
                </c:pt>
                <c:pt idx="436">
                  <c:v>42706</c:v>
                </c:pt>
                <c:pt idx="437">
                  <c:v>42699</c:v>
                </c:pt>
                <c:pt idx="438">
                  <c:v>42692</c:v>
                </c:pt>
                <c:pt idx="439">
                  <c:v>42685</c:v>
                </c:pt>
                <c:pt idx="440">
                  <c:v>42678</c:v>
                </c:pt>
                <c:pt idx="441">
                  <c:v>42671</c:v>
                </c:pt>
                <c:pt idx="442">
                  <c:v>42664</c:v>
                </c:pt>
                <c:pt idx="443">
                  <c:v>42657</c:v>
                </c:pt>
                <c:pt idx="444">
                  <c:v>42650</c:v>
                </c:pt>
                <c:pt idx="445">
                  <c:v>42643</c:v>
                </c:pt>
                <c:pt idx="446">
                  <c:v>42636</c:v>
                </c:pt>
                <c:pt idx="447">
                  <c:v>42629</c:v>
                </c:pt>
                <c:pt idx="448">
                  <c:v>42622</c:v>
                </c:pt>
                <c:pt idx="449">
                  <c:v>42615</c:v>
                </c:pt>
                <c:pt idx="450">
                  <c:v>42608</c:v>
                </c:pt>
                <c:pt idx="451">
                  <c:v>42601</c:v>
                </c:pt>
                <c:pt idx="452">
                  <c:v>42594</c:v>
                </c:pt>
                <c:pt idx="453">
                  <c:v>42587</c:v>
                </c:pt>
                <c:pt idx="454">
                  <c:v>42580</c:v>
                </c:pt>
                <c:pt idx="455">
                  <c:v>42573</c:v>
                </c:pt>
                <c:pt idx="456">
                  <c:v>42566</c:v>
                </c:pt>
                <c:pt idx="457">
                  <c:v>42559</c:v>
                </c:pt>
                <c:pt idx="458">
                  <c:v>42552</c:v>
                </c:pt>
                <c:pt idx="459">
                  <c:v>42545</c:v>
                </c:pt>
                <c:pt idx="460">
                  <c:v>42538</c:v>
                </c:pt>
                <c:pt idx="461">
                  <c:v>42531</c:v>
                </c:pt>
                <c:pt idx="462">
                  <c:v>42524</c:v>
                </c:pt>
                <c:pt idx="463">
                  <c:v>42517</c:v>
                </c:pt>
                <c:pt idx="464">
                  <c:v>42510</c:v>
                </c:pt>
                <c:pt idx="465">
                  <c:v>42503</c:v>
                </c:pt>
                <c:pt idx="466">
                  <c:v>42496</c:v>
                </c:pt>
                <c:pt idx="467">
                  <c:v>42489</c:v>
                </c:pt>
                <c:pt idx="468">
                  <c:v>42482</c:v>
                </c:pt>
                <c:pt idx="469">
                  <c:v>42475</c:v>
                </c:pt>
                <c:pt idx="470">
                  <c:v>42468</c:v>
                </c:pt>
                <c:pt idx="471">
                  <c:v>42461</c:v>
                </c:pt>
                <c:pt idx="472">
                  <c:v>42454</c:v>
                </c:pt>
                <c:pt idx="473">
                  <c:v>42447</c:v>
                </c:pt>
                <c:pt idx="474">
                  <c:v>42440</c:v>
                </c:pt>
                <c:pt idx="475">
                  <c:v>42433</c:v>
                </c:pt>
                <c:pt idx="476">
                  <c:v>42426</c:v>
                </c:pt>
                <c:pt idx="477">
                  <c:v>42419</c:v>
                </c:pt>
                <c:pt idx="478">
                  <c:v>42412</c:v>
                </c:pt>
                <c:pt idx="479">
                  <c:v>42405</c:v>
                </c:pt>
                <c:pt idx="480">
                  <c:v>42398</c:v>
                </c:pt>
                <c:pt idx="481">
                  <c:v>42391</c:v>
                </c:pt>
                <c:pt idx="482">
                  <c:v>42384</c:v>
                </c:pt>
                <c:pt idx="483">
                  <c:v>42377</c:v>
                </c:pt>
                <c:pt idx="484">
                  <c:v>42370</c:v>
                </c:pt>
                <c:pt idx="485">
                  <c:v>42363</c:v>
                </c:pt>
                <c:pt idx="486">
                  <c:v>42356</c:v>
                </c:pt>
                <c:pt idx="487">
                  <c:v>42349</c:v>
                </c:pt>
                <c:pt idx="488">
                  <c:v>42342</c:v>
                </c:pt>
                <c:pt idx="489">
                  <c:v>42335</c:v>
                </c:pt>
                <c:pt idx="490">
                  <c:v>42328</c:v>
                </c:pt>
                <c:pt idx="491">
                  <c:v>42321</c:v>
                </c:pt>
                <c:pt idx="492">
                  <c:v>42314</c:v>
                </c:pt>
                <c:pt idx="493">
                  <c:v>42307</c:v>
                </c:pt>
                <c:pt idx="494">
                  <c:v>42300</c:v>
                </c:pt>
                <c:pt idx="495">
                  <c:v>42293</c:v>
                </c:pt>
                <c:pt idx="496">
                  <c:v>42286</c:v>
                </c:pt>
                <c:pt idx="497">
                  <c:v>42279</c:v>
                </c:pt>
                <c:pt idx="498">
                  <c:v>42272</c:v>
                </c:pt>
                <c:pt idx="499">
                  <c:v>42265</c:v>
                </c:pt>
                <c:pt idx="500">
                  <c:v>42258</c:v>
                </c:pt>
                <c:pt idx="501">
                  <c:v>42251</c:v>
                </c:pt>
                <c:pt idx="502">
                  <c:v>42244</c:v>
                </c:pt>
                <c:pt idx="503">
                  <c:v>42237</c:v>
                </c:pt>
                <c:pt idx="504">
                  <c:v>42230</c:v>
                </c:pt>
                <c:pt idx="505">
                  <c:v>42223</c:v>
                </c:pt>
                <c:pt idx="506">
                  <c:v>42216</c:v>
                </c:pt>
                <c:pt idx="507">
                  <c:v>42209</c:v>
                </c:pt>
                <c:pt idx="508">
                  <c:v>42202</c:v>
                </c:pt>
                <c:pt idx="509">
                  <c:v>42195</c:v>
                </c:pt>
                <c:pt idx="510">
                  <c:v>42188</c:v>
                </c:pt>
                <c:pt idx="511">
                  <c:v>42181</c:v>
                </c:pt>
                <c:pt idx="512">
                  <c:v>42174</c:v>
                </c:pt>
                <c:pt idx="513">
                  <c:v>42167</c:v>
                </c:pt>
                <c:pt idx="514">
                  <c:v>42160</c:v>
                </c:pt>
                <c:pt idx="515">
                  <c:v>42153</c:v>
                </c:pt>
                <c:pt idx="516">
                  <c:v>42146</c:v>
                </c:pt>
                <c:pt idx="517">
                  <c:v>42139</c:v>
                </c:pt>
                <c:pt idx="518">
                  <c:v>42132</c:v>
                </c:pt>
                <c:pt idx="519">
                  <c:v>42125</c:v>
                </c:pt>
                <c:pt idx="520">
                  <c:v>42118</c:v>
                </c:pt>
                <c:pt idx="521">
                  <c:v>42111</c:v>
                </c:pt>
              </c:numCache>
            </c:numRef>
          </c:cat>
          <c:val>
            <c:numRef>
              <c:f>CORRELATION!$B$3:$B$524</c:f>
              <c:numCache>
                <c:formatCode>General</c:formatCode>
                <c:ptCount val="522"/>
                <c:pt idx="0">
                  <c:v>183200</c:v>
                </c:pt>
                <c:pt idx="1">
                  <c:v>182200</c:v>
                </c:pt>
                <c:pt idx="2">
                  <c:v>199300</c:v>
                </c:pt>
                <c:pt idx="3">
                  <c:v>215500</c:v>
                </c:pt>
                <c:pt idx="4">
                  <c:v>204500</c:v>
                </c:pt>
                <c:pt idx="5">
                  <c:v>192400</c:v>
                </c:pt>
                <c:pt idx="6">
                  <c:v>190200</c:v>
                </c:pt>
                <c:pt idx="7">
                  <c:v>209500</c:v>
                </c:pt>
                <c:pt idx="8">
                  <c:v>210000</c:v>
                </c:pt>
                <c:pt idx="9">
                  <c:v>203000</c:v>
                </c:pt>
                <c:pt idx="10">
                  <c:v>199200</c:v>
                </c:pt>
                <c:pt idx="11">
                  <c:v>221000</c:v>
                </c:pt>
                <c:pt idx="12">
                  <c:v>214500</c:v>
                </c:pt>
                <c:pt idx="13">
                  <c:v>203500</c:v>
                </c:pt>
                <c:pt idx="14">
                  <c:v>181900</c:v>
                </c:pt>
                <c:pt idx="15">
                  <c:v>174500</c:v>
                </c:pt>
                <c:pt idx="16">
                  <c:v>168500</c:v>
                </c:pt>
                <c:pt idx="17">
                  <c:v>175500</c:v>
                </c:pt>
                <c:pt idx="18">
                  <c:v>167100</c:v>
                </c:pt>
                <c:pt idx="19">
                  <c:v>159900</c:v>
                </c:pt>
                <c:pt idx="20">
                  <c:v>176700</c:v>
                </c:pt>
                <c:pt idx="21">
                  <c:v>178200</c:v>
                </c:pt>
                <c:pt idx="22">
                  <c:v>200500</c:v>
                </c:pt>
                <c:pt idx="23">
                  <c:v>182200</c:v>
                </c:pt>
                <c:pt idx="24">
                  <c:v>201000</c:v>
                </c:pt>
                <c:pt idx="25">
                  <c:v>187300</c:v>
                </c:pt>
                <c:pt idx="26">
                  <c:v>186000</c:v>
                </c:pt>
                <c:pt idx="27">
                  <c:v>174100</c:v>
                </c:pt>
                <c:pt idx="28">
                  <c:v>183800</c:v>
                </c:pt>
                <c:pt idx="29">
                  <c:v>157100</c:v>
                </c:pt>
                <c:pt idx="30">
                  <c:v>162800</c:v>
                </c:pt>
                <c:pt idx="31">
                  <c:v>156400</c:v>
                </c:pt>
                <c:pt idx="32">
                  <c:v>173700</c:v>
                </c:pt>
                <c:pt idx="33">
                  <c:v>185500</c:v>
                </c:pt>
                <c:pt idx="34">
                  <c:v>199700</c:v>
                </c:pt>
                <c:pt idx="35">
                  <c:v>171500</c:v>
                </c:pt>
                <c:pt idx="36">
                  <c:v>173200</c:v>
                </c:pt>
                <c:pt idx="37">
                  <c:v>191800</c:v>
                </c:pt>
                <c:pt idx="38">
                  <c:v>209500</c:v>
                </c:pt>
                <c:pt idx="39">
                  <c:v>233000</c:v>
                </c:pt>
                <c:pt idx="40">
                  <c:v>236000</c:v>
                </c:pt>
                <c:pt idx="41">
                  <c:v>236500</c:v>
                </c:pt>
                <c:pt idx="42">
                  <c:v>234000</c:v>
                </c:pt>
                <c:pt idx="43">
                  <c:v>221000</c:v>
                </c:pt>
                <c:pt idx="44">
                  <c:v>207500</c:v>
                </c:pt>
                <c:pt idx="45">
                  <c:v>189200</c:v>
                </c:pt>
                <c:pt idx="46">
                  <c:v>198600</c:v>
                </c:pt>
                <c:pt idx="47">
                  <c:v>189900</c:v>
                </c:pt>
                <c:pt idx="48">
                  <c:v>179900</c:v>
                </c:pt>
                <c:pt idx="49">
                  <c:v>173200</c:v>
                </c:pt>
                <c:pt idx="50">
                  <c:v>177800</c:v>
                </c:pt>
                <c:pt idx="51">
                  <c:v>173300</c:v>
                </c:pt>
                <c:pt idx="52">
                  <c:v>187400</c:v>
                </c:pt>
                <c:pt idx="53">
                  <c:v>182800</c:v>
                </c:pt>
                <c:pt idx="54">
                  <c:v>183000</c:v>
                </c:pt>
                <c:pt idx="55">
                  <c:v>169800</c:v>
                </c:pt>
                <c:pt idx="56">
                  <c:v>161200</c:v>
                </c:pt>
                <c:pt idx="57">
                  <c:v>171900</c:v>
                </c:pt>
                <c:pt idx="58">
                  <c:v>156200</c:v>
                </c:pt>
                <c:pt idx="59">
                  <c:v>161400</c:v>
                </c:pt>
                <c:pt idx="60">
                  <c:v>146800</c:v>
                </c:pt>
                <c:pt idx="61">
                  <c:v>142800</c:v>
                </c:pt>
                <c:pt idx="62">
                  <c:v>134900</c:v>
                </c:pt>
                <c:pt idx="63">
                  <c:v>136000</c:v>
                </c:pt>
                <c:pt idx="64">
                  <c:v>141300</c:v>
                </c:pt>
                <c:pt idx="65">
                  <c:v>134100</c:v>
                </c:pt>
                <c:pt idx="66">
                  <c:v>137500</c:v>
                </c:pt>
                <c:pt idx="67">
                  <c:v>141500</c:v>
                </c:pt>
                <c:pt idx="68">
                  <c:v>140600</c:v>
                </c:pt>
                <c:pt idx="69">
                  <c:v>140000</c:v>
                </c:pt>
                <c:pt idx="70">
                  <c:v>127500</c:v>
                </c:pt>
                <c:pt idx="71">
                  <c:v>132600</c:v>
                </c:pt>
                <c:pt idx="72">
                  <c:v>128000</c:v>
                </c:pt>
                <c:pt idx="73">
                  <c:v>129900</c:v>
                </c:pt>
                <c:pt idx="74">
                  <c:v>130500</c:v>
                </c:pt>
                <c:pt idx="75">
                  <c:v>125800</c:v>
                </c:pt>
                <c:pt idx="76">
                  <c:v>119100</c:v>
                </c:pt>
                <c:pt idx="77">
                  <c:v>126200</c:v>
                </c:pt>
                <c:pt idx="78">
                  <c:v>124700</c:v>
                </c:pt>
                <c:pt idx="79">
                  <c:v>120400</c:v>
                </c:pt>
                <c:pt idx="80">
                  <c:v>114700</c:v>
                </c:pt>
                <c:pt idx="81">
                  <c:v>117300</c:v>
                </c:pt>
                <c:pt idx="82">
                  <c:v>122400</c:v>
                </c:pt>
                <c:pt idx="83">
                  <c:v>113700</c:v>
                </c:pt>
                <c:pt idx="84">
                  <c:v>120000</c:v>
                </c:pt>
                <c:pt idx="85">
                  <c:v>116500</c:v>
                </c:pt>
                <c:pt idx="86">
                  <c:v>117200</c:v>
                </c:pt>
                <c:pt idx="87">
                  <c:v>115300</c:v>
                </c:pt>
                <c:pt idx="88">
                  <c:v>120100</c:v>
                </c:pt>
                <c:pt idx="89">
                  <c:v>128000</c:v>
                </c:pt>
                <c:pt idx="90">
                  <c:v>115100</c:v>
                </c:pt>
                <c:pt idx="91">
                  <c:v>118000</c:v>
                </c:pt>
                <c:pt idx="92">
                  <c:v>111800</c:v>
                </c:pt>
                <c:pt idx="93">
                  <c:v>115200</c:v>
                </c:pt>
                <c:pt idx="94">
                  <c:v>113600</c:v>
                </c:pt>
                <c:pt idx="95">
                  <c:v>118900</c:v>
                </c:pt>
                <c:pt idx="96">
                  <c:v>115400</c:v>
                </c:pt>
                <c:pt idx="97">
                  <c:v>110300</c:v>
                </c:pt>
                <c:pt idx="98">
                  <c:v>109200</c:v>
                </c:pt>
                <c:pt idx="99">
                  <c:v>97300</c:v>
                </c:pt>
                <c:pt idx="100">
                  <c:v>87200</c:v>
                </c:pt>
                <c:pt idx="101">
                  <c:v>88700</c:v>
                </c:pt>
                <c:pt idx="102">
                  <c:v>89500</c:v>
                </c:pt>
                <c:pt idx="103">
                  <c:v>89100</c:v>
                </c:pt>
                <c:pt idx="104">
                  <c:v>89300</c:v>
                </c:pt>
                <c:pt idx="105">
                  <c:v>89100</c:v>
                </c:pt>
                <c:pt idx="106">
                  <c:v>88600</c:v>
                </c:pt>
                <c:pt idx="107">
                  <c:v>87300</c:v>
                </c:pt>
                <c:pt idx="108">
                  <c:v>84000</c:v>
                </c:pt>
                <c:pt idx="109">
                  <c:v>83300</c:v>
                </c:pt>
                <c:pt idx="110">
                  <c:v>87300</c:v>
                </c:pt>
                <c:pt idx="111">
                  <c:v>91000</c:v>
                </c:pt>
                <c:pt idx="112">
                  <c:v>92000</c:v>
                </c:pt>
                <c:pt idx="113">
                  <c:v>93500</c:v>
                </c:pt>
                <c:pt idx="114">
                  <c:v>92200</c:v>
                </c:pt>
                <c:pt idx="115">
                  <c:v>91500</c:v>
                </c:pt>
                <c:pt idx="116">
                  <c:v>87600</c:v>
                </c:pt>
                <c:pt idx="117">
                  <c:v>85700</c:v>
                </c:pt>
                <c:pt idx="118">
                  <c:v>83100</c:v>
                </c:pt>
                <c:pt idx="119">
                  <c:v>75000</c:v>
                </c:pt>
                <c:pt idx="120">
                  <c:v>77800</c:v>
                </c:pt>
                <c:pt idx="121">
                  <c:v>78400</c:v>
                </c:pt>
                <c:pt idx="122">
                  <c:v>81500</c:v>
                </c:pt>
                <c:pt idx="123">
                  <c:v>81900</c:v>
                </c:pt>
                <c:pt idx="124">
                  <c:v>85100</c:v>
                </c:pt>
                <c:pt idx="125">
                  <c:v>88400</c:v>
                </c:pt>
                <c:pt idx="126">
                  <c:v>93500</c:v>
                </c:pt>
                <c:pt idx="127">
                  <c:v>84500</c:v>
                </c:pt>
                <c:pt idx="128">
                  <c:v>83400</c:v>
                </c:pt>
                <c:pt idx="129">
                  <c:v>90500</c:v>
                </c:pt>
                <c:pt idx="130">
                  <c:v>95500</c:v>
                </c:pt>
                <c:pt idx="131">
                  <c:v>91200</c:v>
                </c:pt>
                <c:pt idx="132">
                  <c:v>83100</c:v>
                </c:pt>
                <c:pt idx="133">
                  <c:v>83500</c:v>
                </c:pt>
                <c:pt idx="134">
                  <c:v>91200</c:v>
                </c:pt>
                <c:pt idx="135">
                  <c:v>90400</c:v>
                </c:pt>
                <c:pt idx="136">
                  <c:v>91700</c:v>
                </c:pt>
                <c:pt idx="137">
                  <c:v>95100</c:v>
                </c:pt>
                <c:pt idx="138">
                  <c:v>96400</c:v>
                </c:pt>
                <c:pt idx="139">
                  <c:v>93300</c:v>
                </c:pt>
                <c:pt idx="140">
                  <c:v>98500</c:v>
                </c:pt>
                <c:pt idx="141">
                  <c:v>97900</c:v>
                </c:pt>
                <c:pt idx="142">
                  <c:v>100000</c:v>
                </c:pt>
                <c:pt idx="143">
                  <c:v>98700</c:v>
                </c:pt>
                <c:pt idx="144">
                  <c:v>94800</c:v>
                </c:pt>
                <c:pt idx="145">
                  <c:v>87500</c:v>
                </c:pt>
                <c:pt idx="146">
                  <c:v>91600</c:v>
                </c:pt>
                <c:pt idx="147">
                  <c:v>96400</c:v>
                </c:pt>
                <c:pt idx="148">
                  <c:v>103500</c:v>
                </c:pt>
                <c:pt idx="149">
                  <c:v>107000</c:v>
                </c:pt>
                <c:pt idx="150">
                  <c:v>106000</c:v>
                </c:pt>
                <c:pt idx="151">
                  <c:v>112500</c:v>
                </c:pt>
                <c:pt idx="152">
                  <c:v>112500</c:v>
                </c:pt>
                <c:pt idx="153">
                  <c:v>107500</c:v>
                </c:pt>
                <c:pt idx="154">
                  <c:v>112500</c:v>
                </c:pt>
                <c:pt idx="155">
                  <c:v>110500</c:v>
                </c:pt>
                <c:pt idx="156">
                  <c:v>108000</c:v>
                </c:pt>
                <c:pt idx="157">
                  <c:v>112000</c:v>
                </c:pt>
                <c:pt idx="158">
                  <c:v>116000</c:v>
                </c:pt>
                <c:pt idx="159">
                  <c:v>118000</c:v>
                </c:pt>
                <c:pt idx="160">
                  <c:v>124000</c:v>
                </c:pt>
                <c:pt idx="161">
                  <c:v>117000</c:v>
                </c:pt>
                <c:pt idx="162">
                  <c:v>124500</c:v>
                </c:pt>
                <c:pt idx="163">
                  <c:v>123000</c:v>
                </c:pt>
                <c:pt idx="164">
                  <c:v>131500</c:v>
                </c:pt>
                <c:pt idx="165">
                  <c:v>132000</c:v>
                </c:pt>
                <c:pt idx="166">
                  <c:v>124500</c:v>
                </c:pt>
                <c:pt idx="167">
                  <c:v>120500</c:v>
                </c:pt>
                <c:pt idx="168">
                  <c:v>119000</c:v>
                </c:pt>
                <c:pt idx="169">
                  <c:v>128500</c:v>
                </c:pt>
                <c:pt idx="170">
                  <c:v>127000</c:v>
                </c:pt>
                <c:pt idx="171">
                  <c:v>131000</c:v>
                </c:pt>
                <c:pt idx="172">
                  <c:v>128000</c:v>
                </c:pt>
                <c:pt idx="173">
                  <c:v>122000</c:v>
                </c:pt>
                <c:pt idx="174">
                  <c:v>120500</c:v>
                </c:pt>
                <c:pt idx="175">
                  <c:v>118000</c:v>
                </c:pt>
                <c:pt idx="176">
                  <c:v>115500</c:v>
                </c:pt>
                <c:pt idx="177">
                  <c:v>111500</c:v>
                </c:pt>
                <c:pt idx="178">
                  <c:v>106500</c:v>
                </c:pt>
                <c:pt idx="179">
                  <c:v>107000</c:v>
                </c:pt>
                <c:pt idx="180">
                  <c:v>103000</c:v>
                </c:pt>
                <c:pt idx="181">
                  <c:v>98500</c:v>
                </c:pt>
                <c:pt idx="182">
                  <c:v>98400</c:v>
                </c:pt>
                <c:pt idx="183">
                  <c:v>94000</c:v>
                </c:pt>
                <c:pt idx="184">
                  <c:v>100000</c:v>
                </c:pt>
                <c:pt idx="185">
                  <c:v>104000</c:v>
                </c:pt>
                <c:pt idx="186">
                  <c:v>107000</c:v>
                </c:pt>
                <c:pt idx="187">
                  <c:v>105000</c:v>
                </c:pt>
                <c:pt idx="188">
                  <c:v>107000</c:v>
                </c:pt>
                <c:pt idx="189">
                  <c:v>103500</c:v>
                </c:pt>
                <c:pt idx="190">
                  <c:v>102500</c:v>
                </c:pt>
                <c:pt idx="191">
                  <c:v>101500</c:v>
                </c:pt>
                <c:pt idx="192">
                  <c:v>118000</c:v>
                </c:pt>
                <c:pt idx="193">
                  <c:v>112500</c:v>
                </c:pt>
                <c:pt idx="194">
                  <c:v>118500</c:v>
                </c:pt>
                <c:pt idx="195">
                  <c:v>121500</c:v>
                </c:pt>
                <c:pt idx="196">
                  <c:v>119500</c:v>
                </c:pt>
                <c:pt idx="197">
                  <c:v>122500</c:v>
                </c:pt>
                <c:pt idx="198">
                  <c:v>128500</c:v>
                </c:pt>
                <c:pt idx="199">
                  <c:v>124500</c:v>
                </c:pt>
                <c:pt idx="200">
                  <c:v>128000</c:v>
                </c:pt>
                <c:pt idx="201">
                  <c:v>128500</c:v>
                </c:pt>
                <c:pt idx="202">
                  <c:v>125000</c:v>
                </c:pt>
                <c:pt idx="203">
                  <c:v>122500</c:v>
                </c:pt>
                <c:pt idx="204">
                  <c:v>118500</c:v>
                </c:pt>
                <c:pt idx="205">
                  <c:v>129500</c:v>
                </c:pt>
                <c:pt idx="206">
                  <c:v>128000</c:v>
                </c:pt>
                <c:pt idx="207">
                  <c:v>132500</c:v>
                </c:pt>
                <c:pt idx="208">
                  <c:v>137500</c:v>
                </c:pt>
                <c:pt idx="209">
                  <c:v>140000</c:v>
                </c:pt>
                <c:pt idx="210">
                  <c:v>141000</c:v>
                </c:pt>
                <c:pt idx="211">
                  <c:v>135000</c:v>
                </c:pt>
                <c:pt idx="212">
                  <c:v>138000</c:v>
                </c:pt>
                <c:pt idx="213">
                  <c:v>140000</c:v>
                </c:pt>
                <c:pt idx="214">
                  <c:v>140000</c:v>
                </c:pt>
                <c:pt idx="215">
                  <c:v>141500</c:v>
                </c:pt>
                <c:pt idx="216">
                  <c:v>133000</c:v>
                </c:pt>
                <c:pt idx="217">
                  <c:v>126000</c:v>
                </c:pt>
                <c:pt idx="218">
                  <c:v>127500</c:v>
                </c:pt>
                <c:pt idx="219">
                  <c:v>122500</c:v>
                </c:pt>
                <c:pt idx="220">
                  <c:v>128500</c:v>
                </c:pt>
                <c:pt idx="221">
                  <c:v>127500</c:v>
                </c:pt>
                <c:pt idx="222">
                  <c:v>138000</c:v>
                </c:pt>
                <c:pt idx="223">
                  <c:v>118500</c:v>
                </c:pt>
                <c:pt idx="224">
                  <c:v>118000</c:v>
                </c:pt>
                <c:pt idx="225">
                  <c:v>118500</c:v>
                </c:pt>
                <c:pt idx="226">
                  <c:v>115500</c:v>
                </c:pt>
                <c:pt idx="227">
                  <c:v>115000</c:v>
                </c:pt>
                <c:pt idx="228">
                  <c:v>98800</c:v>
                </c:pt>
                <c:pt idx="229">
                  <c:v>96800</c:v>
                </c:pt>
                <c:pt idx="230">
                  <c:v>89700</c:v>
                </c:pt>
                <c:pt idx="231">
                  <c:v>86300</c:v>
                </c:pt>
                <c:pt idx="232">
                  <c:v>79900</c:v>
                </c:pt>
                <c:pt idx="233">
                  <c:v>83900</c:v>
                </c:pt>
                <c:pt idx="234">
                  <c:v>85300</c:v>
                </c:pt>
                <c:pt idx="235">
                  <c:v>82900</c:v>
                </c:pt>
                <c:pt idx="236">
                  <c:v>84000</c:v>
                </c:pt>
                <c:pt idx="237">
                  <c:v>82900</c:v>
                </c:pt>
                <c:pt idx="238">
                  <c:v>83700</c:v>
                </c:pt>
                <c:pt idx="239">
                  <c:v>78400</c:v>
                </c:pt>
                <c:pt idx="240">
                  <c:v>78700</c:v>
                </c:pt>
                <c:pt idx="241">
                  <c:v>77800</c:v>
                </c:pt>
                <c:pt idx="242">
                  <c:v>74500</c:v>
                </c:pt>
                <c:pt idx="243">
                  <c:v>80200</c:v>
                </c:pt>
                <c:pt idx="244">
                  <c:v>80600</c:v>
                </c:pt>
                <c:pt idx="245">
                  <c:v>82800</c:v>
                </c:pt>
                <c:pt idx="246">
                  <c:v>83700</c:v>
                </c:pt>
                <c:pt idx="247">
                  <c:v>82900</c:v>
                </c:pt>
                <c:pt idx="248">
                  <c:v>82800</c:v>
                </c:pt>
                <c:pt idx="249">
                  <c:v>85400</c:v>
                </c:pt>
                <c:pt idx="250">
                  <c:v>84600</c:v>
                </c:pt>
                <c:pt idx="251">
                  <c:v>85400</c:v>
                </c:pt>
                <c:pt idx="252">
                  <c:v>85200</c:v>
                </c:pt>
                <c:pt idx="253">
                  <c:v>90400</c:v>
                </c:pt>
                <c:pt idx="254">
                  <c:v>81500</c:v>
                </c:pt>
                <c:pt idx="255">
                  <c:v>81300</c:v>
                </c:pt>
                <c:pt idx="256">
                  <c:v>81900</c:v>
                </c:pt>
                <c:pt idx="257">
                  <c:v>85000</c:v>
                </c:pt>
                <c:pt idx="258">
                  <c:v>83700</c:v>
                </c:pt>
                <c:pt idx="259">
                  <c:v>81400</c:v>
                </c:pt>
                <c:pt idx="260">
                  <c:v>84100</c:v>
                </c:pt>
                <c:pt idx="261">
                  <c:v>84100</c:v>
                </c:pt>
                <c:pt idx="262">
                  <c:v>79600</c:v>
                </c:pt>
                <c:pt idx="263">
                  <c:v>83300</c:v>
                </c:pt>
                <c:pt idx="264">
                  <c:v>74800</c:v>
                </c:pt>
                <c:pt idx="265">
                  <c:v>82500</c:v>
                </c:pt>
                <c:pt idx="266">
                  <c:v>92600</c:v>
                </c:pt>
                <c:pt idx="267">
                  <c:v>87900</c:v>
                </c:pt>
                <c:pt idx="268">
                  <c:v>103000</c:v>
                </c:pt>
                <c:pt idx="269">
                  <c:v>104500</c:v>
                </c:pt>
                <c:pt idx="270">
                  <c:v>99300</c:v>
                </c:pt>
                <c:pt idx="271">
                  <c:v>93500</c:v>
                </c:pt>
                <c:pt idx="272">
                  <c:v>98700</c:v>
                </c:pt>
                <c:pt idx="273">
                  <c:v>99000</c:v>
                </c:pt>
                <c:pt idx="274">
                  <c:v>98900</c:v>
                </c:pt>
                <c:pt idx="275">
                  <c:v>94500</c:v>
                </c:pt>
                <c:pt idx="276">
                  <c:v>96000</c:v>
                </c:pt>
                <c:pt idx="277">
                  <c:v>95000</c:v>
                </c:pt>
                <c:pt idx="278">
                  <c:v>87900</c:v>
                </c:pt>
                <c:pt idx="279">
                  <c:v>80600</c:v>
                </c:pt>
                <c:pt idx="280">
                  <c:v>80900</c:v>
                </c:pt>
                <c:pt idx="281">
                  <c:v>81700</c:v>
                </c:pt>
                <c:pt idx="282">
                  <c:v>85200</c:v>
                </c:pt>
                <c:pt idx="283">
                  <c:v>82300</c:v>
                </c:pt>
                <c:pt idx="284">
                  <c:v>83100</c:v>
                </c:pt>
                <c:pt idx="285">
                  <c:v>82900</c:v>
                </c:pt>
                <c:pt idx="286">
                  <c:v>77400</c:v>
                </c:pt>
                <c:pt idx="287">
                  <c:v>80000</c:v>
                </c:pt>
                <c:pt idx="288">
                  <c:v>80300</c:v>
                </c:pt>
                <c:pt idx="289">
                  <c:v>81400</c:v>
                </c:pt>
                <c:pt idx="290">
                  <c:v>82200</c:v>
                </c:pt>
                <c:pt idx="291">
                  <c:v>82600</c:v>
                </c:pt>
                <c:pt idx="292">
                  <c:v>81900</c:v>
                </c:pt>
                <c:pt idx="293">
                  <c:v>77400</c:v>
                </c:pt>
                <c:pt idx="294">
                  <c:v>74400</c:v>
                </c:pt>
                <c:pt idx="295">
                  <c:v>76400</c:v>
                </c:pt>
                <c:pt idx="296">
                  <c:v>73300</c:v>
                </c:pt>
                <c:pt idx="297">
                  <c:v>76100</c:v>
                </c:pt>
                <c:pt idx="298">
                  <c:v>79800</c:v>
                </c:pt>
                <c:pt idx="299">
                  <c:v>76800</c:v>
                </c:pt>
                <c:pt idx="300">
                  <c:v>74700</c:v>
                </c:pt>
                <c:pt idx="301">
                  <c:v>68400</c:v>
                </c:pt>
                <c:pt idx="302">
                  <c:v>69500</c:v>
                </c:pt>
                <c:pt idx="303">
                  <c:v>65900</c:v>
                </c:pt>
                <c:pt idx="304">
                  <c:v>63100</c:v>
                </c:pt>
                <c:pt idx="305">
                  <c:v>65400</c:v>
                </c:pt>
                <c:pt idx="306">
                  <c:v>65300</c:v>
                </c:pt>
                <c:pt idx="307">
                  <c:v>67600</c:v>
                </c:pt>
                <c:pt idx="308">
                  <c:v>71600</c:v>
                </c:pt>
                <c:pt idx="309">
                  <c:v>74400</c:v>
                </c:pt>
                <c:pt idx="310">
                  <c:v>80400</c:v>
                </c:pt>
                <c:pt idx="311">
                  <c:v>78600</c:v>
                </c:pt>
                <c:pt idx="312">
                  <c:v>81800</c:v>
                </c:pt>
                <c:pt idx="313">
                  <c:v>78100</c:v>
                </c:pt>
                <c:pt idx="314">
                  <c:v>79000</c:v>
                </c:pt>
                <c:pt idx="315">
                  <c:v>74200</c:v>
                </c:pt>
                <c:pt idx="316">
                  <c:v>76100</c:v>
                </c:pt>
                <c:pt idx="317">
                  <c:v>68100</c:v>
                </c:pt>
                <c:pt idx="318">
                  <c:v>66700</c:v>
                </c:pt>
                <c:pt idx="319">
                  <c:v>70000</c:v>
                </c:pt>
                <c:pt idx="320">
                  <c:v>76700</c:v>
                </c:pt>
                <c:pt idx="321">
                  <c:v>73800</c:v>
                </c:pt>
                <c:pt idx="322">
                  <c:v>73500</c:v>
                </c:pt>
                <c:pt idx="323">
                  <c:v>75900</c:v>
                </c:pt>
                <c:pt idx="324">
                  <c:v>74600</c:v>
                </c:pt>
                <c:pt idx="325">
                  <c:v>64600</c:v>
                </c:pt>
                <c:pt idx="326">
                  <c:v>65100</c:v>
                </c:pt>
                <c:pt idx="327">
                  <c:v>58300</c:v>
                </c:pt>
                <c:pt idx="328">
                  <c:v>60500</c:v>
                </c:pt>
                <c:pt idx="329">
                  <c:v>60000</c:v>
                </c:pt>
                <c:pt idx="330">
                  <c:v>61800</c:v>
                </c:pt>
                <c:pt idx="331">
                  <c:v>66800</c:v>
                </c:pt>
                <c:pt idx="332">
                  <c:v>69600</c:v>
                </c:pt>
                <c:pt idx="333">
                  <c:v>69300</c:v>
                </c:pt>
                <c:pt idx="334">
                  <c:v>70100</c:v>
                </c:pt>
                <c:pt idx="335">
                  <c:v>72900</c:v>
                </c:pt>
                <c:pt idx="336">
                  <c:v>72600</c:v>
                </c:pt>
                <c:pt idx="337">
                  <c:v>67000</c:v>
                </c:pt>
                <c:pt idx="338">
                  <c:v>70800</c:v>
                </c:pt>
                <c:pt idx="339">
                  <c:v>72400</c:v>
                </c:pt>
                <c:pt idx="340">
                  <c:v>70300</c:v>
                </c:pt>
                <c:pt idx="341">
                  <c:v>73100</c:v>
                </c:pt>
                <c:pt idx="342">
                  <c:v>76700</c:v>
                </c:pt>
                <c:pt idx="343">
                  <c:v>77700</c:v>
                </c:pt>
                <c:pt idx="344">
                  <c:v>75900</c:v>
                </c:pt>
                <c:pt idx="345">
                  <c:v>83000</c:v>
                </c:pt>
                <c:pt idx="346">
                  <c:v>81800</c:v>
                </c:pt>
                <c:pt idx="347">
                  <c:v>74500</c:v>
                </c:pt>
                <c:pt idx="348">
                  <c:v>75100</c:v>
                </c:pt>
                <c:pt idx="349">
                  <c:v>83300</c:v>
                </c:pt>
                <c:pt idx="350">
                  <c:v>86100</c:v>
                </c:pt>
                <c:pt idx="351">
                  <c:v>87900</c:v>
                </c:pt>
                <c:pt idx="352">
                  <c:v>88800</c:v>
                </c:pt>
                <c:pt idx="353">
                  <c:v>85300</c:v>
                </c:pt>
                <c:pt idx="354">
                  <c:v>85700</c:v>
                </c:pt>
                <c:pt idx="355">
                  <c:v>89500</c:v>
                </c:pt>
                <c:pt idx="356">
                  <c:v>87000</c:v>
                </c:pt>
                <c:pt idx="357">
                  <c:v>88400</c:v>
                </c:pt>
                <c:pt idx="358">
                  <c:v>91400</c:v>
                </c:pt>
                <c:pt idx="359">
                  <c:v>95200</c:v>
                </c:pt>
                <c:pt idx="360">
                  <c:v>87900</c:v>
                </c:pt>
                <c:pt idx="361">
                  <c:v>86100</c:v>
                </c:pt>
                <c:pt idx="362">
                  <c:v>83000</c:v>
                </c:pt>
                <c:pt idx="363">
                  <c:v>87100</c:v>
                </c:pt>
                <c:pt idx="364">
                  <c:v>84400</c:v>
                </c:pt>
                <c:pt idx="365">
                  <c:v>84200</c:v>
                </c:pt>
                <c:pt idx="366">
                  <c:v>80300</c:v>
                </c:pt>
                <c:pt idx="367">
                  <c:v>81300</c:v>
                </c:pt>
                <c:pt idx="368">
                  <c:v>83100</c:v>
                </c:pt>
                <c:pt idx="369">
                  <c:v>89800</c:v>
                </c:pt>
                <c:pt idx="370">
                  <c:v>83300</c:v>
                </c:pt>
                <c:pt idx="371">
                  <c:v>77400</c:v>
                </c:pt>
                <c:pt idx="372">
                  <c:v>77300</c:v>
                </c:pt>
                <c:pt idx="373">
                  <c:v>77600</c:v>
                </c:pt>
                <c:pt idx="374">
                  <c:v>73400</c:v>
                </c:pt>
                <c:pt idx="375">
                  <c:v>72200</c:v>
                </c:pt>
                <c:pt idx="376">
                  <c:v>75500</c:v>
                </c:pt>
                <c:pt idx="377">
                  <c:v>73300</c:v>
                </c:pt>
                <c:pt idx="378">
                  <c:v>74400</c:v>
                </c:pt>
                <c:pt idx="379">
                  <c:v>79300</c:v>
                </c:pt>
                <c:pt idx="380">
                  <c:v>76500</c:v>
                </c:pt>
                <c:pt idx="381">
                  <c:v>76700</c:v>
                </c:pt>
                <c:pt idx="382">
                  <c:v>75700</c:v>
                </c:pt>
                <c:pt idx="383">
                  <c:v>78700</c:v>
                </c:pt>
                <c:pt idx="384">
                  <c:v>77400</c:v>
                </c:pt>
                <c:pt idx="385">
                  <c:v>85100</c:v>
                </c:pt>
                <c:pt idx="386">
                  <c:v>83000</c:v>
                </c:pt>
                <c:pt idx="387">
                  <c:v>82000</c:v>
                </c:pt>
                <c:pt idx="388">
                  <c:v>84400</c:v>
                </c:pt>
                <c:pt idx="389">
                  <c:v>78400</c:v>
                </c:pt>
                <c:pt idx="390">
                  <c:v>81200</c:v>
                </c:pt>
                <c:pt idx="391">
                  <c:v>86100</c:v>
                </c:pt>
                <c:pt idx="392">
                  <c:v>82900</c:v>
                </c:pt>
                <c:pt idx="393">
                  <c:v>83100</c:v>
                </c:pt>
                <c:pt idx="394">
                  <c:v>77200</c:v>
                </c:pt>
                <c:pt idx="395">
                  <c:v>72600</c:v>
                </c:pt>
                <c:pt idx="396">
                  <c:v>68700</c:v>
                </c:pt>
                <c:pt idx="397">
                  <c:v>68400</c:v>
                </c:pt>
                <c:pt idx="398">
                  <c:v>67000</c:v>
                </c:pt>
                <c:pt idx="399">
                  <c:v>61400</c:v>
                </c:pt>
                <c:pt idx="400">
                  <c:v>64000</c:v>
                </c:pt>
                <c:pt idx="401">
                  <c:v>64600</c:v>
                </c:pt>
                <c:pt idx="402">
                  <c:v>71200</c:v>
                </c:pt>
                <c:pt idx="403">
                  <c:v>71100</c:v>
                </c:pt>
                <c:pt idx="404">
                  <c:v>66600</c:v>
                </c:pt>
                <c:pt idx="405">
                  <c:v>67400</c:v>
                </c:pt>
                <c:pt idx="406">
                  <c:v>65000</c:v>
                </c:pt>
                <c:pt idx="407">
                  <c:v>60500</c:v>
                </c:pt>
                <c:pt idx="408">
                  <c:v>58300</c:v>
                </c:pt>
                <c:pt idx="409">
                  <c:v>57100</c:v>
                </c:pt>
                <c:pt idx="410">
                  <c:v>57100</c:v>
                </c:pt>
                <c:pt idx="411">
                  <c:v>54200</c:v>
                </c:pt>
                <c:pt idx="412">
                  <c:v>55300</c:v>
                </c:pt>
                <c:pt idx="413">
                  <c:v>55900</c:v>
                </c:pt>
                <c:pt idx="414">
                  <c:v>54000</c:v>
                </c:pt>
                <c:pt idx="415">
                  <c:v>52000</c:v>
                </c:pt>
                <c:pt idx="416">
                  <c:v>49800</c:v>
                </c:pt>
                <c:pt idx="417">
                  <c:v>49800</c:v>
                </c:pt>
                <c:pt idx="418">
                  <c:v>50500</c:v>
                </c:pt>
                <c:pt idx="419">
                  <c:v>49500</c:v>
                </c:pt>
                <c:pt idx="420">
                  <c:v>46750</c:v>
                </c:pt>
                <c:pt idx="421">
                  <c:v>49200</c:v>
                </c:pt>
                <c:pt idx="422">
                  <c:v>47100</c:v>
                </c:pt>
                <c:pt idx="423">
                  <c:v>47500</c:v>
                </c:pt>
                <c:pt idx="424">
                  <c:v>50400</c:v>
                </c:pt>
                <c:pt idx="425">
                  <c:v>50000</c:v>
                </c:pt>
                <c:pt idx="426">
                  <c:v>53700</c:v>
                </c:pt>
                <c:pt idx="427">
                  <c:v>53300</c:v>
                </c:pt>
                <c:pt idx="428">
                  <c:v>49150</c:v>
                </c:pt>
                <c:pt idx="429">
                  <c:v>50300</c:v>
                </c:pt>
                <c:pt idx="430">
                  <c:v>48000</c:v>
                </c:pt>
                <c:pt idx="431">
                  <c:v>44700</c:v>
                </c:pt>
                <c:pt idx="432">
                  <c:v>46300</c:v>
                </c:pt>
                <c:pt idx="433">
                  <c:v>46400</c:v>
                </c:pt>
                <c:pt idx="434">
                  <c:v>45500</c:v>
                </c:pt>
                <c:pt idx="435">
                  <c:v>44400</c:v>
                </c:pt>
                <c:pt idx="436">
                  <c:v>42600</c:v>
                </c:pt>
                <c:pt idx="437">
                  <c:v>42000</c:v>
                </c:pt>
                <c:pt idx="438">
                  <c:v>39850</c:v>
                </c:pt>
                <c:pt idx="439">
                  <c:v>41200</c:v>
                </c:pt>
                <c:pt idx="440">
                  <c:v>42450</c:v>
                </c:pt>
                <c:pt idx="441">
                  <c:v>40950</c:v>
                </c:pt>
                <c:pt idx="442">
                  <c:v>41550</c:v>
                </c:pt>
                <c:pt idx="443">
                  <c:v>42200</c:v>
                </c:pt>
                <c:pt idx="444">
                  <c:v>40200</c:v>
                </c:pt>
                <c:pt idx="445">
                  <c:v>39350</c:v>
                </c:pt>
                <c:pt idx="446">
                  <c:v>37800</c:v>
                </c:pt>
                <c:pt idx="447">
                  <c:v>38950</c:v>
                </c:pt>
                <c:pt idx="448">
                  <c:v>36650</c:v>
                </c:pt>
                <c:pt idx="449">
                  <c:v>36250</c:v>
                </c:pt>
                <c:pt idx="450">
                  <c:v>35400</c:v>
                </c:pt>
                <c:pt idx="451">
                  <c:v>34350</c:v>
                </c:pt>
                <c:pt idx="452">
                  <c:v>34800</c:v>
                </c:pt>
                <c:pt idx="453">
                  <c:v>34400</c:v>
                </c:pt>
                <c:pt idx="454">
                  <c:v>32000</c:v>
                </c:pt>
                <c:pt idx="455">
                  <c:v>32700</c:v>
                </c:pt>
                <c:pt idx="456">
                  <c:v>31050</c:v>
                </c:pt>
                <c:pt idx="457">
                  <c:v>32150</c:v>
                </c:pt>
                <c:pt idx="458">
                  <c:v>31800</c:v>
                </c:pt>
                <c:pt idx="459">
                  <c:v>29000</c:v>
                </c:pt>
                <c:pt idx="460">
                  <c:v>29000</c:v>
                </c:pt>
                <c:pt idx="461">
                  <c:v>27600</c:v>
                </c:pt>
                <c:pt idx="462">
                  <c:v>28650</c:v>
                </c:pt>
                <c:pt idx="463">
                  <c:v>26300</c:v>
                </c:pt>
                <c:pt idx="464">
                  <c:v>26100</c:v>
                </c:pt>
                <c:pt idx="465">
                  <c:v>26650</c:v>
                </c:pt>
                <c:pt idx="466">
                  <c:v>28150</c:v>
                </c:pt>
                <c:pt idx="467">
                  <c:v>27500</c:v>
                </c:pt>
                <c:pt idx="468">
                  <c:v>27650</c:v>
                </c:pt>
                <c:pt idx="469">
                  <c:v>27800</c:v>
                </c:pt>
                <c:pt idx="470">
                  <c:v>28200</c:v>
                </c:pt>
                <c:pt idx="471">
                  <c:v>29150</c:v>
                </c:pt>
                <c:pt idx="472">
                  <c:v>29450</c:v>
                </c:pt>
                <c:pt idx="473">
                  <c:v>30700</c:v>
                </c:pt>
                <c:pt idx="474">
                  <c:v>31900</c:v>
                </c:pt>
                <c:pt idx="475">
                  <c:v>30800</c:v>
                </c:pt>
                <c:pt idx="476">
                  <c:v>29600</c:v>
                </c:pt>
                <c:pt idx="477">
                  <c:v>27350</c:v>
                </c:pt>
                <c:pt idx="478">
                  <c:v>28100</c:v>
                </c:pt>
                <c:pt idx="479">
                  <c:v>27300</c:v>
                </c:pt>
                <c:pt idx="480">
                  <c:v>27150</c:v>
                </c:pt>
                <c:pt idx="481">
                  <c:v>26800</c:v>
                </c:pt>
                <c:pt idx="482">
                  <c:v>29700</c:v>
                </c:pt>
                <c:pt idx="483">
                  <c:v>30750</c:v>
                </c:pt>
                <c:pt idx="484">
                  <c:v>31700</c:v>
                </c:pt>
                <c:pt idx="485">
                  <c:v>30600</c:v>
                </c:pt>
                <c:pt idx="486">
                  <c:v>29850</c:v>
                </c:pt>
                <c:pt idx="487">
                  <c:v>31200</c:v>
                </c:pt>
                <c:pt idx="488">
                  <c:v>32000</c:v>
                </c:pt>
                <c:pt idx="489">
                  <c:v>31000</c:v>
                </c:pt>
                <c:pt idx="490">
                  <c:v>31150</c:v>
                </c:pt>
                <c:pt idx="491">
                  <c:v>31200</c:v>
                </c:pt>
                <c:pt idx="492">
                  <c:v>30700</c:v>
                </c:pt>
                <c:pt idx="493">
                  <c:v>32100</c:v>
                </c:pt>
                <c:pt idx="494">
                  <c:v>36100</c:v>
                </c:pt>
                <c:pt idx="495">
                  <c:v>37550</c:v>
                </c:pt>
                <c:pt idx="496">
                  <c:v>34550</c:v>
                </c:pt>
                <c:pt idx="497">
                  <c:v>34350</c:v>
                </c:pt>
                <c:pt idx="498">
                  <c:v>35750</c:v>
                </c:pt>
                <c:pt idx="499">
                  <c:v>35000</c:v>
                </c:pt>
                <c:pt idx="500">
                  <c:v>34850</c:v>
                </c:pt>
                <c:pt idx="501">
                  <c:v>36900</c:v>
                </c:pt>
                <c:pt idx="502">
                  <c:v>32000</c:v>
                </c:pt>
                <c:pt idx="503">
                  <c:v>36900</c:v>
                </c:pt>
                <c:pt idx="504">
                  <c:v>36200</c:v>
                </c:pt>
                <c:pt idx="505">
                  <c:v>37100</c:v>
                </c:pt>
                <c:pt idx="506">
                  <c:v>38550</c:v>
                </c:pt>
                <c:pt idx="507">
                  <c:v>39950</c:v>
                </c:pt>
                <c:pt idx="508">
                  <c:v>40850</c:v>
                </c:pt>
                <c:pt idx="509">
                  <c:v>42650</c:v>
                </c:pt>
                <c:pt idx="510">
                  <c:v>42000</c:v>
                </c:pt>
                <c:pt idx="511">
                  <c:v>43550</c:v>
                </c:pt>
                <c:pt idx="512">
                  <c:v>46550</c:v>
                </c:pt>
                <c:pt idx="513">
                  <c:v>49050</c:v>
                </c:pt>
                <c:pt idx="514">
                  <c:v>51100</c:v>
                </c:pt>
                <c:pt idx="515">
                  <c:v>47850</c:v>
                </c:pt>
                <c:pt idx="516">
                  <c:v>45300</c:v>
                </c:pt>
                <c:pt idx="517">
                  <c:v>45950</c:v>
                </c:pt>
                <c:pt idx="518">
                  <c:v>46150</c:v>
                </c:pt>
                <c:pt idx="519">
                  <c:v>47200</c:v>
                </c:pt>
                <c:pt idx="520">
                  <c:v>44550</c:v>
                </c:pt>
                <c:pt idx="521">
                  <c:v>43600</c:v>
                </c:pt>
              </c:numCache>
            </c:numRef>
          </c:val>
          <c:smooth val="0"/>
          <c:extLst>
            <c:ext xmlns:c16="http://schemas.microsoft.com/office/drawing/2014/chart" uri="{C3380CC4-5D6E-409C-BE32-E72D297353CC}">
              <c16:uniqueId val="{00000000-E487-498C-943D-2AACED4D580D}"/>
            </c:ext>
          </c:extLst>
        </c:ser>
        <c:dLbls>
          <c:showLegendKey val="0"/>
          <c:showVal val="0"/>
          <c:showCatName val="0"/>
          <c:showSerName val="0"/>
          <c:showPercent val="0"/>
          <c:showBubbleSize val="0"/>
        </c:dLbls>
        <c:marker val="1"/>
        <c:smooth val="0"/>
        <c:axId val="1651316592"/>
        <c:axId val="1651317072"/>
      </c:lineChart>
      <c:dateAx>
        <c:axId val="193570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51424"/>
        <c:crosses val="autoZero"/>
        <c:auto val="1"/>
        <c:lblOffset val="100"/>
        <c:baseTimeUnit val="days"/>
      </c:dateAx>
      <c:valAx>
        <c:axId val="7455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040"/>
        <c:crosses val="autoZero"/>
        <c:crossBetween val="between"/>
      </c:valAx>
      <c:valAx>
        <c:axId val="1651317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316592"/>
        <c:crosses val="max"/>
        <c:crossBetween val="between"/>
      </c:valAx>
      <c:dateAx>
        <c:axId val="1651316592"/>
        <c:scaling>
          <c:orientation val="minMax"/>
        </c:scaling>
        <c:delete val="1"/>
        <c:axPos val="b"/>
        <c:numFmt formatCode="m/d/yyyy" sourceLinked="1"/>
        <c:majorTickMark val="out"/>
        <c:minorTickMark val="none"/>
        <c:tickLblPos val="nextTo"/>
        <c:crossAx val="1651317072"/>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CORRELATION!$AR$2</c:f>
              <c:strCache>
                <c:ptCount val="1"/>
                <c:pt idx="0">
                  <c:v>kospi100</c:v>
                </c:pt>
              </c:strCache>
            </c:strRef>
          </c:tx>
          <c:spPr>
            <a:ln w="28575" cap="rnd">
              <a:solidFill>
                <a:schemeClr val="accent1"/>
              </a:solidFill>
              <a:round/>
            </a:ln>
            <a:effectLst/>
          </c:spPr>
          <c:marker>
            <c:symbol val="none"/>
          </c:marker>
          <c:cat>
            <c:numRef>
              <c:f>CORRELATION!$AO$3:$AO$524</c:f>
              <c:numCache>
                <c:formatCode>m/d/yyyy</c:formatCode>
                <c:ptCount val="522"/>
                <c:pt idx="0">
                  <c:v>45757</c:v>
                </c:pt>
                <c:pt idx="1">
                  <c:v>45751</c:v>
                </c:pt>
                <c:pt idx="2">
                  <c:v>45744</c:v>
                </c:pt>
                <c:pt idx="3">
                  <c:v>45737</c:v>
                </c:pt>
                <c:pt idx="4">
                  <c:v>45730</c:v>
                </c:pt>
                <c:pt idx="5">
                  <c:v>45723</c:v>
                </c:pt>
                <c:pt idx="6">
                  <c:v>45716</c:v>
                </c:pt>
                <c:pt idx="7">
                  <c:v>45709</c:v>
                </c:pt>
                <c:pt idx="8">
                  <c:v>45702</c:v>
                </c:pt>
                <c:pt idx="9">
                  <c:v>45695</c:v>
                </c:pt>
                <c:pt idx="10">
                  <c:v>45688</c:v>
                </c:pt>
                <c:pt idx="11">
                  <c:v>45681</c:v>
                </c:pt>
                <c:pt idx="12">
                  <c:v>45674</c:v>
                </c:pt>
                <c:pt idx="13">
                  <c:v>45667</c:v>
                </c:pt>
                <c:pt idx="14">
                  <c:v>45660</c:v>
                </c:pt>
                <c:pt idx="15">
                  <c:v>45653</c:v>
                </c:pt>
                <c:pt idx="16">
                  <c:v>45646</c:v>
                </c:pt>
                <c:pt idx="17">
                  <c:v>45639</c:v>
                </c:pt>
                <c:pt idx="18">
                  <c:v>45632</c:v>
                </c:pt>
                <c:pt idx="19">
                  <c:v>45625</c:v>
                </c:pt>
                <c:pt idx="20">
                  <c:v>45618</c:v>
                </c:pt>
                <c:pt idx="21">
                  <c:v>45611</c:v>
                </c:pt>
                <c:pt idx="22">
                  <c:v>45604</c:v>
                </c:pt>
                <c:pt idx="23">
                  <c:v>45597</c:v>
                </c:pt>
                <c:pt idx="24">
                  <c:v>45590</c:v>
                </c:pt>
                <c:pt idx="25">
                  <c:v>45583</c:v>
                </c:pt>
                <c:pt idx="26">
                  <c:v>45576</c:v>
                </c:pt>
                <c:pt idx="27">
                  <c:v>45569</c:v>
                </c:pt>
                <c:pt idx="28">
                  <c:v>45562</c:v>
                </c:pt>
                <c:pt idx="29">
                  <c:v>45555</c:v>
                </c:pt>
                <c:pt idx="30">
                  <c:v>45548</c:v>
                </c:pt>
                <c:pt idx="31">
                  <c:v>45541</c:v>
                </c:pt>
                <c:pt idx="32">
                  <c:v>45534</c:v>
                </c:pt>
                <c:pt idx="33">
                  <c:v>45527</c:v>
                </c:pt>
                <c:pt idx="34">
                  <c:v>45520</c:v>
                </c:pt>
                <c:pt idx="35">
                  <c:v>45513</c:v>
                </c:pt>
                <c:pt idx="36">
                  <c:v>45506</c:v>
                </c:pt>
                <c:pt idx="37">
                  <c:v>45499</c:v>
                </c:pt>
                <c:pt idx="38">
                  <c:v>45492</c:v>
                </c:pt>
                <c:pt idx="39">
                  <c:v>45485</c:v>
                </c:pt>
                <c:pt idx="40">
                  <c:v>45478</c:v>
                </c:pt>
                <c:pt idx="41">
                  <c:v>45471</c:v>
                </c:pt>
                <c:pt idx="42">
                  <c:v>45464</c:v>
                </c:pt>
                <c:pt idx="43">
                  <c:v>45457</c:v>
                </c:pt>
                <c:pt idx="44">
                  <c:v>45450</c:v>
                </c:pt>
                <c:pt idx="45">
                  <c:v>45443</c:v>
                </c:pt>
                <c:pt idx="46">
                  <c:v>45436</c:v>
                </c:pt>
                <c:pt idx="47">
                  <c:v>45429</c:v>
                </c:pt>
                <c:pt idx="48">
                  <c:v>45422</c:v>
                </c:pt>
                <c:pt idx="49">
                  <c:v>45415</c:v>
                </c:pt>
                <c:pt idx="50">
                  <c:v>45408</c:v>
                </c:pt>
                <c:pt idx="51">
                  <c:v>45401</c:v>
                </c:pt>
                <c:pt idx="52">
                  <c:v>45394</c:v>
                </c:pt>
                <c:pt idx="53">
                  <c:v>45387</c:v>
                </c:pt>
                <c:pt idx="54">
                  <c:v>45380</c:v>
                </c:pt>
                <c:pt idx="55">
                  <c:v>45373</c:v>
                </c:pt>
                <c:pt idx="56">
                  <c:v>45366</c:v>
                </c:pt>
                <c:pt idx="57">
                  <c:v>45359</c:v>
                </c:pt>
                <c:pt idx="58">
                  <c:v>45352</c:v>
                </c:pt>
                <c:pt idx="59">
                  <c:v>45345</c:v>
                </c:pt>
                <c:pt idx="60">
                  <c:v>45338</c:v>
                </c:pt>
                <c:pt idx="61">
                  <c:v>45331</c:v>
                </c:pt>
                <c:pt idx="62">
                  <c:v>45324</c:v>
                </c:pt>
                <c:pt idx="63">
                  <c:v>45317</c:v>
                </c:pt>
                <c:pt idx="64">
                  <c:v>45310</c:v>
                </c:pt>
                <c:pt idx="65">
                  <c:v>45303</c:v>
                </c:pt>
                <c:pt idx="66">
                  <c:v>45296</c:v>
                </c:pt>
                <c:pt idx="67">
                  <c:v>45289</c:v>
                </c:pt>
                <c:pt idx="68">
                  <c:v>45282</c:v>
                </c:pt>
                <c:pt idx="69">
                  <c:v>45275</c:v>
                </c:pt>
                <c:pt idx="70">
                  <c:v>45268</c:v>
                </c:pt>
                <c:pt idx="71">
                  <c:v>45261</c:v>
                </c:pt>
                <c:pt idx="72">
                  <c:v>45254</c:v>
                </c:pt>
                <c:pt idx="73">
                  <c:v>45247</c:v>
                </c:pt>
                <c:pt idx="74">
                  <c:v>45240</c:v>
                </c:pt>
                <c:pt idx="75">
                  <c:v>45233</c:v>
                </c:pt>
                <c:pt idx="76">
                  <c:v>45226</c:v>
                </c:pt>
                <c:pt idx="77">
                  <c:v>45219</c:v>
                </c:pt>
                <c:pt idx="78">
                  <c:v>45212</c:v>
                </c:pt>
                <c:pt idx="79">
                  <c:v>45205</c:v>
                </c:pt>
                <c:pt idx="80">
                  <c:v>45198</c:v>
                </c:pt>
                <c:pt idx="81">
                  <c:v>45191</c:v>
                </c:pt>
                <c:pt idx="82">
                  <c:v>45184</c:v>
                </c:pt>
                <c:pt idx="83">
                  <c:v>45177</c:v>
                </c:pt>
                <c:pt idx="84">
                  <c:v>45170</c:v>
                </c:pt>
                <c:pt idx="85">
                  <c:v>45163</c:v>
                </c:pt>
                <c:pt idx="86">
                  <c:v>45156</c:v>
                </c:pt>
                <c:pt idx="87">
                  <c:v>45149</c:v>
                </c:pt>
                <c:pt idx="88">
                  <c:v>45142</c:v>
                </c:pt>
                <c:pt idx="89">
                  <c:v>45135</c:v>
                </c:pt>
                <c:pt idx="90">
                  <c:v>45128</c:v>
                </c:pt>
                <c:pt idx="91">
                  <c:v>45121</c:v>
                </c:pt>
                <c:pt idx="92">
                  <c:v>45114</c:v>
                </c:pt>
                <c:pt idx="93">
                  <c:v>45107</c:v>
                </c:pt>
                <c:pt idx="94">
                  <c:v>45100</c:v>
                </c:pt>
                <c:pt idx="95">
                  <c:v>45093</c:v>
                </c:pt>
                <c:pt idx="96">
                  <c:v>45086</c:v>
                </c:pt>
                <c:pt idx="97">
                  <c:v>45079</c:v>
                </c:pt>
                <c:pt idx="98">
                  <c:v>45072</c:v>
                </c:pt>
                <c:pt idx="99">
                  <c:v>45065</c:v>
                </c:pt>
                <c:pt idx="100">
                  <c:v>45058</c:v>
                </c:pt>
                <c:pt idx="101">
                  <c:v>45051</c:v>
                </c:pt>
                <c:pt idx="102">
                  <c:v>45044</c:v>
                </c:pt>
                <c:pt idx="103">
                  <c:v>45037</c:v>
                </c:pt>
                <c:pt idx="104">
                  <c:v>45030</c:v>
                </c:pt>
                <c:pt idx="105">
                  <c:v>45023</c:v>
                </c:pt>
                <c:pt idx="106">
                  <c:v>45016</c:v>
                </c:pt>
                <c:pt idx="107">
                  <c:v>45009</c:v>
                </c:pt>
                <c:pt idx="108">
                  <c:v>45002</c:v>
                </c:pt>
                <c:pt idx="109">
                  <c:v>44995</c:v>
                </c:pt>
                <c:pt idx="110">
                  <c:v>44988</c:v>
                </c:pt>
                <c:pt idx="111">
                  <c:v>44981</c:v>
                </c:pt>
                <c:pt idx="112">
                  <c:v>44974</c:v>
                </c:pt>
                <c:pt idx="113">
                  <c:v>44967</c:v>
                </c:pt>
                <c:pt idx="114">
                  <c:v>44960</c:v>
                </c:pt>
                <c:pt idx="115">
                  <c:v>44953</c:v>
                </c:pt>
                <c:pt idx="116">
                  <c:v>44946</c:v>
                </c:pt>
                <c:pt idx="117">
                  <c:v>44939</c:v>
                </c:pt>
                <c:pt idx="118">
                  <c:v>44932</c:v>
                </c:pt>
                <c:pt idx="119">
                  <c:v>44925</c:v>
                </c:pt>
                <c:pt idx="120">
                  <c:v>44918</c:v>
                </c:pt>
                <c:pt idx="121">
                  <c:v>44911</c:v>
                </c:pt>
                <c:pt idx="122">
                  <c:v>44904</c:v>
                </c:pt>
                <c:pt idx="123">
                  <c:v>44897</c:v>
                </c:pt>
                <c:pt idx="124">
                  <c:v>44890</c:v>
                </c:pt>
                <c:pt idx="125">
                  <c:v>44883</c:v>
                </c:pt>
                <c:pt idx="126">
                  <c:v>44876</c:v>
                </c:pt>
                <c:pt idx="127">
                  <c:v>44869</c:v>
                </c:pt>
                <c:pt idx="128">
                  <c:v>44862</c:v>
                </c:pt>
                <c:pt idx="129">
                  <c:v>44855</c:v>
                </c:pt>
                <c:pt idx="130">
                  <c:v>44848</c:v>
                </c:pt>
                <c:pt idx="131">
                  <c:v>44841</c:v>
                </c:pt>
                <c:pt idx="132">
                  <c:v>44834</c:v>
                </c:pt>
                <c:pt idx="133">
                  <c:v>44827</c:v>
                </c:pt>
                <c:pt idx="134">
                  <c:v>44820</c:v>
                </c:pt>
                <c:pt idx="135">
                  <c:v>44813</c:v>
                </c:pt>
                <c:pt idx="136">
                  <c:v>44806</c:v>
                </c:pt>
                <c:pt idx="137">
                  <c:v>44799</c:v>
                </c:pt>
                <c:pt idx="138">
                  <c:v>44792</c:v>
                </c:pt>
                <c:pt idx="139">
                  <c:v>44785</c:v>
                </c:pt>
                <c:pt idx="140">
                  <c:v>44778</c:v>
                </c:pt>
                <c:pt idx="141">
                  <c:v>44771</c:v>
                </c:pt>
                <c:pt idx="142">
                  <c:v>44764</c:v>
                </c:pt>
                <c:pt idx="143">
                  <c:v>44757</c:v>
                </c:pt>
                <c:pt idx="144">
                  <c:v>44750</c:v>
                </c:pt>
                <c:pt idx="145">
                  <c:v>44743</c:v>
                </c:pt>
                <c:pt idx="146">
                  <c:v>44736</c:v>
                </c:pt>
                <c:pt idx="147">
                  <c:v>44729</c:v>
                </c:pt>
                <c:pt idx="148">
                  <c:v>44722</c:v>
                </c:pt>
                <c:pt idx="149">
                  <c:v>44715</c:v>
                </c:pt>
                <c:pt idx="150">
                  <c:v>44708</c:v>
                </c:pt>
                <c:pt idx="151">
                  <c:v>44701</c:v>
                </c:pt>
                <c:pt idx="152">
                  <c:v>44694</c:v>
                </c:pt>
                <c:pt idx="153">
                  <c:v>44687</c:v>
                </c:pt>
                <c:pt idx="154">
                  <c:v>44680</c:v>
                </c:pt>
                <c:pt idx="155">
                  <c:v>44673</c:v>
                </c:pt>
                <c:pt idx="156">
                  <c:v>44666</c:v>
                </c:pt>
                <c:pt idx="157">
                  <c:v>44659</c:v>
                </c:pt>
                <c:pt idx="158">
                  <c:v>44652</c:v>
                </c:pt>
                <c:pt idx="159">
                  <c:v>44645</c:v>
                </c:pt>
                <c:pt idx="160">
                  <c:v>44638</c:v>
                </c:pt>
                <c:pt idx="161">
                  <c:v>44631</c:v>
                </c:pt>
                <c:pt idx="162">
                  <c:v>44624</c:v>
                </c:pt>
                <c:pt idx="163">
                  <c:v>44617</c:v>
                </c:pt>
                <c:pt idx="164">
                  <c:v>44610</c:v>
                </c:pt>
                <c:pt idx="165">
                  <c:v>44603</c:v>
                </c:pt>
                <c:pt idx="166">
                  <c:v>44596</c:v>
                </c:pt>
                <c:pt idx="167">
                  <c:v>44589</c:v>
                </c:pt>
                <c:pt idx="168">
                  <c:v>44582</c:v>
                </c:pt>
                <c:pt idx="169">
                  <c:v>44575</c:v>
                </c:pt>
                <c:pt idx="170">
                  <c:v>44568</c:v>
                </c:pt>
                <c:pt idx="171">
                  <c:v>44561</c:v>
                </c:pt>
                <c:pt idx="172">
                  <c:v>44554</c:v>
                </c:pt>
                <c:pt idx="173">
                  <c:v>44547</c:v>
                </c:pt>
                <c:pt idx="174">
                  <c:v>44540</c:v>
                </c:pt>
                <c:pt idx="175">
                  <c:v>44533</c:v>
                </c:pt>
                <c:pt idx="176">
                  <c:v>44526</c:v>
                </c:pt>
                <c:pt idx="177">
                  <c:v>44519</c:v>
                </c:pt>
                <c:pt idx="178">
                  <c:v>44512</c:v>
                </c:pt>
                <c:pt idx="179">
                  <c:v>44505</c:v>
                </c:pt>
                <c:pt idx="180">
                  <c:v>44498</c:v>
                </c:pt>
                <c:pt idx="181">
                  <c:v>44491</c:v>
                </c:pt>
                <c:pt idx="182">
                  <c:v>44484</c:v>
                </c:pt>
                <c:pt idx="183">
                  <c:v>44477</c:v>
                </c:pt>
                <c:pt idx="184">
                  <c:v>44470</c:v>
                </c:pt>
                <c:pt idx="185">
                  <c:v>44463</c:v>
                </c:pt>
                <c:pt idx="186">
                  <c:v>44456</c:v>
                </c:pt>
                <c:pt idx="187">
                  <c:v>44449</c:v>
                </c:pt>
                <c:pt idx="188">
                  <c:v>44442</c:v>
                </c:pt>
                <c:pt idx="189">
                  <c:v>44435</c:v>
                </c:pt>
                <c:pt idx="190">
                  <c:v>44428</c:v>
                </c:pt>
                <c:pt idx="191">
                  <c:v>44421</c:v>
                </c:pt>
                <c:pt idx="192">
                  <c:v>44414</c:v>
                </c:pt>
                <c:pt idx="193">
                  <c:v>44407</c:v>
                </c:pt>
                <c:pt idx="194">
                  <c:v>44400</c:v>
                </c:pt>
                <c:pt idx="195">
                  <c:v>44393</c:v>
                </c:pt>
                <c:pt idx="196">
                  <c:v>44386</c:v>
                </c:pt>
                <c:pt idx="197">
                  <c:v>44379</c:v>
                </c:pt>
                <c:pt idx="198">
                  <c:v>44372</c:v>
                </c:pt>
                <c:pt idx="199">
                  <c:v>44365</c:v>
                </c:pt>
                <c:pt idx="200">
                  <c:v>44358</c:v>
                </c:pt>
                <c:pt idx="201">
                  <c:v>44351</c:v>
                </c:pt>
                <c:pt idx="202">
                  <c:v>44344</c:v>
                </c:pt>
                <c:pt idx="203">
                  <c:v>44337</c:v>
                </c:pt>
                <c:pt idx="204">
                  <c:v>44330</c:v>
                </c:pt>
                <c:pt idx="205">
                  <c:v>44323</c:v>
                </c:pt>
                <c:pt idx="206">
                  <c:v>44316</c:v>
                </c:pt>
                <c:pt idx="207">
                  <c:v>44309</c:v>
                </c:pt>
                <c:pt idx="208">
                  <c:v>44302</c:v>
                </c:pt>
                <c:pt idx="209">
                  <c:v>44295</c:v>
                </c:pt>
                <c:pt idx="210">
                  <c:v>44288</c:v>
                </c:pt>
                <c:pt idx="211">
                  <c:v>44281</c:v>
                </c:pt>
                <c:pt idx="212">
                  <c:v>44274</c:v>
                </c:pt>
                <c:pt idx="213">
                  <c:v>44267</c:v>
                </c:pt>
                <c:pt idx="214">
                  <c:v>44260</c:v>
                </c:pt>
                <c:pt idx="215">
                  <c:v>44253</c:v>
                </c:pt>
                <c:pt idx="216">
                  <c:v>44246</c:v>
                </c:pt>
                <c:pt idx="217">
                  <c:v>44239</c:v>
                </c:pt>
                <c:pt idx="218">
                  <c:v>44232</c:v>
                </c:pt>
                <c:pt idx="219">
                  <c:v>44225</c:v>
                </c:pt>
                <c:pt idx="220">
                  <c:v>44218</c:v>
                </c:pt>
                <c:pt idx="221">
                  <c:v>44211</c:v>
                </c:pt>
                <c:pt idx="222">
                  <c:v>44204</c:v>
                </c:pt>
                <c:pt idx="223">
                  <c:v>44197</c:v>
                </c:pt>
                <c:pt idx="224">
                  <c:v>44190</c:v>
                </c:pt>
                <c:pt idx="225">
                  <c:v>44183</c:v>
                </c:pt>
                <c:pt idx="226">
                  <c:v>44176</c:v>
                </c:pt>
                <c:pt idx="227">
                  <c:v>44169</c:v>
                </c:pt>
                <c:pt idx="228">
                  <c:v>44162</c:v>
                </c:pt>
                <c:pt idx="229">
                  <c:v>44155</c:v>
                </c:pt>
                <c:pt idx="230">
                  <c:v>44148</c:v>
                </c:pt>
                <c:pt idx="231">
                  <c:v>44141</c:v>
                </c:pt>
                <c:pt idx="232">
                  <c:v>44134</c:v>
                </c:pt>
                <c:pt idx="233">
                  <c:v>44127</c:v>
                </c:pt>
                <c:pt idx="234">
                  <c:v>44120</c:v>
                </c:pt>
                <c:pt idx="235">
                  <c:v>44113</c:v>
                </c:pt>
                <c:pt idx="236">
                  <c:v>44106</c:v>
                </c:pt>
                <c:pt idx="237">
                  <c:v>44099</c:v>
                </c:pt>
                <c:pt idx="238">
                  <c:v>44092</c:v>
                </c:pt>
                <c:pt idx="239">
                  <c:v>44085</c:v>
                </c:pt>
                <c:pt idx="240">
                  <c:v>44078</c:v>
                </c:pt>
                <c:pt idx="241">
                  <c:v>44071</c:v>
                </c:pt>
                <c:pt idx="242">
                  <c:v>44064</c:v>
                </c:pt>
                <c:pt idx="243">
                  <c:v>44057</c:v>
                </c:pt>
                <c:pt idx="244">
                  <c:v>44050</c:v>
                </c:pt>
                <c:pt idx="245">
                  <c:v>44043</c:v>
                </c:pt>
                <c:pt idx="246">
                  <c:v>44036</c:v>
                </c:pt>
                <c:pt idx="247">
                  <c:v>44029</c:v>
                </c:pt>
                <c:pt idx="248">
                  <c:v>44022</c:v>
                </c:pt>
                <c:pt idx="249">
                  <c:v>44015</c:v>
                </c:pt>
                <c:pt idx="250">
                  <c:v>44008</c:v>
                </c:pt>
                <c:pt idx="251">
                  <c:v>44001</c:v>
                </c:pt>
                <c:pt idx="252">
                  <c:v>43994</c:v>
                </c:pt>
                <c:pt idx="253">
                  <c:v>43987</c:v>
                </c:pt>
                <c:pt idx="254">
                  <c:v>43980</c:v>
                </c:pt>
                <c:pt idx="255">
                  <c:v>43973</c:v>
                </c:pt>
                <c:pt idx="256">
                  <c:v>43966</c:v>
                </c:pt>
                <c:pt idx="257">
                  <c:v>43959</c:v>
                </c:pt>
                <c:pt idx="258">
                  <c:v>43952</c:v>
                </c:pt>
                <c:pt idx="259">
                  <c:v>43945</c:v>
                </c:pt>
                <c:pt idx="260">
                  <c:v>43938</c:v>
                </c:pt>
                <c:pt idx="261">
                  <c:v>43931</c:v>
                </c:pt>
                <c:pt idx="262">
                  <c:v>43924</c:v>
                </c:pt>
                <c:pt idx="263">
                  <c:v>43917</c:v>
                </c:pt>
                <c:pt idx="264">
                  <c:v>43910</c:v>
                </c:pt>
                <c:pt idx="265">
                  <c:v>43903</c:v>
                </c:pt>
                <c:pt idx="266">
                  <c:v>43896</c:v>
                </c:pt>
                <c:pt idx="267">
                  <c:v>43889</c:v>
                </c:pt>
                <c:pt idx="268">
                  <c:v>43882</c:v>
                </c:pt>
                <c:pt idx="269">
                  <c:v>43875</c:v>
                </c:pt>
                <c:pt idx="270">
                  <c:v>43868</c:v>
                </c:pt>
                <c:pt idx="271">
                  <c:v>43861</c:v>
                </c:pt>
                <c:pt idx="272">
                  <c:v>43854</c:v>
                </c:pt>
                <c:pt idx="273">
                  <c:v>43847</c:v>
                </c:pt>
                <c:pt idx="274">
                  <c:v>43840</c:v>
                </c:pt>
                <c:pt idx="275">
                  <c:v>43833</c:v>
                </c:pt>
                <c:pt idx="276">
                  <c:v>43826</c:v>
                </c:pt>
                <c:pt idx="277">
                  <c:v>43819</c:v>
                </c:pt>
                <c:pt idx="278">
                  <c:v>43812</c:v>
                </c:pt>
                <c:pt idx="279">
                  <c:v>43805</c:v>
                </c:pt>
                <c:pt idx="280">
                  <c:v>43798</c:v>
                </c:pt>
                <c:pt idx="281">
                  <c:v>43791</c:v>
                </c:pt>
                <c:pt idx="282">
                  <c:v>43784</c:v>
                </c:pt>
                <c:pt idx="283">
                  <c:v>43777</c:v>
                </c:pt>
                <c:pt idx="284">
                  <c:v>43770</c:v>
                </c:pt>
                <c:pt idx="285">
                  <c:v>43763</c:v>
                </c:pt>
                <c:pt idx="286">
                  <c:v>43756</c:v>
                </c:pt>
                <c:pt idx="287">
                  <c:v>43749</c:v>
                </c:pt>
                <c:pt idx="288">
                  <c:v>43742</c:v>
                </c:pt>
                <c:pt idx="289">
                  <c:v>43735</c:v>
                </c:pt>
                <c:pt idx="290">
                  <c:v>43728</c:v>
                </c:pt>
                <c:pt idx="291">
                  <c:v>43721</c:v>
                </c:pt>
                <c:pt idx="292">
                  <c:v>43714</c:v>
                </c:pt>
                <c:pt idx="293">
                  <c:v>43707</c:v>
                </c:pt>
                <c:pt idx="294">
                  <c:v>43700</c:v>
                </c:pt>
                <c:pt idx="295">
                  <c:v>43693</c:v>
                </c:pt>
                <c:pt idx="296">
                  <c:v>43686</c:v>
                </c:pt>
                <c:pt idx="297">
                  <c:v>43679</c:v>
                </c:pt>
                <c:pt idx="298">
                  <c:v>43672</c:v>
                </c:pt>
                <c:pt idx="299">
                  <c:v>43665</c:v>
                </c:pt>
                <c:pt idx="300">
                  <c:v>43658</c:v>
                </c:pt>
                <c:pt idx="301">
                  <c:v>43651</c:v>
                </c:pt>
                <c:pt idx="302">
                  <c:v>43644</c:v>
                </c:pt>
                <c:pt idx="303">
                  <c:v>43637</c:v>
                </c:pt>
                <c:pt idx="304">
                  <c:v>43630</c:v>
                </c:pt>
                <c:pt idx="305">
                  <c:v>43623</c:v>
                </c:pt>
                <c:pt idx="306">
                  <c:v>43616</c:v>
                </c:pt>
                <c:pt idx="307">
                  <c:v>43609</c:v>
                </c:pt>
                <c:pt idx="308">
                  <c:v>43602</c:v>
                </c:pt>
                <c:pt idx="309">
                  <c:v>43595</c:v>
                </c:pt>
                <c:pt idx="310">
                  <c:v>43588</c:v>
                </c:pt>
                <c:pt idx="311">
                  <c:v>43581</c:v>
                </c:pt>
                <c:pt idx="312">
                  <c:v>43574</c:v>
                </c:pt>
                <c:pt idx="313">
                  <c:v>43567</c:v>
                </c:pt>
                <c:pt idx="314">
                  <c:v>43560</c:v>
                </c:pt>
                <c:pt idx="315">
                  <c:v>43553</c:v>
                </c:pt>
                <c:pt idx="316">
                  <c:v>43546</c:v>
                </c:pt>
                <c:pt idx="317">
                  <c:v>43539</c:v>
                </c:pt>
                <c:pt idx="318">
                  <c:v>43532</c:v>
                </c:pt>
                <c:pt idx="319">
                  <c:v>43525</c:v>
                </c:pt>
                <c:pt idx="320">
                  <c:v>43518</c:v>
                </c:pt>
                <c:pt idx="321">
                  <c:v>43511</c:v>
                </c:pt>
                <c:pt idx="322">
                  <c:v>43504</c:v>
                </c:pt>
                <c:pt idx="323">
                  <c:v>43497</c:v>
                </c:pt>
                <c:pt idx="324">
                  <c:v>43490</c:v>
                </c:pt>
                <c:pt idx="325">
                  <c:v>43483</c:v>
                </c:pt>
                <c:pt idx="326">
                  <c:v>43476</c:v>
                </c:pt>
                <c:pt idx="327">
                  <c:v>43469</c:v>
                </c:pt>
                <c:pt idx="328">
                  <c:v>43462</c:v>
                </c:pt>
                <c:pt idx="329">
                  <c:v>43455</c:v>
                </c:pt>
                <c:pt idx="330">
                  <c:v>43448</c:v>
                </c:pt>
                <c:pt idx="331">
                  <c:v>43441</c:v>
                </c:pt>
                <c:pt idx="332">
                  <c:v>43434</c:v>
                </c:pt>
                <c:pt idx="333">
                  <c:v>43427</c:v>
                </c:pt>
                <c:pt idx="334">
                  <c:v>43420</c:v>
                </c:pt>
                <c:pt idx="335">
                  <c:v>43413</c:v>
                </c:pt>
                <c:pt idx="336">
                  <c:v>43406</c:v>
                </c:pt>
                <c:pt idx="337">
                  <c:v>43399</c:v>
                </c:pt>
                <c:pt idx="338">
                  <c:v>43392</c:v>
                </c:pt>
                <c:pt idx="339">
                  <c:v>43385</c:v>
                </c:pt>
                <c:pt idx="340">
                  <c:v>43378</c:v>
                </c:pt>
                <c:pt idx="341">
                  <c:v>43371</c:v>
                </c:pt>
                <c:pt idx="342">
                  <c:v>43364</c:v>
                </c:pt>
                <c:pt idx="343">
                  <c:v>43357</c:v>
                </c:pt>
                <c:pt idx="344">
                  <c:v>43350</c:v>
                </c:pt>
                <c:pt idx="345">
                  <c:v>43343</c:v>
                </c:pt>
                <c:pt idx="346">
                  <c:v>43336</c:v>
                </c:pt>
                <c:pt idx="347">
                  <c:v>43329</c:v>
                </c:pt>
                <c:pt idx="348">
                  <c:v>43322</c:v>
                </c:pt>
                <c:pt idx="349">
                  <c:v>43315</c:v>
                </c:pt>
                <c:pt idx="350">
                  <c:v>43308</c:v>
                </c:pt>
                <c:pt idx="351">
                  <c:v>43301</c:v>
                </c:pt>
                <c:pt idx="352">
                  <c:v>43294</c:v>
                </c:pt>
                <c:pt idx="353">
                  <c:v>43287</c:v>
                </c:pt>
                <c:pt idx="354">
                  <c:v>43280</c:v>
                </c:pt>
                <c:pt idx="355">
                  <c:v>43273</c:v>
                </c:pt>
                <c:pt idx="356">
                  <c:v>43266</c:v>
                </c:pt>
                <c:pt idx="357">
                  <c:v>43259</c:v>
                </c:pt>
                <c:pt idx="358">
                  <c:v>43252</c:v>
                </c:pt>
                <c:pt idx="359">
                  <c:v>43245</c:v>
                </c:pt>
                <c:pt idx="360">
                  <c:v>43238</c:v>
                </c:pt>
                <c:pt idx="361">
                  <c:v>43231</c:v>
                </c:pt>
                <c:pt idx="362">
                  <c:v>43224</c:v>
                </c:pt>
                <c:pt idx="363">
                  <c:v>43217</c:v>
                </c:pt>
                <c:pt idx="364">
                  <c:v>43210</c:v>
                </c:pt>
                <c:pt idx="365">
                  <c:v>43203</c:v>
                </c:pt>
                <c:pt idx="366">
                  <c:v>43196</c:v>
                </c:pt>
                <c:pt idx="367">
                  <c:v>43189</c:v>
                </c:pt>
                <c:pt idx="368">
                  <c:v>43182</c:v>
                </c:pt>
                <c:pt idx="369">
                  <c:v>43175</c:v>
                </c:pt>
                <c:pt idx="370">
                  <c:v>43168</c:v>
                </c:pt>
                <c:pt idx="371">
                  <c:v>43161</c:v>
                </c:pt>
                <c:pt idx="372">
                  <c:v>43154</c:v>
                </c:pt>
                <c:pt idx="373">
                  <c:v>43147</c:v>
                </c:pt>
                <c:pt idx="374">
                  <c:v>43140</c:v>
                </c:pt>
                <c:pt idx="375">
                  <c:v>43133</c:v>
                </c:pt>
                <c:pt idx="376">
                  <c:v>43126</c:v>
                </c:pt>
                <c:pt idx="377">
                  <c:v>43119</c:v>
                </c:pt>
                <c:pt idx="378">
                  <c:v>43112</c:v>
                </c:pt>
                <c:pt idx="379">
                  <c:v>43105</c:v>
                </c:pt>
                <c:pt idx="380">
                  <c:v>43098</c:v>
                </c:pt>
                <c:pt idx="381">
                  <c:v>43091</c:v>
                </c:pt>
                <c:pt idx="382">
                  <c:v>43084</c:v>
                </c:pt>
                <c:pt idx="383">
                  <c:v>43077</c:v>
                </c:pt>
                <c:pt idx="384">
                  <c:v>43070</c:v>
                </c:pt>
                <c:pt idx="385">
                  <c:v>43063</c:v>
                </c:pt>
                <c:pt idx="386">
                  <c:v>43056</c:v>
                </c:pt>
                <c:pt idx="387">
                  <c:v>43049</c:v>
                </c:pt>
                <c:pt idx="388">
                  <c:v>43042</c:v>
                </c:pt>
                <c:pt idx="389">
                  <c:v>43035</c:v>
                </c:pt>
                <c:pt idx="390">
                  <c:v>43028</c:v>
                </c:pt>
                <c:pt idx="391">
                  <c:v>43021</c:v>
                </c:pt>
                <c:pt idx="392">
                  <c:v>43014</c:v>
                </c:pt>
                <c:pt idx="393">
                  <c:v>43007</c:v>
                </c:pt>
                <c:pt idx="394">
                  <c:v>43000</c:v>
                </c:pt>
                <c:pt idx="395">
                  <c:v>42993</c:v>
                </c:pt>
                <c:pt idx="396">
                  <c:v>42986</c:v>
                </c:pt>
                <c:pt idx="397">
                  <c:v>42979</c:v>
                </c:pt>
                <c:pt idx="398">
                  <c:v>42972</c:v>
                </c:pt>
                <c:pt idx="399">
                  <c:v>42965</c:v>
                </c:pt>
                <c:pt idx="400">
                  <c:v>42958</c:v>
                </c:pt>
                <c:pt idx="401">
                  <c:v>42951</c:v>
                </c:pt>
                <c:pt idx="402">
                  <c:v>42944</c:v>
                </c:pt>
                <c:pt idx="403">
                  <c:v>42937</c:v>
                </c:pt>
                <c:pt idx="404">
                  <c:v>42930</c:v>
                </c:pt>
                <c:pt idx="405">
                  <c:v>42923</c:v>
                </c:pt>
                <c:pt idx="406">
                  <c:v>42916</c:v>
                </c:pt>
                <c:pt idx="407">
                  <c:v>42909</c:v>
                </c:pt>
                <c:pt idx="408">
                  <c:v>42902</c:v>
                </c:pt>
                <c:pt idx="409">
                  <c:v>42895</c:v>
                </c:pt>
                <c:pt idx="410">
                  <c:v>42888</c:v>
                </c:pt>
                <c:pt idx="411">
                  <c:v>42881</c:v>
                </c:pt>
                <c:pt idx="412">
                  <c:v>42874</c:v>
                </c:pt>
                <c:pt idx="413">
                  <c:v>42867</c:v>
                </c:pt>
                <c:pt idx="414">
                  <c:v>42860</c:v>
                </c:pt>
                <c:pt idx="415">
                  <c:v>42853</c:v>
                </c:pt>
                <c:pt idx="416">
                  <c:v>42846</c:v>
                </c:pt>
                <c:pt idx="417">
                  <c:v>42839</c:v>
                </c:pt>
                <c:pt idx="418">
                  <c:v>42832</c:v>
                </c:pt>
                <c:pt idx="419">
                  <c:v>42825</c:v>
                </c:pt>
                <c:pt idx="420">
                  <c:v>42818</c:v>
                </c:pt>
                <c:pt idx="421">
                  <c:v>42811</c:v>
                </c:pt>
                <c:pt idx="422">
                  <c:v>42804</c:v>
                </c:pt>
                <c:pt idx="423">
                  <c:v>42797</c:v>
                </c:pt>
                <c:pt idx="424">
                  <c:v>42790</c:v>
                </c:pt>
                <c:pt idx="425">
                  <c:v>42783</c:v>
                </c:pt>
                <c:pt idx="426">
                  <c:v>42776</c:v>
                </c:pt>
                <c:pt idx="427">
                  <c:v>42769</c:v>
                </c:pt>
                <c:pt idx="428">
                  <c:v>42762</c:v>
                </c:pt>
                <c:pt idx="429">
                  <c:v>42755</c:v>
                </c:pt>
                <c:pt idx="430">
                  <c:v>42748</c:v>
                </c:pt>
                <c:pt idx="431">
                  <c:v>42741</c:v>
                </c:pt>
                <c:pt idx="432">
                  <c:v>42734</c:v>
                </c:pt>
                <c:pt idx="433">
                  <c:v>42727</c:v>
                </c:pt>
                <c:pt idx="434">
                  <c:v>42720</c:v>
                </c:pt>
                <c:pt idx="435">
                  <c:v>42713</c:v>
                </c:pt>
                <c:pt idx="436">
                  <c:v>42706</c:v>
                </c:pt>
                <c:pt idx="437">
                  <c:v>42699</c:v>
                </c:pt>
                <c:pt idx="438">
                  <c:v>42692</c:v>
                </c:pt>
                <c:pt idx="439">
                  <c:v>42685</c:v>
                </c:pt>
                <c:pt idx="440">
                  <c:v>42678</c:v>
                </c:pt>
                <c:pt idx="441">
                  <c:v>42671</c:v>
                </c:pt>
                <c:pt idx="442">
                  <c:v>42664</c:v>
                </c:pt>
                <c:pt idx="443">
                  <c:v>42657</c:v>
                </c:pt>
                <c:pt idx="444">
                  <c:v>42650</c:v>
                </c:pt>
                <c:pt idx="445">
                  <c:v>42643</c:v>
                </c:pt>
                <c:pt idx="446">
                  <c:v>42636</c:v>
                </c:pt>
                <c:pt idx="447">
                  <c:v>42629</c:v>
                </c:pt>
                <c:pt idx="448">
                  <c:v>42622</c:v>
                </c:pt>
                <c:pt idx="449">
                  <c:v>42615</c:v>
                </c:pt>
                <c:pt idx="450">
                  <c:v>42608</c:v>
                </c:pt>
                <c:pt idx="451">
                  <c:v>42601</c:v>
                </c:pt>
                <c:pt idx="452">
                  <c:v>42594</c:v>
                </c:pt>
                <c:pt idx="453">
                  <c:v>42587</c:v>
                </c:pt>
                <c:pt idx="454">
                  <c:v>42580</c:v>
                </c:pt>
                <c:pt idx="455">
                  <c:v>42573</c:v>
                </c:pt>
                <c:pt idx="456">
                  <c:v>42566</c:v>
                </c:pt>
                <c:pt idx="457">
                  <c:v>42559</c:v>
                </c:pt>
                <c:pt idx="458">
                  <c:v>42552</c:v>
                </c:pt>
                <c:pt idx="459">
                  <c:v>42545</c:v>
                </c:pt>
                <c:pt idx="460">
                  <c:v>42538</c:v>
                </c:pt>
                <c:pt idx="461">
                  <c:v>42531</c:v>
                </c:pt>
                <c:pt idx="462">
                  <c:v>42524</c:v>
                </c:pt>
                <c:pt idx="463">
                  <c:v>42517</c:v>
                </c:pt>
                <c:pt idx="464">
                  <c:v>42510</c:v>
                </c:pt>
                <c:pt idx="465">
                  <c:v>42503</c:v>
                </c:pt>
                <c:pt idx="466">
                  <c:v>42496</c:v>
                </c:pt>
                <c:pt idx="467">
                  <c:v>42489</c:v>
                </c:pt>
                <c:pt idx="468">
                  <c:v>42482</c:v>
                </c:pt>
                <c:pt idx="469">
                  <c:v>42475</c:v>
                </c:pt>
                <c:pt idx="470">
                  <c:v>42468</c:v>
                </c:pt>
                <c:pt idx="471">
                  <c:v>42461</c:v>
                </c:pt>
                <c:pt idx="472">
                  <c:v>42454</c:v>
                </c:pt>
                <c:pt idx="473">
                  <c:v>42447</c:v>
                </c:pt>
                <c:pt idx="474">
                  <c:v>42440</c:v>
                </c:pt>
                <c:pt idx="475">
                  <c:v>42433</c:v>
                </c:pt>
                <c:pt idx="476">
                  <c:v>42426</c:v>
                </c:pt>
                <c:pt idx="477">
                  <c:v>42419</c:v>
                </c:pt>
                <c:pt idx="478">
                  <c:v>42412</c:v>
                </c:pt>
                <c:pt idx="479">
                  <c:v>42405</c:v>
                </c:pt>
                <c:pt idx="480">
                  <c:v>42398</c:v>
                </c:pt>
                <c:pt idx="481">
                  <c:v>42391</c:v>
                </c:pt>
                <c:pt idx="482">
                  <c:v>42384</c:v>
                </c:pt>
                <c:pt idx="483">
                  <c:v>42377</c:v>
                </c:pt>
                <c:pt idx="484">
                  <c:v>42370</c:v>
                </c:pt>
                <c:pt idx="485">
                  <c:v>42363</c:v>
                </c:pt>
                <c:pt idx="486">
                  <c:v>42356</c:v>
                </c:pt>
                <c:pt idx="487">
                  <c:v>42349</c:v>
                </c:pt>
                <c:pt idx="488">
                  <c:v>42342</c:v>
                </c:pt>
                <c:pt idx="489">
                  <c:v>42335</c:v>
                </c:pt>
                <c:pt idx="490">
                  <c:v>42328</c:v>
                </c:pt>
                <c:pt idx="491">
                  <c:v>42321</c:v>
                </c:pt>
                <c:pt idx="492">
                  <c:v>42314</c:v>
                </c:pt>
                <c:pt idx="493">
                  <c:v>42307</c:v>
                </c:pt>
                <c:pt idx="494">
                  <c:v>42300</c:v>
                </c:pt>
                <c:pt idx="495">
                  <c:v>42293</c:v>
                </c:pt>
                <c:pt idx="496">
                  <c:v>42286</c:v>
                </c:pt>
                <c:pt idx="497">
                  <c:v>42279</c:v>
                </c:pt>
                <c:pt idx="498">
                  <c:v>42272</c:v>
                </c:pt>
                <c:pt idx="499">
                  <c:v>42265</c:v>
                </c:pt>
                <c:pt idx="500">
                  <c:v>42258</c:v>
                </c:pt>
                <c:pt idx="501">
                  <c:v>42251</c:v>
                </c:pt>
                <c:pt idx="502">
                  <c:v>42244</c:v>
                </c:pt>
                <c:pt idx="503">
                  <c:v>42237</c:v>
                </c:pt>
                <c:pt idx="504">
                  <c:v>42230</c:v>
                </c:pt>
                <c:pt idx="505">
                  <c:v>42223</c:v>
                </c:pt>
                <c:pt idx="506">
                  <c:v>42216</c:v>
                </c:pt>
                <c:pt idx="507">
                  <c:v>42209</c:v>
                </c:pt>
                <c:pt idx="508">
                  <c:v>42202</c:v>
                </c:pt>
                <c:pt idx="509">
                  <c:v>42195</c:v>
                </c:pt>
                <c:pt idx="510">
                  <c:v>42188</c:v>
                </c:pt>
                <c:pt idx="511">
                  <c:v>42181</c:v>
                </c:pt>
                <c:pt idx="512">
                  <c:v>42174</c:v>
                </c:pt>
                <c:pt idx="513">
                  <c:v>42167</c:v>
                </c:pt>
                <c:pt idx="514">
                  <c:v>42160</c:v>
                </c:pt>
                <c:pt idx="515">
                  <c:v>42153</c:v>
                </c:pt>
                <c:pt idx="516">
                  <c:v>42146</c:v>
                </c:pt>
                <c:pt idx="517">
                  <c:v>42139</c:v>
                </c:pt>
                <c:pt idx="518">
                  <c:v>42132</c:v>
                </c:pt>
                <c:pt idx="519">
                  <c:v>42125</c:v>
                </c:pt>
                <c:pt idx="520">
                  <c:v>42118</c:v>
                </c:pt>
                <c:pt idx="521">
                  <c:v>42111</c:v>
                </c:pt>
              </c:numCache>
            </c:numRef>
          </c:cat>
          <c:val>
            <c:numRef>
              <c:f>CORRELATION!$AR$3:$AR$524</c:f>
              <c:numCache>
                <c:formatCode>General</c:formatCode>
                <c:ptCount val="522"/>
                <c:pt idx="0">
                  <c:v>4.1696654258008179</c:v>
                </c:pt>
                <c:pt idx="1">
                  <c:v>3.9978169952663265</c:v>
                </c:pt>
                <c:pt idx="2">
                  <c:v>4.4306723654579718</c:v>
                </c:pt>
                <c:pt idx="3">
                  <c:v>4.5392642125097664</c:v>
                </c:pt>
                <c:pt idx="4">
                  <c:v>4.5279263752929824</c:v>
                </c:pt>
                <c:pt idx="5">
                  <c:v>4.6420722459671859</c:v>
                </c:pt>
                <c:pt idx="6">
                  <c:v>4.7990279884185849</c:v>
                </c:pt>
                <c:pt idx="7">
                  <c:v>4.9666988372627419</c:v>
                </c:pt>
                <c:pt idx="8">
                  <c:v>5.0817339951284524</c:v>
                </c:pt>
                <c:pt idx="9">
                  <c:v>4.9384875224045226</c:v>
                </c:pt>
                <c:pt idx="10">
                  <c:v>4.9354405073762582</c:v>
                </c:pt>
                <c:pt idx="11">
                  <c:v>5.0034491474792038</c:v>
                </c:pt>
                <c:pt idx="12">
                  <c:v>4.9269612574107269</c:v>
                </c:pt>
                <c:pt idx="13">
                  <c:v>4.790564823751092</c:v>
                </c:pt>
                <c:pt idx="14">
                  <c:v>4.9005377085343991</c:v>
                </c:pt>
                <c:pt idx="15">
                  <c:v>4.934282365917551</c:v>
                </c:pt>
                <c:pt idx="16">
                  <c:v>4.8920331816719518</c:v>
                </c:pt>
                <c:pt idx="17">
                  <c:v>5.0048830369042694</c:v>
                </c:pt>
                <c:pt idx="18">
                  <c:v>4.9685762213337004</c:v>
                </c:pt>
                <c:pt idx="19">
                  <c:v>4.8095891355301248</c:v>
                </c:pt>
                <c:pt idx="20">
                  <c:v>4.7741693092513442</c:v>
                </c:pt>
                <c:pt idx="21">
                  <c:v>4.6863665609632799</c:v>
                </c:pt>
                <c:pt idx="22">
                  <c:v>4.8525162001930235</c:v>
                </c:pt>
                <c:pt idx="23">
                  <c:v>4.6034146789834089</c:v>
                </c:pt>
                <c:pt idx="24">
                  <c:v>4.6766901052438072</c:v>
                </c:pt>
                <c:pt idx="25">
                  <c:v>4.6702605818282086</c:v>
                </c:pt>
                <c:pt idx="26">
                  <c:v>4.6582954179879588</c:v>
                </c:pt>
                <c:pt idx="27">
                  <c:v>4.6038466841307049</c:v>
                </c:pt>
                <c:pt idx="28">
                  <c:v>4.5977802288708114</c:v>
                </c:pt>
                <c:pt idx="29">
                  <c:v>4.5478859322579162</c:v>
                </c:pt>
                <c:pt idx="30">
                  <c:v>4.4842547911209154</c:v>
                </c:pt>
                <c:pt idx="31">
                  <c:v>4.2330323084700581</c:v>
                </c:pt>
                <c:pt idx="32">
                  <c:v>4.4980559768371702</c:v>
                </c:pt>
                <c:pt idx="33">
                  <c:v>4.5316581644377036</c:v>
                </c:pt>
                <c:pt idx="34">
                  <c:v>4.4828622638908033</c:v>
                </c:pt>
                <c:pt idx="35">
                  <c:v>4.2541247299967822</c:v>
                </c:pt>
                <c:pt idx="36">
                  <c:v>4.2375224045222657</c:v>
                </c:pt>
                <c:pt idx="37">
                  <c:v>4.3714462980835513</c:v>
                </c:pt>
                <c:pt idx="38">
                  <c:v>4.4861023024955191</c:v>
                </c:pt>
                <c:pt idx="39">
                  <c:v>4.6719725171193529</c:v>
                </c:pt>
                <c:pt idx="40">
                  <c:v>4.6858702146238338</c:v>
                </c:pt>
                <c:pt idx="41">
                  <c:v>4.5229261455030096</c:v>
                </c:pt>
                <c:pt idx="42">
                  <c:v>4.5269612574107265</c:v>
                </c:pt>
                <c:pt idx="43">
                  <c:v>4.5176248908497634</c:v>
                </c:pt>
                <c:pt idx="44">
                  <c:v>4.3662277678202122</c:v>
                </c:pt>
                <c:pt idx="45">
                  <c:v>4.2595362838365736</c:v>
                </c:pt>
                <c:pt idx="46">
                  <c:v>4.321970219219633</c:v>
                </c:pt>
                <c:pt idx="47">
                  <c:v>4.261737671768004</c:v>
                </c:pt>
                <c:pt idx="48">
                  <c:v>4.173257043062641</c:v>
                </c:pt>
                <c:pt idx="49">
                  <c:v>4.1111264304425754</c:v>
                </c:pt>
                <c:pt idx="50">
                  <c:v>4.0714876602785051</c:v>
                </c:pt>
                <c:pt idx="51">
                  <c:v>3.915081115860104</c:v>
                </c:pt>
                <c:pt idx="52">
                  <c:v>4.1370214623833821</c:v>
                </c:pt>
                <c:pt idx="53">
                  <c:v>4.1611425157406128</c:v>
                </c:pt>
                <c:pt idx="54">
                  <c:v>4.1947447033411454</c:v>
                </c:pt>
                <c:pt idx="55">
                  <c:v>4.2142194034652327</c:v>
                </c:pt>
                <c:pt idx="56">
                  <c:v>4.0921572682568135</c:v>
                </c:pt>
                <c:pt idx="57">
                  <c:v>4.1404591203639871</c:v>
                </c:pt>
                <c:pt idx="58">
                  <c:v>4.2058251757893279</c:v>
                </c:pt>
                <c:pt idx="59">
                  <c:v>4.121882899030286</c:v>
                </c:pt>
                <c:pt idx="60">
                  <c:v>4.0640608483845764</c:v>
                </c:pt>
                <c:pt idx="61">
                  <c:v>4.1275793924353144</c:v>
                </c:pt>
                <c:pt idx="62">
                  <c:v>4.0541224320970626</c:v>
                </c:pt>
                <c:pt idx="63">
                  <c:v>4.0031733995128445</c:v>
                </c:pt>
                <c:pt idx="64">
                  <c:v>3.9785835746128035</c:v>
                </c:pt>
                <c:pt idx="65">
                  <c:v>3.8680362148995813</c:v>
                </c:pt>
                <c:pt idx="66">
                  <c:v>3.7469506870720157</c:v>
                </c:pt>
                <c:pt idx="67">
                  <c:v>3.866429982995542</c:v>
                </c:pt>
                <c:pt idx="68">
                  <c:v>3.8552782756560506</c:v>
                </c:pt>
                <c:pt idx="69">
                  <c:v>3.8199021094719425</c:v>
                </c:pt>
                <c:pt idx="70">
                  <c:v>3.6961004641757431</c:v>
                </c:pt>
                <c:pt idx="71">
                  <c:v>3.6760834597178178</c:v>
                </c:pt>
                <c:pt idx="72">
                  <c:v>3.6725056298543128</c:v>
                </c:pt>
                <c:pt idx="73">
                  <c:v>3.6394112780918237</c:v>
                </c:pt>
                <c:pt idx="74">
                  <c:v>3.5684360494508018</c:v>
                </c:pt>
                <c:pt idx="75">
                  <c:v>3.4697113837952109</c:v>
                </c:pt>
                <c:pt idx="76">
                  <c:v>3.2585183142607654</c:v>
                </c:pt>
                <c:pt idx="77">
                  <c:v>3.3459442069948064</c:v>
                </c:pt>
                <c:pt idx="78">
                  <c:v>3.445728204421159</c:v>
                </c:pt>
                <c:pt idx="79">
                  <c:v>3.4407003998345509</c:v>
                </c:pt>
                <c:pt idx="80">
                  <c:v>3.3814145870674204</c:v>
                </c:pt>
                <c:pt idx="81">
                  <c:v>3.3781653568638266</c:v>
                </c:pt>
                <c:pt idx="82">
                  <c:v>3.4933590698101931</c:v>
                </c:pt>
                <c:pt idx="83">
                  <c:v>3.5112436233282778</c:v>
                </c:pt>
                <c:pt idx="84">
                  <c:v>3.5596442851233974</c:v>
                </c:pt>
                <c:pt idx="85">
                  <c:v>3.4334826968151106</c:v>
                </c:pt>
                <c:pt idx="86">
                  <c:v>3.3767268716393217</c:v>
                </c:pt>
                <c:pt idx="87">
                  <c:v>3.453299783997426</c:v>
                </c:pt>
                <c:pt idx="88">
                  <c:v>3.5100234385771403</c:v>
                </c:pt>
                <c:pt idx="89">
                  <c:v>3.6194057631324967</c:v>
                </c:pt>
                <c:pt idx="90">
                  <c:v>3.5446642768509582</c:v>
                </c:pt>
                <c:pt idx="91">
                  <c:v>3.5768187876281079</c:v>
                </c:pt>
                <c:pt idx="92">
                  <c:v>3.4553173399512844</c:v>
                </c:pt>
                <c:pt idx="93">
                  <c:v>3.4880302403603105</c:v>
                </c:pt>
                <c:pt idx="94">
                  <c:v>3.4219127717266415</c:v>
                </c:pt>
                <c:pt idx="95">
                  <c:v>3.4661335539317064</c:v>
                </c:pt>
                <c:pt idx="96">
                  <c:v>3.3384714371064845</c:v>
                </c:pt>
                <c:pt idx="97">
                  <c:v>3.342671997794016</c:v>
                </c:pt>
                <c:pt idx="98">
                  <c:v>3.2856312330529893</c:v>
                </c:pt>
                <c:pt idx="99">
                  <c:v>3.1719035801277631</c:v>
                </c:pt>
                <c:pt idx="100">
                  <c:v>3.0654395882163703</c:v>
                </c:pt>
                <c:pt idx="101">
                  <c:v>3.0468151109885562</c:v>
                </c:pt>
                <c:pt idx="102">
                  <c:v>3.043795670756928</c:v>
                </c:pt>
                <c:pt idx="103">
                  <c:v>2.9874465738315181</c:v>
                </c:pt>
                <c:pt idx="104">
                  <c:v>3.0055425341238107</c:v>
                </c:pt>
                <c:pt idx="105">
                  <c:v>3.0016544877981524</c:v>
                </c:pt>
                <c:pt idx="106">
                  <c:v>3.0289420469690702</c:v>
                </c:pt>
                <c:pt idx="107">
                  <c:v>2.9337400615837121</c:v>
                </c:pt>
                <c:pt idx="108">
                  <c:v>2.8769428742129692</c:v>
                </c:pt>
                <c:pt idx="109">
                  <c:v>2.7184797095454756</c:v>
                </c:pt>
                <c:pt idx="110">
                  <c:v>2.8243048853348038</c:v>
                </c:pt>
                <c:pt idx="111">
                  <c:v>2.7505055379383241</c:v>
                </c:pt>
                <c:pt idx="112">
                  <c:v>2.8397858357461279</c:v>
                </c:pt>
                <c:pt idx="113">
                  <c:v>2.827547221839239</c:v>
                </c:pt>
                <c:pt idx="114">
                  <c:v>2.889232041913691</c:v>
                </c:pt>
                <c:pt idx="115">
                  <c:v>2.795762672916954</c:v>
                </c:pt>
                <c:pt idx="116">
                  <c:v>2.6699365779677375</c:v>
                </c:pt>
                <c:pt idx="117">
                  <c:v>2.652116365641803</c:v>
                </c:pt>
                <c:pt idx="118">
                  <c:v>2.5369617169906706</c:v>
                </c:pt>
                <c:pt idx="119">
                  <c:v>2.5138471437106484</c:v>
                </c:pt>
                <c:pt idx="120">
                  <c:v>2.524346247529758</c:v>
                </c:pt>
                <c:pt idx="121">
                  <c:v>2.5836941035893193</c:v>
                </c:pt>
                <c:pt idx="122">
                  <c:v>2.657137276529252</c:v>
                </c:pt>
                <c:pt idx="123">
                  <c:v>2.7561606691483984</c:v>
                </c:pt>
                <c:pt idx="124">
                  <c:v>2.7014178041270278</c:v>
                </c:pt>
                <c:pt idx="125">
                  <c:v>2.6832620984420239</c:v>
                </c:pt>
                <c:pt idx="126">
                  <c:v>2.7154303966174917</c:v>
                </c:pt>
                <c:pt idx="127">
                  <c:v>2.4948366193299325</c:v>
                </c:pt>
                <c:pt idx="128">
                  <c:v>2.6532032722092005</c:v>
                </c:pt>
                <c:pt idx="129">
                  <c:v>2.5990004136219493</c:v>
                </c:pt>
                <c:pt idx="130">
                  <c:v>2.4569281676547634</c:v>
                </c:pt>
                <c:pt idx="131">
                  <c:v>2.5367595018153404</c:v>
                </c:pt>
                <c:pt idx="132">
                  <c:v>2.5210763362286865</c:v>
                </c:pt>
                <c:pt idx="133">
                  <c:v>2.5992095224964382</c:v>
                </c:pt>
                <c:pt idx="134">
                  <c:v>2.7256261776736062</c:v>
                </c:pt>
                <c:pt idx="135">
                  <c:v>2.8926628061951378</c:v>
                </c:pt>
                <c:pt idx="136">
                  <c:v>2.780100188427777</c:v>
                </c:pt>
                <c:pt idx="137">
                  <c:v>2.8965416609219172</c:v>
                </c:pt>
                <c:pt idx="138">
                  <c:v>3.0430856197435543</c:v>
                </c:pt>
                <c:pt idx="139">
                  <c:v>3.117300886989292</c:v>
                </c:pt>
                <c:pt idx="140">
                  <c:v>3.0349947148306446</c:v>
                </c:pt>
                <c:pt idx="141">
                  <c:v>2.975313663311733</c:v>
                </c:pt>
                <c:pt idx="142">
                  <c:v>2.8485844937726914</c:v>
                </c:pt>
                <c:pt idx="143">
                  <c:v>2.7537157038466842</c:v>
                </c:pt>
                <c:pt idx="144">
                  <c:v>2.7863619651638403</c:v>
                </c:pt>
                <c:pt idx="145">
                  <c:v>2.6622730824026841</c:v>
                </c:pt>
                <c:pt idx="146">
                  <c:v>2.7818029321200424</c:v>
                </c:pt>
                <c:pt idx="147">
                  <c:v>2.5888115262649936</c:v>
                </c:pt>
                <c:pt idx="148">
                  <c:v>2.719063376074268</c:v>
                </c:pt>
                <c:pt idx="149">
                  <c:v>2.8834114619238016</c:v>
                </c:pt>
                <c:pt idx="150">
                  <c:v>2.9140631462842959</c:v>
                </c:pt>
                <c:pt idx="151">
                  <c:v>2.7197067879957721</c:v>
                </c:pt>
                <c:pt idx="152">
                  <c:v>2.8465002987269634</c:v>
                </c:pt>
                <c:pt idx="153">
                  <c:v>2.9168482007445196</c:v>
                </c:pt>
                <c:pt idx="154">
                  <c:v>2.9539041316236956</c:v>
                </c:pt>
                <c:pt idx="155">
                  <c:v>3.0692747828484768</c:v>
                </c:pt>
                <c:pt idx="156">
                  <c:v>3.1925203364125188</c:v>
                </c:pt>
                <c:pt idx="157">
                  <c:v>3.2922606737441975</c:v>
                </c:pt>
                <c:pt idx="158">
                  <c:v>3.414957029275242</c:v>
                </c:pt>
                <c:pt idx="159">
                  <c:v>3.3903924812721171</c:v>
                </c:pt>
                <c:pt idx="160">
                  <c:v>3.3135897789420468</c:v>
                </c:pt>
                <c:pt idx="161">
                  <c:v>3.0566271427914886</c:v>
                </c:pt>
                <c:pt idx="162">
                  <c:v>3.1797945677650628</c:v>
                </c:pt>
                <c:pt idx="163">
                  <c:v>3.260526678615745</c:v>
                </c:pt>
                <c:pt idx="164">
                  <c:v>3.2192518038512801</c:v>
                </c:pt>
                <c:pt idx="165">
                  <c:v>3.2753894940024817</c:v>
                </c:pt>
                <c:pt idx="166">
                  <c:v>3.3766142745530585</c:v>
                </c:pt>
                <c:pt idx="167">
                  <c:v>3.3215244266740198</c:v>
                </c:pt>
                <c:pt idx="168">
                  <c:v>3.3177995312284572</c:v>
                </c:pt>
                <c:pt idx="169">
                  <c:v>3.5873868284388069</c:v>
                </c:pt>
                <c:pt idx="170">
                  <c:v>3.5829289029826739</c:v>
                </c:pt>
                <c:pt idx="171">
                  <c:v>3.7501907256767315</c:v>
                </c:pt>
                <c:pt idx="172">
                  <c:v>3.7474631187094993</c:v>
                </c:pt>
                <c:pt idx="173">
                  <c:v>3.6310170504159194</c:v>
                </c:pt>
                <c:pt idx="174">
                  <c:v>3.7529252263431223</c:v>
                </c:pt>
                <c:pt idx="175">
                  <c:v>3.610469231122754</c:v>
                </c:pt>
                <c:pt idx="176">
                  <c:v>3.6825175789328553</c:v>
                </c:pt>
                <c:pt idx="177">
                  <c:v>3.8083873339767451</c:v>
                </c:pt>
                <c:pt idx="178">
                  <c:v>3.7225699710464633</c:v>
                </c:pt>
                <c:pt idx="179">
                  <c:v>3.7592214715749801</c:v>
                </c:pt>
                <c:pt idx="180">
                  <c:v>3.6422790569419545</c:v>
                </c:pt>
                <c:pt idx="181">
                  <c:v>3.5284411048301849</c:v>
                </c:pt>
                <c:pt idx="182">
                  <c:v>3.4806103221655404</c:v>
                </c:pt>
                <c:pt idx="183">
                  <c:v>3.405659727009513</c:v>
                </c:pt>
                <c:pt idx="184">
                  <c:v>3.3990233926191462</c:v>
                </c:pt>
                <c:pt idx="185">
                  <c:v>3.5226067374419778</c:v>
                </c:pt>
                <c:pt idx="186">
                  <c:v>3.5234776414357274</c:v>
                </c:pt>
                <c:pt idx="187">
                  <c:v>3.5481295096281995</c:v>
                </c:pt>
                <c:pt idx="188">
                  <c:v>3.5968702605818281</c:v>
                </c:pt>
                <c:pt idx="189">
                  <c:v>3.5463371478468679</c:v>
                </c:pt>
                <c:pt idx="190">
                  <c:v>3.4681212371892087</c:v>
                </c:pt>
                <c:pt idx="191">
                  <c:v>3.4782572728526127</c:v>
                </c:pt>
                <c:pt idx="192">
                  <c:v>3.4719794108185118</c:v>
                </c:pt>
                <c:pt idx="193">
                  <c:v>3.4376350016085295</c:v>
                </c:pt>
                <c:pt idx="194">
                  <c:v>3.4725378004503882</c:v>
                </c:pt>
                <c:pt idx="195">
                  <c:v>3.3736338986166641</c:v>
                </c:pt>
                <c:pt idx="196">
                  <c:v>3.4068868054598096</c:v>
                </c:pt>
                <c:pt idx="197">
                  <c:v>3.3842616848200739</c:v>
                </c:pt>
                <c:pt idx="198">
                  <c:v>3.2963785100418219</c:v>
                </c:pt>
                <c:pt idx="199">
                  <c:v>3.2284525943287834</c:v>
                </c:pt>
                <c:pt idx="200">
                  <c:v>3.2166689645663862</c:v>
                </c:pt>
                <c:pt idx="201">
                  <c:v>3.164384852245048</c:v>
                </c:pt>
                <c:pt idx="202">
                  <c:v>3.1450227492072247</c:v>
                </c:pt>
                <c:pt idx="203">
                  <c:v>3.0818833586102299</c:v>
                </c:pt>
                <c:pt idx="204">
                  <c:v>3.0776046693322305</c:v>
                </c:pt>
                <c:pt idx="205">
                  <c:v>3.1526333930787258</c:v>
                </c:pt>
                <c:pt idx="206">
                  <c:v>3.1850636518222344</c:v>
                </c:pt>
                <c:pt idx="207">
                  <c:v>3.2036031067604211</c:v>
                </c:pt>
                <c:pt idx="208">
                  <c:v>3.2266901052438071</c:v>
                </c:pt>
                <c:pt idx="209">
                  <c:v>3.1814536513626543</c:v>
                </c:pt>
                <c:pt idx="210">
                  <c:v>3.062987729215497</c:v>
                </c:pt>
                <c:pt idx="211">
                  <c:v>2.9824716209384623</c:v>
                </c:pt>
                <c:pt idx="212">
                  <c:v>2.9567052713819568</c:v>
                </c:pt>
                <c:pt idx="213">
                  <c:v>2.9728595064111403</c:v>
                </c:pt>
                <c:pt idx="214">
                  <c:v>2.91109655774622</c:v>
                </c:pt>
                <c:pt idx="215">
                  <c:v>2.9664598556918977</c:v>
                </c:pt>
                <c:pt idx="216">
                  <c:v>3.1207270554712991</c:v>
                </c:pt>
                <c:pt idx="217">
                  <c:v>3.1728709959097383</c:v>
                </c:pt>
                <c:pt idx="218">
                  <c:v>3.1260535870214619</c:v>
                </c:pt>
                <c:pt idx="219">
                  <c:v>2.9701227078450292</c:v>
                </c:pt>
                <c:pt idx="220">
                  <c:v>3.0714646812813085</c:v>
                </c:pt>
                <c:pt idx="221">
                  <c:v>2.9422147157498046</c:v>
                </c:pt>
                <c:pt idx="222">
                  <c:v>3.0114435406038882</c:v>
                </c:pt>
                <c:pt idx="223">
                  <c:v>2.9615974998851051</c:v>
                </c:pt>
                <c:pt idx="224">
                  <c:v>2.9208626315547588</c:v>
                </c:pt>
                <c:pt idx="225">
                  <c:v>2.9271060250930647</c:v>
                </c:pt>
                <c:pt idx="226">
                  <c:v>2.8437451169630954</c:v>
                </c:pt>
                <c:pt idx="227">
                  <c:v>2.8789190679718737</c:v>
                </c:pt>
                <c:pt idx="228">
                  <c:v>2.8168137322487246</c:v>
                </c:pt>
                <c:pt idx="229">
                  <c:v>2.7359805138103774</c:v>
                </c:pt>
                <c:pt idx="230">
                  <c:v>2.7431959189300978</c:v>
                </c:pt>
                <c:pt idx="231">
                  <c:v>2.7784709775265406</c:v>
                </c:pt>
                <c:pt idx="232">
                  <c:v>2.5398570706374373</c:v>
                </c:pt>
                <c:pt idx="233">
                  <c:v>2.6868353325060892</c:v>
                </c:pt>
                <c:pt idx="234">
                  <c:v>2.7235098120318026</c:v>
                </c:pt>
                <c:pt idx="235">
                  <c:v>2.6944827427731055</c:v>
                </c:pt>
                <c:pt idx="236">
                  <c:v>2.5864446895537481</c:v>
                </c:pt>
                <c:pt idx="237">
                  <c:v>2.5624178500850219</c:v>
                </c:pt>
                <c:pt idx="238">
                  <c:v>2.5132083275885839</c:v>
                </c:pt>
                <c:pt idx="239">
                  <c:v>2.5477733351716529</c:v>
                </c:pt>
                <c:pt idx="240">
                  <c:v>2.6706489268808307</c:v>
                </c:pt>
                <c:pt idx="241">
                  <c:v>2.7565260352038239</c:v>
                </c:pt>
                <c:pt idx="242">
                  <c:v>2.6552598924582931</c:v>
                </c:pt>
                <c:pt idx="243">
                  <c:v>2.5654786525116045</c:v>
                </c:pt>
                <c:pt idx="244">
                  <c:v>2.5597201158141458</c:v>
                </c:pt>
                <c:pt idx="245">
                  <c:v>2.5060618594604529</c:v>
                </c:pt>
                <c:pt idx="246">
                  <c:v>2.4089181488119857</c:v>
                </c:pt>
                <c:pt idx="247">
                  <c:v>2.4461648053678937</c:v>
                </c:pt>
                <c:pt idx="248">
                  <c:v>2.490079966910244</c:v>
                </c:pt>
                <c:pt idx="249">
                  <c:v>2.3764626131715612</c:v>
                </c:pt>
                <c:pt idx="250">
                  <c:v>2.2632841582793328</c:v>
                </c:pt>
                <c:pt idx="251">
                  <c:v>2.2998851050140168</c:v>
                </c:pt>
                <c:pt idx="252">
                  <c:v>2.2206374373822326</c:v>
                </c:pt>
                <c:pt idx="253">
                  <c:v>2.257546302679351</c:v>
                </c:pt>
                <c:pt idx="254">
                  <c:v>2.1957626729169539</c:v>
                </c:pt>
                <c:pt idx="255">
                  <c:v>2.1632404981846589</c:v>
                </c:pt>
                <c:pt idx="256">
                  <c:v>2.1031848890114433</c:v>
                </c:pt>
                <c:pt idx="257">
                  <c:v>2.1187439680132361</c:v>
                </c:pt>
                <c:pt idx="258">
                  <c:v>2.0033503377912587</c:v>
                </c:pt>
                <c:pt idx="259">
                  <c:v>2.0190725676731467</c:v>
                </c:pt>
                <c:pt idx="260">
                  <c:v>2.0295992462888917</c:v>
                </c:pt>
                <c:pt idx="261">
                  <c:v>1.8931315777379476</c:v>
                </c:pt>
                <c:pt idx="262">
                  <c:v>1.7298841858541292</c:v>
                </c:pt>
                <c:pt idx="263">
                  <c:v>1.7437313295647776</c:v>
                </c:pt>
                <c:pt idx="264">
                  <c:v>1.6072177030194401</c:v>
                </c:pt>
                <c:pt idx="265">
                  <c:v>1.8372305712578703</c:v>
                </c:pt>
                <c:pt idx="266">
                  <c:v>1.9601865894572361</c:v>
                </c:pt>
                <c:pt idx="267">
                  <c:v>1.9444436784778711</c:v>
                </c:pt>
                <c:pt idx="268">
                  <c:v>2.1707546302679352</c:v>
                </c:pt>
                <c:pt idx="269">
                  <c:v>2.2114021784089339</c:v>
                </c:pt>
                <c:pt idx="270">
                  <c:v>2.1602785054460223</c:v>
                </c:pt>
                <c:pt idx="271">
                  <c:v>2.0661588308286225</c:v>
                </c:pt>
                <c:pt idx="272">
                  <c:v>2.1006181350245874</c:v>
                </c:pt>
                <c:pt idx="273">
                  <c:v>2.1080311595201984</c:v>
                </c:pt>
                <c:pt idx="274">
                  <c:v>2.0604439542258373</c:v>
                </c:pt>
                <c:pt idx="275">
                  <c:v>2.0207500344684957</c:v>
                </c:pt>
                <c:pt idx="276">
                  <c:v>2.0154832483110434</c:v>
                </c:pt>
                <c:pt idx="277">
                  <c:v>1.9942299738039431</c:v>
                </c:pt>
                <c:pt idx="278">
                  <c:v>1.9503906429523412</c:v>
                </c:pt>
                <c:pt idx="279">
                  <c:v>1.9296314168849673</c:v>
                </c:pt>
                <c:pt idx="280">
                  <c:v>1.9310836895077899</c:v>
                </c:pt>
                <c:pt idx="281">
                  <c:v>1.9008341375982349</c:v>
                </c:pt>
                <c:pt idx="282">
                  <c:v>1.910823107679581</c:v>
                </c:pt>
                <c:pt idx="283">
                  <c:v>1.8971207316512706</c:v>
                </c:pt>
                <c:pt idx="284">
                  <c:v>1.8753550255066869</c:v>
                </c:pt>
                <c:pt idx="285">
                  <c:v>1.8450342387058229</c:v>
                </c:pt>
                <c:pt idx="286">
                  <c:v>1.8081000965117882</c:v>
                </c:pt>
                <c:pt idx="287">
                  <c:v>1.8024449653017143</c:v>
                </c:pt>
                <c:pt idx="288">
                  <c:v>1.7818144216186407</c:v>
                </c:pt>
                <c:pt idx="289">
                  <c:v>1.7651500528516935</c:v>
                </c:pt>
                <c:pt idx="290">
                  <c:v>1.7977733351716532</c:v>
                </c:pt>
                <c:pt idx="291">
                  <c:v>1.813723057125787</c:v>
                </c:pt>
                <c:pt idx="292">
                  <c:v>1.8044349464589364</c:v>
                </c:pt>
                <c:pt idx="293">
                  <c:v>1.7673146743876096</c:v>
                </c:pt>
                <c:pt idx="294">
                  <c:v>1.7153821407233787</c:v>
                </c:pt>
                <c:pt idx="295">
                  <c:v>1.7473482237235165</c:v>
                </c:pt>
                <c:pt idx="296">
                  <c:v>1.7570361689415874</c:v>
                </c:pt>
                <c:pt idx="297">
                  <c:v>1.7677282963371479</c:v>
                </c:pt>
                <c:pt idx="298">
                  <c:v>1.8422147157498046</c:v>
                </c:pt>
                <c:pt idx="299">
                  <c:v>1.8003814513534628</c:v>
                </c:pt>
                <c:pt idx="300">
                  <c:v>1.8252768969162185</c:v>
                </c:pt>
                <c:pt idx="301">
                  <c:v>1.801852107174043</c:v>
                </c:pt>
                <c:pt idx="302">
                  <c:v>1.7627372581460543</c:v>
                </c:pt>
                <c:pt idx="303">
                  <c:v>1.7759961395284709</c:v>
                </c:pt>
                <c:pt idx="304">
                  <c:v>1.7186244772278136</c:v>
                </c:pt>
                <c:pt idx="305">
                  <c:v>1.7044188611608988</c:v>
                </c:pt>
                <c:pt idx="306">
                  <c:v>1.637933728572085</c:v>
                </c:pt>
                <c:pt idx="307">
                  <c:v>1.6776873937221379</c:v>
                </c:pt>
                <c:pt idx="308">
                  <c:v>1.7242704168390091</c:v>
                </c:pt>
                <c:pt idx="309">
                  <c:v>1.7433085160163608</c:v>
                </c:pt>
                <c:pt idx="310">
                  <c:v>1.8028700767498504</c:v>
                </c:pt>
                <c:pt idx="311">
                  <c:v>1.7984925777839056</c:v>
                </c:pt>
                <c:pt idx="312">
                  <c:v>1.7670205432234938</c:v>
                </c:pt>
                <c:pt idx="313">
                  <c:v>1.7528723746495702</c:v>
                </c:pt>
                <c:pt idx="314">
                  <c:v>1.7415414311319453</c:v>
                </c:pt>
                <c:pt idx="315">
                  <c:v>1.6955673514407832</c:v>
                </c:pt>
                <c:pt idx="316">
                  <c:v>1.683455122018475</c:v>
                </c:pt>
                <c:pt idx="317">
                  <c:v>1.6790730272530905</c:v>
                </c:pt>
                <c:pt idx="318">
                  <c:v>1.6121352084195044</c:v>
                </c:pt>
                <c:pt idx="319">
                  <c:v>1.6433590698101934</c:v>
                </c:pt>
                <c:pt idx="320">
                  <c:v>1.6293556689186084</c:v>
                </c:pt>
                <c:pt idx="321">
                  <c:v>1.6212096144124271</c:v>
                </c:pt>
                <c:pt idx="322">
                  <c:v>1.5885679488947102</c:v>
                </c:pt>
                <c:pt idx="323">
                  <c:v>1.5799255480490833</c:v>
                </c:pt>
                <c:pt idx="324">
                  <c:v>1.5596695620203134</c:v>
                </c:pt>
                <c:pt idx="325">
                  <c:v>1.5590353416976881</c:v>
                </c:pt>
                <c:pt idx="326">
                  <c:v>1.5169355209338662</c:v>
                </c:pt>
                <c:pt idx="327">
                  <c:v>1.4758651592444505</c:v>
                </c:pt>
                <c:pt idx="328">
                  <c:v>1.444292017096374</c:v>
                </c:pt>
                <c:pt idx="329">
                  <c:v>1.38943885288846</c:v>
                </c:pt>
                <c:pt idx="330">
                  <c:v>1.5154556735144078</c:v>
                </c:pt>
                <c:pt idx="331">
                  <c:v>1.519665425800818</c:v>
                </c:pt>
                <c:pt idx="332">
                  <c:v>1.5968128130888368</c:v>
                </c:pt>
                <c:pt idx="333">
                  <c:v>1.4999195735098121</c:v>
                </c:pt>
                <c:pt idx="334">
                  <c:v>1.5779723332873754</c:v>
                </c:pt>
                <c:pt idx="335">
                  <c:v>1.617526081161818</c:v>
                </c:pt>
                <c:pt idx="336">
                  <c:v>1.600553793832437</c:v>
                </c:pt>
                <c:pt idx="337">
                  <c:v>1.5746128038972378</c:v>
                </c:pt>
                <c:pt idx="338">
                  <c:v>1.6331701824532376</c:v>
                </c:pt>
                <c:pt idx="339">
                  <c:v>1.6446550852520796</c:v>
                </c:pt>
                <c:pt idx="340">
                  <c:v>1.7002183004733673</c:v>
                </c:pt>
                <c:pt idx="341">
                  <c:v>1.7527574796635874</c:v>
                </c:pt>
                <c:pt idx="342">
                  <c:v>1.7305643641711475</c:v>
                </c:pt>
                <c:pt idx="343">
                  <c:v>1.7338802334666115</c:v>
                </c:pt>
                <c:pt idx="344">
                  <c:v>1.707399237097293</c:v>
                </c:pt>
                <c:pt idx="345">
                  <c:v>1.7589388299094628</c:v>
                </c:pt>
                <c:pt idx="346">
                  <c:v>1.7200698561514773</c:v>
                </c:pt>
                <c:pt idx="347">
                  <c:v>1.6952847097752652</c:v>
                </c:pt>
                <c:pt idx="348">
                  <c:v>1.702353049312928</c:v>
                </c:pt>
                <c:pt idx="349">
                  <c:v>1.6994094397720483</c:v>
                </c:pt>
                <c:pt idx="350">
                  <c:v>1.6767268716393215</c:v>
                </c:pt>
                <c:pt idx="351">
                  <c:v>1.689009145640884</c:v>
                </c:pt>
                <c:pt idx="352">
                  <c:v>1.6948894710234843</c:v>
                </c:pt>
                <c:pt idx="353">
                  <c:v>1.6561721586469966</c:v>
                </c:pt>
                <c:pt idx="354">
                  <c:v>1.6179052346155613</c:v>
                </c:pt>
                <c:pt idx="355">
                  <c:v>1.6539156211222943</c:v>
                </c:pt>
                <c:pt idx="356">
                  <c:v>1.6673008869892918</c:v>
                </c:pt>
                <c:pt idx="357">
                  <c:v>1.6436003492807574</c:v>
                </c:pt>
                <c:pt idx="358">
                  <c:v>1.6278160761064386</c:v>
                </c:pt>
                <c:pt idx="359">
                  <c:v>1.5995496116549472</c:v>
                </c:pt>
                <c:pt idx="360">
                  <c:v>1.5777953950089618</c:v>
                </c:pt>
                <c:pt idx="361">
                  <c:v>1.5976285674893147</c:v>
                </c:pt>
                <c:pt idx="362">
                  <c:v>1.5554758950319407</c:v>
                </c:pt>
                <c:pt idx="363">
                  <c:v>1.5295624798933776</c:v>
                </c:pt>
                <c:pt idx="364">
                  <c:v>1.5321820855737855</c:v>
                </c:pt>
                <c:pt idx="365">
                  <c:v>1.5231260627786203</c:v>
                </c:pt>
                <c:pt idx="366">
                  <c:v>1.4782871455489681</c:v>
                </c:pt>
                <c:pt idx="367">
                  <c:v>1.5122776782021232</c:v>
                </c:pt>
                <c:pt idx="368">
                  <c:v>1.4954938186497542</c:v>
                </c:pt>
                <c:pt idx="369">
                  <c:v>1.613114113700078</c:v>
                </c:pt>
                <c:pt idx="370">
                  <c:v>1.6317799531228456</c:v>
                </c:pt>
                <c:pt idx="371">
                  <c:v>1.5651086906567397</c:v>
                </c:pt>
                <c:pt idx="372">
                  <c:v>1.5847695206581185</c:v>
                </c:pt>
                <c:pt idx="373">
                  <c:v>1.5558297715887677</c:v>
                </c:pt>
                <c:pt idx="374">
                  <c:v>1.473569557424514</c:v>
                </c:pt>
                <c:pt idx="375">
                  <c:v>1.5534468495794842</c:v>
                </c:pt>
                <c:pt idx="376">
                  <c:v>1.6138080794154144</c:v>
                </c:pt>
                <c:pt idx="377">
                  <c:v>1.5704604991038191</c:v>
                </c:pt>
                <c:pt idx="378">
                  <c:v>1.5530447171285444</c:v>
                </c:pt>
                <c:pt idx="379">
                  <c:v>1.5288593225791627</c:v>
                </c:pt>
                <c:pt idx="380">
                  <c:v>1.4698331724803528</c:v>
                </c:pt>
                <c:pt idx="381">
                  <c:v>1.4856312330529895</c:v>
                </c:pt>
                <c:pt idx="382">
                  <c:v>1.4858954915207498</c:v>
                </c:pt>
                <c:pt idx="383">
                  <c:v>1.4579185624339353</c:v>
                </c:pt>
                <c:pt idx="384">
                  <c:v>1.4563789696217657</c:v>
                </c:pt>
                <c:pt idx="385">
                  <c:v>1.4727905694195504</c:v>
                </c:pt>
                <c:pt idx="386">
                  <c:v>1.4510110758766488</c:v>
                </c:pt>
                <c:pt idx="387">
                  <c:v>1.4497610184291556</c:v>
                </c:pt>
                <c:pt idx="388">
                  <c:v>1.4466611517073393</c:v>
                </c:pt>
                <c:pt idx="389">
                  <c:v>1.4277930971092421</c:v>
                </c:pt>
                <c:pt idx="390">
                  <c:v>1.4037455765430396</c:v>
                </c:pt>
                <c:pt idx="391">
                  <c:v>1.3999839147019624</c:v>
                </c:pt>
                <c:pt idx="392">
                  <c:v>1.3935773702835608</c:v>
                </c:pt>
                <c:pt idx="393">
                  <c:v>1.373983179374052</c:v>
                </c:pt>
                <c:pt idx="394">
                  <c:v>1.363187646491107</c:v>
                </c:pt>
                <c:pt idx="395">
                  <c:v>1.3759823521301531</c:v>
                </c:pt>
                <c:pt idx="396">
                  <c:v>1.3588331265223585</c:v>
                </c:pt>
                <c:pt idx="397">
                  <c:v>1.3759593731329562</c:v>
                </c:pt>
                <c:pt idx="398">
                  <c:v>1.3379590054690012</c:v>
                </c:pt>
                <c:pt idx="399">
                  <c:v>1.3306930465554483</c:v>
                </c:pt>
                <c:pt idx="400">
                  <c:v>1.3400271152166918</c:v>
                </c:pt>
                <c:pt idx="401">
                  <c:v>1.3557401534997011</c:v>
                </c:pt>
                <c:pt idx="402">
                  <c:v>1.3578105611471114</c:v>
                </c:pt>
                <c:pt idx="403">
                  <c:v>1.3607082126935979</c:v>
                </c:pt>
                <c:pt idx="404">
                  <c:v>1.3415322395330667</c:v>
                </c:pt>
                <c:pt idx="405">
                  <c:v>1.2998000827243898</c:v>
                </c:pt>
                <c:pt idx="406">
                  <c:v>1.2976055884921183</c:v>
                </c:pt>
                <c:pt idx="407">
                  <c:v>1.3334964842134287</c:v>
                </c:pt>
                <c:pt idx="408">
                  <c:v>1.3055471299232499</c:v>
                </c:pt>
                <c:pt idx="409">
                  <c:v>1.3194402316282916</c:v>
                </c:pt>
                <c:pt idx="410">
                  <c:v>1.3515005285169355</c:v>
                </c:pt>
                <c:pt idx="411">
                  <c:v>1.3301070821269358</c:v>
                </c:pt>
                <c:pt idx="412">
                  <c:v>1.2986718139620388</c:v>
                </c:pt>
                <c:pt idx="413">
                  <c:v>1.3067719104738269</c:v>
                </c:pt>
                <c:pt idx="414">
                  <c:v>1.2974148628153868</c:v>
                </c:pt>
                <c:pt idx="415">
                  <c:v>1.2830392021692172</c:v>
                </c:pt>
                <c:pt idx="416">
                  <c:v>1.2505285169355209</c:v>
                </c:pt>
                <c:pt idx="417">
                  <c:v>1.2302012960154418</c:v>
                </c:pt>
                <c:pt idx="418">
                  <c:v>1.2450870903993749</c:v>
                </c:pt>
                <c:pt idx="419">
                  <c:v>1.2491911392986808</c:v>
                </c:pt>
                <c:pt idx="420">
                  <c:v>1.232593409623604</c:v>
                </c:pt>
                <c:pt idx="421">
                  <c:v>1.2428788087687854</c:v>
                </c:pt>
                <c:pt idx="422">
                  <c:v>1.2376258100096511</c:v>
                </c:pt>
                <c:pt idx="423">
                  <c:v>1.234771818557838</c:v>
                </c:pt>
                <c:pt idx="424">
                  <c:v>1.2278390551036353</c:v>
                </c:pt>
                <c:pt idx="425">
                  <c:v>1.2235672595247944</c:v>
                </c:pt>
                <c:pt idx="426">
                  <c:v>1.201040948573004</c:v>
                </c:pt>
                <c:pt idx="427">
                  <c:v>1.1860839192977619</c:v>
                </c:pt>
                <c:pt idx="428">
                  <c:v>1.1875683625166598</c:v>
                </c:pt>
                <c:pt idx="429">
                  <c:v>1.1634725860563444</c:v>
                </c:pt>
                <c:pt idx="430">
                  <c:v>1.1626246610597915</c:v>
                </c:pt>
                <c:pt idx="431">
                  <c:v>1.1505767728296337</c:v>
                </c:pt>
                <c:pt idx="432">
                  <c:v>1.1176111034514453</c:v>
                </c:pt>
                <c:pt idx="433">
                  <c:v>1.1351670573096191</c:v>
                </c:pt>
                <c:pt idx="434">
                  <c:v>1.1293855416149639</c:v>
                </c:pt>
                <c:pt idx="435">
                  <c:v>1.1250287237464955</c:v>
                </c:pt>
                <c:pt idx="436">
                  <c:v>1.0890596994347166</c:v>
                </c:pt>
                <c:pt idx="437">
                  <c:v>1.1190817592720255</c:v>
                </c:pt>
                <c:pt idx="438">
                  <c:v>1.1048393768095959</c:v>
                </c:pt>
                <c:pt idx="439">
                  <c:v>1.0919504572820442</c:v>
                </c:pt>
                <c:pt idx="440">
                  <c:v>1.0709269727469093</c:v>
                </c:pt>
                <c:pt idx="441">
                  <c:v>1.1042763913782803</c:v>
                </c:pt>
                <c:pt idx="442">
                  <c:v>1.1149087733811296</c:v>
                </c:pt>
                <c:pt idx="443">
                  <c:v>1.1049404843972608</c:v>
                </c:pt>
                <c:pt idx="444">
                  <c:v>1.1178179144262146</c:v>
                </c:pt>
                <c:pt idx="445">
                  <c:v>1.1203869663127901</c:v>
                </c:pt>
                <c:pt idx="446">
                  <c:v>1.1165287926834873</c:v>
                </c:pt>
                <c:pt idx="447">
                  <c:v>1.1071395744289718</c:v>
                </c:pt>
                <c:pt idx="448">
                  <c:v>1.0757709453559445</c:v>
                </c:pt>
                <c:pt idx="449">
                  <c:v>1.1027023300703156</c:v>
                </c:pt>
                <c:pt idx="450">
                  <c:v>1.0992439909922329</c:v>
                </c:pt>
                <c:pt idx="451">
                  <c:v>1.1044027758628614</c:v>
                </c:pt>
                <c:pt idx="452">
                  <c:v>1.1046187784365089</c:v>
                </c:pt>
                <c:pt idx="453">
                  <c:v>1.1009720115814146</c:v>
                </c:pt>
                <c:pt idx="454">
                  <c:v>1.0869594190909506</c:v>
                </c:pt>
                <c:pt idx="455">
                  <c:v>1.0722160944896364</c:v>
                </c:pt>
                <c:pt idx="456">
                  <c:v>1.0546969070269774</c:v>
                </c:pt>
                <c:pt idx="457">
                  <c:v>1.0405717174502505</c:v>
                </c:pt>
                <c:pt idx="458">
                  <c:v>1.0196792131991359</c:v>
                </c:pt>
                <c:pt idx="459">
                  <c:v>0.98481088285307217</c:v>
                </c:pt>
                <c:pt idx="460">
                  <c:v>1.0051886575669837</c:v>
                </c:pt>
                <c:pt idx="461">
                  <c:v>1.0251045544372444</c:v>
                </c:pt>
                <c:pt idx="462">
                  <c:v>1.0363045176708487</c:v>
                </c:pt>
                <c:pt idx="463">
                  <c:v>1.0369364400937542</c:v>
                </c:pt>
                <c:pt idx="464">
                  <c:v>1.0025506686888184</c:v>
                </c:pt>
                <c:pt idx="465">
                  <c:v>0.99419320740842865</c:v>
                </c:pt>
                <c:pt idx="466">
                  <c:v>0.99502964290638352</c:v>
                </c:pt>
                <c:pt idx="467">
                  <c:v>0.99758720529436096</c:v>
                </c:pt>
                <c:pt idx="468">
                  <c:v>1.0281239946688725</c:v>
                </c:pt>
                <c:pt idx="469">
                  <c:v>1.0439726090353416</c:v>
                </c:pt>
                <c:pt idx="470">
                  <c:v>1.0282940392481272</c:v>
                </c:pt>
                <c:pt idx="471">
                  <c:v>1.0414265361459625</c:v>
                </c:pt>
                <c:pt idx="472">
                  <c:v>1.0123466151937128</c:v>
                </c:pt>
                <c:pt idx="473">
                  <c:v>1.0135645020451307</c:v>
                </c:pt>
                <c:pt idx="474">
                  <c:v>1.0023047934188152</c:v>
                </c:pt>
                <c:pt idx="475">
                  <c:v>0.99476078863918371</c:v>
                </c:pt>
                <c:pt idx="476">
                  <c:v>0.97330300105703382</c:v>
                </c:pt>
                <c:pt idx="477">
                  <c:v>0.95686612436233287</c:v>
                </c:pt>
                <c:pt idx="478">
                  <c:v>0.92356955742451396</c:v>
                </c:pt>
                <c:pt idx="479">
                  <c:v>0.92478284847649239</c:v>
                </c:pt>
                <c:pt idx="480">
                  <c:v>0.98331035433613678</c:v>
                </c:pt>
                <c:pt idx="481">
                  <c:v>0.97885242888000379</c:v>
                </c:pt>
                <c:pt idx="482">
                  <c:v>0.95157865710740375</c:v>
                </c:pt>
                <c:pt idx="483">
                  <c:v>0.98138241647134505</c:v>
                </c:pt>
                <c:pt idx="484">
                  <c:v>1.0554873845305393</c:v>
                </c:pt>
                <c:pt idx="485">
                  <c:v>1.062266188703525</c:v>
                </c:pt>
                <c:pt idx="486">
                  <c:v>1.0374626591295555</c:v>
                </c:pt>
                <c:pt idx="487">
                  <c:v>1.0426857851923343</c:v>
                </c:pt>
                <c:pt idx="488">
                  <c:v>1.0837170825865159</c:v>
                </c:pt>
                <c:pt idx="489">
                  <c:v>1.0755250700859416</c:v>
                </c:pt>
                <c:pt idx="490">
                  <c:v>1.0768785330208188</c:v>
                </c:pt>
                <c:pt idx="491">
                  <c:v>1.0345466243853119</c:v>
                </c:pt>
                <c:pt idx="492">
                  <c:v>1.0816742497357414</c:v>
                </c:pt>
                <c:pt idx="493">
                  <c:v>1.068254515372949</c:v>
                </c:pt>
                <c:pt idx="494">
                  <c:v>1.0625695114665197</c:v>
                </c:pt>
                <c:pt idx="495">
                  <c:v>1.0199503653660553</c:v>
                </c:pt>
                <c:pt idx="496">
                  <c:v>1.004184475389494</c:v>
                </c:pt>
                <c:pt idx="497">
                  <c:v>0.98061721586469963</c:v>
                </c:pt>
                <c:pt idx="498">
                  <c:v>0.9708028861620478</c:v>
                </c:pt>
                <c:pt idx="499">
                  <c:v>0.99357966818328036</c:v>
                </c:pt>
                <c:pt idx="500">
                  <c:v>0.99343490050094196</c:v>
                </c:pt>
                <c:pt idx="501">
                  <c:v>0.9616066914839837</c:v>
                </c:pt>
                <c:pt idx="502">
                  <c:v>0.99478836343581956</c:v>
                </c:pt>
                <c:pt idx="503">
                  <c:v>0.96449055563215225</c:v>
                </c:pt>
                <c:pt idx="504">
                  <c:v>1.0411186175835285</c:v>
                </c:pt>
                <c:pt idx="505">
                  <c:v>1.0386690564823751</c:v>
                </c:pt>
                <c:pt idx="506">
                  <c:v>1.0544855002527689</c:v>
                </c:pt>
                <c:pt idx="507">
                  <c:v>1.0472402224366928</c:v>
                </c:pt>
                <c:pt idx="508">
                  <c:v>1.0711889333149502</c:v>
                </c:pt>
                <c:pt idx="509">
                  <c:v>1.0157061445838502</c:v>
                </c:pt>
                <c:pt idx="510">
                  <c:v>1.0187485638126752</c:v>
                </c:pt>
                <c:pt idx="511">
                  <c:v>1.0304425754860056</c:v>
                </c:pt>
                <c:pt idx="512">
                  <c:v>1.037138655269084</c:v>
                </c:pt>
                <c:pt idx="513">
                  <c:v>1.0234362792407738</c:v>
                </c:pt>
                <c:pt idx="514">
                  <c:v>1.0288133645847695</c:v>
                </c:pt>
                <c:pt idx="515">
                  <c:v>1.0359506411140218</c:v>
                </c:pt>
                <c:pt idx="516">
                  <c:v>1.0402959694838916</c:v>
                </c:pt>
                <c:pt idx="517">
                  <c:v>1.0327427731053815</c:v>
                </c:pt>
                <c:pt idx="518">
                  <c:v>1.0245530585045268</c:v>
                </c:pt>
                <c:pt idx="519">
                  <c:v>1.0292430718323453</c:v>
                </c:pt>
                <c:pt idx="520">
                  <c:v>1.0425065490142009</c:v>
                </c:pt>
                <c:pt idx="521">
                  <c:v>1</c:v>
                </c:pt>
              </c:numCache>
            </c:numRef>
          </c:val>
          <c:smooth val="0"/>
          <c:extLst>
            <c:ext xmlns:c16="http://schemas.microsoft.com/office/drawing/2014/chart" uri="{C3380CC4-5D6E-409C-BE32-E72D297353CC}">
              <c16:uniqueId val="{00000000-B4DA-4C8C-9EBC-CF1287E2622F}"/>
            </c:ext>
          </c:extLst>
        </c:ser>
        <c:ser>
          <c:idx val="1"/>
          <c:order val="1"/>
          <c:tx>
            <c:strRef>
              <c:f>CORRELATION!$AS$2</c:f>
              <c:strCache>
                <c:ptCount val="1"/>
                <c:pt idx="0">
                  <c:v>kospi100</c:v>
                </c:pt>
              </c:strCache>
            </c:strRef>
          </c:tx>
          <c:spPr>
            <a:ln w="28575" cap="rnd">
              <a:solidFill>
                <a:schemeClr val="accent2"/>
              </a:solidFill>
              <a:round/>
            </a:ln>
            <a:effectLst/>
          </c:spPr>
          <c:marker>
            <c:symbol val="none"/>
          </c:marker>
          <c:cat>
            <c:numRef>
              <c:f>CORRELATION!$AO$3:$AO$524</c:f>
              <c:numCache>
                <c:formatCode>m/d/yyyy</c:formatCode>
                <c:ptCount val="522"/>
                <c:pt idx="0">
                  <c:v>45757</c:v>
                </c:pt>
                <c:pt idx="1">
                  <c:v>45751</c:v>
                </c:pt>
                <c:pt idx="2">
                  <c:v>45744</c:v>
                </c:pt>
                <c:pt idx="3">
                  <c:v>45737</c:v>
                </c:pt>
                <c:pt idx="4">
                  <c:v>45730</c:v>
                </c:pt>
                <c:pt idx="5">
                  <c:v>45723</c:v>
                </c:pt>
                <c:pt idx="6">
                  <c:v>45716</c:v>
                </c:pt>
                <c:pt idx="7">
                  <c:v>45709</c:v>
                </c:pt>
                <c:pt idx="8">
                  <c:v>45702</c:v>
                </c:pt>
                <c:pt idx="9">
                  <c:v>45695</c:v>
                </c:pt>
                <c:pt idx="10">
                  <c:v>45688</c:v>
                </c:pt>
                <c:pt idx="11">
                  <c:v>45681</c:v>
                </c:pt>
                <c:pt idx="12">
                  <c:v>45674</c:v>
                </c:pt>
                <c:pt idx="13">
                  <c:v>45667</c:v>
                </c:pt>
                <c:pt idx="14">
                  <c:v>45660</c:v>
                </c:pt>
                <c:pt idx="15">
                  <c:v>45653</c:v>
                </c:pt>
                <c:pt idx="16">
                  <c:v>45646</c:v>
                </c:pt>
                <c:pt idx="17">
                  <c:v>45639</c:v>
                </c:pt>
                <c:pt idx="18">
                  <c:v>45632</c:v>
                </c:pt>
                <c:pt idx="19">
                  <c:v>45625</c:v>
                </c:pt>
                <c:pt idx="20">
                  <c:v>45618</c:v>
                </c:pt>
                <c:pt idx="21">
                  <c:v>45611</c:v>
                </c:pt>
                <c:pt idx="22">
                  <c:v>45604</c:v>
                </c:pt>
                <c:pt idx="23">
                  <c:v>45597</c:v>
                </c:pt>
                <c:pt idx="24">
                  <c:v>45590</c:v>
                </c:pt>
                <c:pt idx="25">
                  <c:v>45583</c:v>
                </c:pt>
                <c:pt idx="26">
                  <c:v>45576</c:v>
                </c:pt>
                <c:pt idx="27">
                  <c:v>45569</c:v>
                </c:pt>
                <c:pt idx="28">
                  <c:v>45562</c:v>
                </c:pt>
                <c:pt idx="29">
                  <c:v>45555</c:v>
                </c:pt>
                <c:pt idx="30">
                  <c:v>45548</c:v>
                </c:pt>
                <c:pt idx="31">
                  <c:v>45541</c:v>
                </c:pt>
                <c:pt idx="32">
                  <c:v>45534</c:v>
                </c:pt>
                <c:pt idx="33">
                  <c:v>45527</c:v>
                </c:pt>
                <c:pt idx="34">
                  <c:v>45520</c:v>
                </c:pt>
                <c:pt idx="35">
                  <c:v>45513</c:v>
                </c:pt>
                <c:pt idx="36">
                  <c:v>45506</c:v>
                </c:pt>
                <c:pt idx="37">
                  <c:v>45499</c:v>
                </c:pt>
                <c:pt idx="38">
                  <c:v>45492</c:v>
                </c:pt>
                <c:pt idx="39">
                  <c:v>45485</c:v>
                </c:pt>
                <c:pt idx="40">
                  <c:v>45478</c:v>
                </c:pt>
                <c:pt idx="41">
                  <c:v>45471</c:v>
                </c:pt>
                <c:pt idx="42">
                  <c:v>45464</c:v>
                </c:pt>
                <c:pt idx="43">
                  <c:v>45457</c:v>
                </c:pt>
                <c:pt idx="44">
                  <c:v>45450</c:v>
                </c:pt>
                <c:pt idx="45">
                  <c:v>45443</c:v>
                </c:pt>
                <c:pt idx="46">
                  <c:v>45436</c:v>
                </c:pt>
                <c:pt idx="47">
                  <c:v>45429</c:v>
                </c:pt>
                <c:pt idx="48">
                  <c:v>45422</c:v>
                </c:pt>
                <c:pt idx="49">
                  <c:v>45415</c:v>
                </c:pt>
                <c:pt idx="50">
                  <c:v>45408</c:v>
                </c:pt>
                <c:pt idx="51">
                  <c:v>45401</c:v>
                </c:pt>
                <c:pt idx="52">
                  <c:v>45394</c:v>
                </c:pt>
                <c:pt idx="53">
                  <c:v>45387</c:v>
                </c:pt>
                <c:pt idx="54">
                  <c:v>45380</c:v>
                </c:pt>
                <c:pt idx="55">
                  <c:v>45373</c:v>
                </c:pt>
                <c:pt idx="56">
                  <c:v>45366</c:v>
                </c:pt>
                <c:pt idx="57">
                  <c:v>45359</c:v>
                </c:pt>
                <c:pt idx="58">
                  <c:v>45352</c:v>
                </c:pt>
                <c:pt idx="59">
                  <c:v>45345</c:v>
                </c:pt>
                <c:pt idx="60">
                  <c:v>45338</c:v>
                </c:pt>
                <c:pt idx="61">
                  <c:v>45331</c:v>
                </c:pt>
                <c:pt idx="62">
                  <c:v>45324</c:v>
                </c:pt>
                <c:pt idx="63">
                  <c:v>45317</c:v>
                </c:pt>
                <c:pt idx="64">
                  <c:v>45310</c:v>
                </c:pt>
                <c:pt idx="65">
                  <c:v>45303</c:v>
                </c:pt>
                <c:pt idx="66">
                  <c:v>45296</c:v>
                </c:pt>
                <c:pt idx="67">
                  <c:v>45289</c:v>
                </c:pt>
                <c:pt idx="68">
                  <c:v>45282</c:v>
                </c:pt>
                <c:pt idx="69">
                  <c:v>45275</c:v>
                </c:pt>
                <c:pt idx="70">
                  <c:v>45268</c:v>
                </c:pt>
                <c:pt idx="71">
                  <c:v>45261</c:v>
                </c:pt>
                <c:pt idx="72">
                  <c:v>45254</c:v>
                </c:pt>
                <c:pt idx="73">
                  <c:v>45247</c:v>
                </c:pt>
                <c:pt idx="74">
                  <c:v>45240</c:v>
                </c:pt>
                <c:pt idx="75">
                  <c:v>45233</c:v>
                </c:pt>
                <c:pt idx="76">
                  <c:v>45226</c:v>
                </c:pt>
                <c:pt idx="77">
                  <c:v>45219</c:v>
                </c:pt>
                <c:pt idx="78">
                  <c:v>45212</c:v>
                </c:pt>
                <c:pt idx="79">
                  <c:v>45205</c:v>
                </c:pt>
                <c:pt idx="80">
                  <c:v>45198</c:v>
                </c:pt>
                <c:pt idx="81">
                  <c:v>45191</c:v>
                </c:pt>
                <c:pt idx="82">
                  <c:v>45184</c:v>
                </c:pt>
                <c:pt idx="83">
                  <c:v>45177</c:v>
                </c:pt>
                <c:pt idx="84">
                  <c:v>45170</c:v>
                </c:pt>
                <c:pt idx="85">
                  <c:v>45163</c:v>
                </c:pt>
                <c:pt idx="86">
                  <c:v>45156</c:v>
                </c:pt>
                <c:pt idx="87">
                  <c:v>45149</c:v>
                </c:pt>
                <c:pt idx="88">
                  <c:v>45142</c:v>
                </c:pt>
                <c:pt idx="89">
                  <c:v>45135</c:v>
                </c:pt>
                <c:pt idx="90">
                  <c:v>45128</c:v>
                </c:pt>
                <c:pt idx="91">
                  <c:v>45121</c:v>
                </c:pt>
                <c:pt idx="92">
                  <c:v>45114</c:v>
                </c:pt>
                <c:pt idx="93">
                  <c:v>45107</c:v>
                </c:pt>
                <c:pt idx="94">
                  <c:v>45100</c:v>
                </c:pt>
                <c:pt idx="95">
                  <c:v>45093</c:v>
                </c:pt>
                <c:pt idx="96">
                  <c:v>45086</c:v>
                </c:pt>
                <c:pt idx="97">
                  <c:v>45079</c:v>
                </c:pt>
                <c:pt idx="98">
                  <c:v>45072</c:v>
                </c:pt>
                <c:pt idx="99">
                  <c:v>45065</c:v>
                </c:pt>
                <c:pt idx="100">
                  <c:v>45058</c:v>
                </c:pt>
                <c:pt idx="101">
                  <c:v>45051</c:v>
                </c:pt>
                <c:pt idx="102">
                  <c:v>45044</c:v>
                </c:pt>
                <c:pt idx="103">
                  <c:v>45037</c:v>
                </c:pt>
                <c:pt idx="104">
                  <c:v>45030</c:v>
                </c:pt>
                <c:pt idx="105">
                  <c:v>45023</c:v>
                </c:pt>
                <c:pt idx="106">
                  <c:v>45016</c:v>
                </c:pt>
                <c:pt idx="107">
                  <c:v>45009</c:v>
                </c:pt>
                <c:pt idx="108">
                  <c:v>45002</c:v>
                </c:pt>
                <c:pt idx="109">
                  <c:v>44995</c:v>
                </c:pt>
                <c:pt idx="110">
                  <c:v>44988</c:v>
                </c:pt>
                <c:pt idx="111">
                  <c:v>44981</c:v>
                </c:pt>
                <c:pt idx="112">
                  <c:v>44974</c:v>
                </c:pt>
                <c:pt idx="113">
                  <c:v>44967</c:v>
                </c:pt>
                <c:pt idx="114">
                  <c:v>44960</c:v>
                </c:pt>
                <c:pt idx="115">
                  <c:v>44953</c:v>
                </c:pt>
                <c:pt idx="116">
                  <c:v>44946</c:v>
                </c:pt>
                <c:pt idx="117">
                  <c:v>44939</c:v>
                </c:pt>
                <c:pt idx="118">
                  <c:v>44932</c:v>
                </c:pt>
                <c:pt idx="119">
                  <c:v>44925</c:v>
                </c:pt>
                <c:pt idx="120">
                  <c:v>44918</c:v>
                </c:pt>
                <c:pt idx="121">
                  <c:v>44911</c:v>
                </c:pt>
                <c:pt idx="122">
                  <c:v>44904</c:v>
                </c:pt>
                <c:pt idx="123">
                  <c:v>44897</c:v>
                </c:pt>
                <c:pt idx="124">
                  <c:v>44890</c:v>
                </c:pt>
                <c:pt idx="125">
                  <c:v>44883</c:v>
                </c:pt>
                <c:pt idx="126">
                  <c:v>44876</c:v>
                </c:pt>
                <c:pt idx="127">
                  <c:v>44869</c:v>
                </c:pt>
                <c:pt idx="128">
                  <c:v>44862</c:v>
                </c:pt>
                <c:pt idx="129">
                  <c:v>44855</c:v>
                </c:pt>
                <c:pt idx="130">
                  <c:v>44848</c:v>
                </c:pt>
                <c:pt idx="131">
                  <c:v>44841</c:v>
                </c:pt>
                <c:pt idx="132">
                  <c:v>44834</c:v>
                </c:pt>
                <c:pt idx="133">
                  <c:v>44827</c:v>
                </c:pt>
                <c:pt idx="134">
                  <c:v>44820</c:v>
                </c:pt>
                <c:pt idx="135">
                  <c:v>44813</c:v>
                </c:pt>
                <c:pt idx="136">
                  <c:v>44806</c:v>
                </c:pt>
                <c:pt idx="137">
                  <c:v>44799</c:v>
                </c:pt>
                <c:pt idx="138">
                  <c:v>44792</c:v>
                </c:pt>
                <c:pt idx="139">
                  <c:v>44785</c:v>
                </c:pt>
                <c:pt idx="140">
                  <c:v>44778</c:v>
                </c:pt>
                <c:pt idx="141">
                  <c:v>44771</c:v>
                </c:pt>
                <c:pt idx="142">
                  <c:v>44764</c:v>
                </c:pt>
                <c:pt idx="143">
                  <c:v>44757</c:v>
                </c:pt>
                <c:pt idx="144">
                  <c:v>44750</c:v>
                </c:pt>
                <c:pt idx="145">
                  <c:v>44743</c:v>
                </c:pt>
                <c:pt idx="146">
                  <c:v>44736</c:v>
                </c:pt>
                <c:pt idx="147">
                  <c:v>44729</c:v>
                </c:pt>
                <c:pt idx="148">
                  <c:v>44722</c:v>
                </c:pt>
                <c:pt idx="149">
                  <c:v>44715</c:v>
                </c:pt>
                <c:pt idx="150">
                  <c:v>44708</c:v>
                </c:pt>
                <c:pt idx="151">
                  <c:v>44701</c:v>
                </c:pt>
                <c:pt idx="152">
                  <c:v>44694</c:v>
                </c:pt>
                <c:pt idx="153">
                  <c:v>44687</c:v>
                </c:pt>
                <c:pt idx="154">
                  <c:v>44680</c:v>
                </c:pt>
                <c:pt idx="155">
                  <c:v>44673</c:v>
                </c:pt>
                <c:pt idx="156">
                  <c:v>44666</c:v>
                </c:pt>
                <c:pt idx="157">
                  <c:v>44659</c:v>
                </c:pt>
                <c:pt idx="158">
                  <c:v>44652</c:v>
                </c:pt>
                <c:pt idx="159">
                  <c:v>44645</c:v>
                </c:pt>
                <c:pt idx="160">
                  <c:v>44638</c:v>
                </c:pt>
                <c:pt idx="161">
                  <c:v>44631</c:v>
                </c:pt>
                <c:pt idx="162">
                  <c:v>44624</c:v>
                </c:pt>
                <c:pt idx="163">
                  <c:v>44617</c:v>
                </c:pt>
                <c:pt idx="164">
                  <c:v>44610</c:v>
                </c:pt>
                <c:pt idx="165">
                  <c:v>44603</c:v>
                </c:pt>
                <c:pt idx="166">
                  <c:v>44596</c:v>
                </c:pt>
                <c:pt idx="167">
                  <c:v>44589</c:v>
                </c:pt>
                <c:pt idx="168">
                  <c:v>44582</c:v>
                </c:pt>
                <c:pt idx="169">
                  <c:v>44575</c:v>
                </c:pt>
                <c:pt idx="170">
                  <c:v>44568</c:v>
                </c:pt>
                <c:pt idx="171">
                  <c:v>44561</c:v>
                </c:pt>
                <c:pt idx="172">
                  <c:v>44554</c:v>
                </c:pt>
                <c:pt idx="173">
                  <c:v>44547</c:v>
                </c:pt>
                <c:pt idx="174">
                  <c:v>44540</c:v>
                </c:pt>
                <c:pt idx="175">
                  <c:v>44533</c:v>
                </c:pt>
                <c:pt idx="176">
                  <c:v>44526</c:v>
                </c:pt>
                <c:pt idx="177">
                  <c:v>44519</c:v>
                </c:pt>
                <c:pt idx="178">
                  <c:v>44512</c:v>
                </c:pt>
                <c:pt idx="179">
                  <c:v>44505</c:v>
                </c:pt>
                <c:pt idx="180">
                  <c:v>44498</c:v>
                </c:pt>
                <c:pt idx="181">
                  <c:v>44491</c:v>
                </c:pt>
                <c:pt idx="182">
                  <c:v>44484</c:v>
                </c:pt>
                <c:pt idx="183">
                  <c:v>44477</c:v>
                </c:pt>
                <c:pt idx="184">
                  <c:v>44470</c:v>
                </c:pt>
                <c:pt idx="185">
                  <c:v>44463</c:v>
                </c:pt>
                <c:pt idx="186">
                  <c:v>44456</c:v>
                </c:pt>
                <c:pt idx="187">
                  <c:v>44449</c:v>
                </c:pt>
                <c:pt idx="188">
                  <c:v>44442</c:v>
                </c:pt>
                <c:pt idx="189">
                  <c:v>44435</c:v>
                </c:pt>
                <c:pt idx="190">
                  <c:v>44428</c:v>
                </c:pt>
                <c:pt idx="191">
                  <c:v>44421</c:v>
                </c:pt>
                <c:pt idx="192">
                  <c:v>44414</c:v>
                </c:pt>
                <c:pt idx="193">
                  <c:v>44407</c:v>
                </c:pt>
                <c:pt idx="194">
                  <c:v>44400</c:v>
                </c:pt>
                <c:pt idx="195">
                  <c:v>44393</c:v>
                </c:pt>
                <c:pt idx="196">
                  <c:v>44386</c:v>
                </c:pt>
                <c:pt idx="197">
                  <c:v>44379</c:v>
                </c:pt>
                <c:pt idx="198">
                  <c:v>44372</c:v>
                </c:pt>
                <c:pt idx="199">
                  <c:v>44365</c:v>
                </c:pt>
                <c:pt idx="200">
                  <c:v>44358</c:v>
                </c:pt>
                <c:pt idx="201">
                  <c:v>44351</c:v>
                </c:pt>
                <c:pt idx="202">
                  <c:v>44344</c:v>
                </c:pt>
                <c:pt idx="203">
                  <c:v>44337</c:v>
                </c:pt>
                <c:pt idx="204">
                  <c:v>44330</c:v>
                </c:pt>
                <c:pt idx="205">
                  <c:v>44323</c:v>
                </c:pt>
                <c:pt idx="206">
                  <c:v>44316</c:v>
                </c:pt>
                <c:pt idx="207">
                  <c:v>44309</c:v>
                </c:pt>
                <c:pt idx="208">
                  <c:v>44302</c:v>
                </c:pt>
                <c:pt idx="209">
                  <c:v>44295</c:v>
                </c:pt>
                <c:pt idx="210">
                  <c:v>44288</c:v>
                </c:pt>
                <c:pt idx="211">
                  <c:v>44281</c:v>
                </c:pt>
                <c:pt idx="212">
                  <c:v>44274</c:v>
                </c:pt>
                <c:pt idx="213">
                  <c:v>44267</c:v>
                </c:pt>
                <c:pt idx="214">
                  <c:v>44260</c:v>
                </c:pt>
                <c:pt idx="215">
                  <c:v>44253</c:v>
                </c:pt>
                <c:pt idx="216">
                  <c:v>44246</c:v>
                </c:pt>
                <c:pt idx="217">
                  <c:v>44239</c:v>
                </c:pt>
                <c:pt idx="218">
                  <c:v>44232</c:v>
                </c:pt>
                <c:pt idx="219">
                  <c:v>44225</c:v>
                </c:pt>
                <c:pt idx="220">
                  <c:v>44218</c:v>
                </c:pt>
                <c:pt idx="221">
                  <c:v>44211</c:v>
                </c:pt>
                <c:pt idx="222">
                  <c:v>44204</c:v>
                </c:pt>
                <c:pt idx="223">
                  <c:v>44197</c:v>
                </c:pt>
                <c:pt idx="224">
                  <c:v>44190</c:v>
                </c:pt>
                <c:pt idx="225">
                  <c:v>44183</c:v>
                </c:pt>
                <c:pt idx="226">
                  <c:v>44176</c:v>
                </c:pt>
                <c:pt idx="227">
                  <c:v>44169</c:v>
                </c:pt>
                <c:pt idx="228">
                  <c:v>44162</c:v>
                </c:pt>
                <c:pt idx="229">
                  <c:v>44155</c:v>
                </c:pt>
                <c:pt idx="230">
                  <c:v>44148</c:v>
                </c:pt>
                <c:pt idx="231">
                  <c:v>44141</c:v>
                </c:pt>
                <c:pt idx="232">
                  <c:v>44134</c:v>
                </c:pt>
                <c:pt idx="233">
                  <c:v>44127</c:v>
                </c:pt>
                <c:pt idx="234">
                  <c:v>44120</c:v>
                </c:pt>
                <c:pt idx="235">
                  <c:v>44113</c:v>
                </c:pt>
                <c:pt idx="236">
                  <c:v>44106</c:v>
                </c:pt>
                <c:pt idx="237">
                  <c:v>44099</c:v>
                </c:pt>
                <c:pt idx="238">
                  <c:v>44092</c:v>
                </c:pt>
                <c:pt idx="239">
                  <c:v>44085</c:v>
                </c:pt>
                <c:pt idx="240">
                  <c:v>44078</c:v>
                </c:pt>
                <c:pt idx="241">
                  <c:v>44071</c:v>
                </c:pt>
                <c:pt idx="242">
                  <c:v>44064</c:v>
                </c:pt>
                <c:pt idx="243">
                  <c:v>44057</c:v>
                </c:pt>
                <c:pt idx="244">
                  <c:v>44050</c:v>
                </c:pt>
                <c:pt idx="245">
                  <c:v>44043</c:v>
                </c:pt>
                <c:pt idx="246">
                  <c:v>44036</c:v>
                </c:pt>
                <c:pt idx="247">
                  <c:v>44029</c:v>
                </c:pt>
                <c:pt idx="248">
                  <c:v>44022</c:v>
                </c:pt>
                <c:pt idx="249">
                  <c:v>44015</c:v>
                </c:pt>
                <c:pt idx="250">
                  <c:v>44008</c:v>
                </c:pt>
                <c:pt idx="251">
                  <c:v>44001</c:v>
                </c:pt>
                <c:pt idx="252">
                  <c:v>43994</c:v>
                </c:pt>
                <c:pt idx="253">
                  <c:v>43987</c:v>
                </c:pt>
                <c:pt idx="254">
                  <c:v>43980</c:v>
                </c:pt>
                <c:pt idx="255">
                  <c:v>43973</c:v>
                </c:pt>
                <c:pt idx="256">
                  <c:v>43966</c:v>
                </c:pt>
                <c:pt idx="257">
                  <c:v>43959</c:v>
                </c:pt>
                <c:pt idx="258">
                  <c:v>43952</c:v>
                </c:pt>
                <c:pt idx="259">
                  <c:v>43945</c:v>
                </c:pt>
                <c:pt idx="260">
                  <c:v>43938</c:v>
                </c:pt>
                <c:pt idx="261">
                  <c:v>43931</c:v>
                </c:pt>
                <c:pt idx="262">
                  <c:v>43924</c:v>
                </c:pt>
                <c:pt idx="263">
                  <c:v>43917</c:v>
                </c:pt>
                <c:pt idx="264">
                  <c:v>43910</c:v>
                </c:pt>
                <c:pt idx="265">
                  <c:v>43903</c:v>
                </c:pt>
                <c:pt idx="266">
                  <c:v>43896</c:v>
                </c:pt>
                <c:pt idx="267">
                  <c:v>43889</c:v>
                </c:pt>
                <c:pt idx="268">
                  <c:v>43882</c:v>
                </c:pt>
                <c:pt idx="269">
                  <c:v>43875</c:v>
                </c:pt>
                <c:pt idx="270">
                  <c:v>43868</c:v>
                </c:pt>
                <c:pt idx="271">
                  <c:v>43861</c:v>
                </c:pt>
                <c:pt idx="272">
                  <c:v>43854</c:v>
                </c:pt>
                <c:pt idx="273">
                  <c:v>43847</c:v>
                </c:pt>
                <c:pt idx="274">
                  <c:v>43840</c:v>
                </c:pt>
                <c:pt idx="275">
                  <c:v>43833</c:v>
                </c:pt>
                <c:pt idx="276">
                  <c:v>43826</c:v>
                </c:pt>
                <c:pt idx="277">
                  <c:v>43819</c:v>
                </c:pt>
                <c:pt idx="278">
                  <c:v>43812</c:v>
                </c:pt>
                <c:pt idx="279">
                  <c:v>43805</c:v>
                </c:pt>
                <c:pt idx="280">
                  <c:v>43798</c:v>
                </c:pt>
                <c:pt idx="281">
                  <c:v>43791</c:v>
                </c:pt>
                <c:pt idx="282">
                  <c:v>43784</c:v>
                </c:pt>
                <c:pt idx="283">
                  <c:v>43777</c:v>
                </c:pt>
                <c:pt idx="284">
                  <c:v>43770</c:v>
                </c:pt>
                <c:pt idx="285">
                  <c:v>43763</c:v>
                </c:pt>
                <c:pt idx="286">
                  <c:v>43756</c:v>
                </c:pt>
                <c:pt idx="287">
                  <c:v>43749</c:v>
                </c:pt>
                <c:pt idx="288">
                  <c:v>43742</c:v>
                </c:pt>
                <c:pt idx="289">
                  <c:v>43735</c:v>
                </c:pt>
                <c:pt idx="290">
                  <c:v>43728</c:v>
                </c:pt>
                <c:pt idx="291">
                  <c:v>43721</c:v>
                </c:pt>
                <c:pt idx="292">
                  <c:v>43714</c:v>
                </c:pt>
                <c:pt idx="293">
                  <c:v>43707</c:v>
                </c:pt>
                <c:pt idx="294">
                  <c:v>43700</c:v>
                </c:pt>
                <c:pt idx="295">
                  <c:v>43693</c:v>
                </c:pt>
                <c:pt idx="296">
                  <c:v>43686</c:v>
                </c:pt>
                <c:pt idx="297">
                  <c:v>43679</c:v>
                </c:pt>
                <c:pt idx="298">
                  <c:v>43672</c:v>
                </c:pt>
                <c:pt idx="299">
                  <c:v>43665</c:v>
                </c:pt>
                <c:pt idx="300">
                  <c:v>43658</c:v>
                </c:pt>
                <c:pt idx="301">
                  <c:v>43651</c:v>
                </c:pt>
                <c:pt idx="302">
                  <c:v>43644</c:v>
                </c:pt>
                <c:pt idx="303">
                  <c:v>43637</c:v>
                </c:pt>
                <c:pt idx="304">
                  <c:v>43630</c:v>
                </c:pt>
                <c:pt idx="305">
                  <c:v>43623</c:v>
                </c:pt>
                <c:pt idx="306">
                  <c:v>43616</c:v>
                </c:pt>
                <c:pt idx="307">
                  <c:v>43609</c:v>
                </c:pt>
                <c:pt idx="308">
                  <c:v>43602</c:v>
                </c:pt>
                <c:pt idx="309">
                  <c:v>43595</c:v>
                </c:pt>
                <c:pt idx="310">
                  <c:v>43588</c:v>
                </c:pt>
                <c:pt idx="311">
                  <c:v>43581</c:v>
                </c:pt>
                <c:pt idx="312">
                  <c:v>43574</c:v>
                </c:pt>
                <c:pt idx="313">
                  <c:v>43567</c:v>
                </c:pt>
                <c:pt idx="314">
                  <c:v>43560</c:v>
                </c:pt>
                <c:pt idx="315">
                  <c:v>43553</c:v>
                </c:pt>
                <c:pt idx="316">
                  <c:v>43546</c:v>
                </c:pt>
                <c:pt idx="317">
                  <c:v>43539</c:v>
                </c:pt>
                <c:pt idx="318">
                  <c:v>43532</c:v>
                </c:pt>
                <c:pt idx="319">
                  <c:v>43525</c:v>
                </c:pt>
                <c:pt idx="320">
                  <c:v>43518</c:v>
                </c:pt>
                <c:pt idx="321">
                  <c:v>43511</c:v>
                </c:pt>
                <c:pt idx="322">
                  <c:v>43504</c:v>
                </c:pt>
                <c:pt idx="323">
                  <c:v>43497</c:v>
                </c:pt>
                <c:pt idx="324">
                  <c:v>43490</c:v>
                </c:pt>
                <c:pt idx="325">
                  <c:v>43483</c:v>
                </c:pt>
                <c:pt idx="326">
                  <c:v>43476</c:v>
                </c:pt>
                <c:pt idx="327">
                  <c:v>43469</c:v>
                </c:pt>
                <c:pt idx="328">
                  <c:v>43462</c:v>
                </c:pt>
                <c:pt idx="329">
                  <c:v>43455</c:v>
                </c:pt>
                <c:pt idx="330">
                  <c:v>43448</c:v>
                </c:pt>
                <c:pt idx="331">
                  <c:v>43441</c:v>
                </c:pt>
                <c:pt idx="332">
                  <c:v>43434</c:v>
                </c:pt>
                <c:pt idx="333">
                  <c:v>43427</c:v>
                </c:pt>
                <c:pt idx="334">
                  <c:v>43420</c:v>
                </c:pt>
                <c:pt idx="335">
                  <c:v>43413</c:v>
                </c:pt>
                <c:pt idx="336">
                  <c:v>43406</c:v>
                </c:pt>
                <c:pt idx="337">
                  <c:v>43399</c:v>
                </c:pt>
                <c:pt idx="338">
                  <c:v>43392</c:v>
                </c:pt>
                <c:pt idx="339">
                  <c:v>43385</c:v>
                </c:pt>
                <c:pt idx="340">
                  <c:v>43378</c:v>
                </c:pt>
                <c:pt idx="341">
                  <c:v>43371</c:v>
                </c:pt>
                <c:pt idx="342">
                  <c:v>43364</c:v>
                </c:pt>
                <c:pt idx="343">
                  <c:v>43357</c:v>
                </c:pt>
                <c:pt idx="344">
                  <c:v>43350</c:v>
                </c:pt>
                <c:pt idx="345">
                  <c:v>43343</c:v>
                </c:pt>
                <c:pt idx="346">
                  <c:v>43336</c:v>
                </c:pt>
                <c:pt idx="347">
                  <c:v>43329</c:v>
                </c:pt>
                <c:pt idx="348">
                  <c:v>43322</c:v>
                </c:pt>
                <c:pt idx="349">
                  <c:v>43315</c:v>
                </c:pt>
                <c:pt idx="350">
                  <c:v>43308</c:v>
                </c:pt>
                <c:pt idx="351">
                  <c:v>43301</c:v>
                </c:pt>
                <c:pt idx="352">
                  <c:v>43294</c:v>
                </c:pt>
                <c:pt idx="353">
                  <c:v>43287</c:v>
                </c:pt>
                <c:pt idx="354">
                  <c:v>43280</c:v>
                </c:pt>
                <c:pt idx="355">
                  <c:v>43273</c:v>
                </c:pt>
                <c:pt idx="356">
                  <c:v>43266</c:v>
                </c:pt>
                <c:pt idx="357">
                  <c:v>43259</c:v>
                </c:pt>
                <c:pt idx="358">
                  <c:v>43252</c:v>
                </c:pt>
                <c:pt idx="359">
                  <c:v>43245</c:v>
                </c:pt>
                <c:pt idx="360">
                  <c:v>43238</c:v>
                </c:pt>
                <c:pt idx="361">
                  <c:v>43231</c:v>
                </c:pt>
                <c:pt idx="362">
                  <c:v>43224</c:v>
                </c:pt>
                <c:pt idx="363">
                  <c:v>43217</c:v>
                </c:pt>
                <c:pt idx="364">
                  <c:v>43210</c:v>
                </c:pt>
                <c:pt idx="365">
                  <c:v>43203</c:v>
                </c:pt>
                <c:pt idx="366">
                  <c:v>43196</c:v>
                </c:pt>
                <c:pt idx="367">
                  <c:v>43189</c:v>
                </c:pt>
                <c:pt idx="368">
                  <c:v>43182</c:v>
                </c:pt>
                <c:pt idx="369">
                  <c:v>43175</c:v>
                </c:pt>
                <c:pt idx="370">
                  <c:v>43168</c:v>
                </c:pt>
                <c:pt idx="371">
                  <c:v>43161</c:v>
                </c:pt>
                <c:pt idx="372">
                  <c:v>43154</c:v>
                </c:pt>
                <c:pt idx="373">
                  <c:v>43147</c:v>
                </c:pt>
                <c:pt idx="374">
                  <c:v>43140</c:v>
                </c:pt>
                <c:pt idx="375">
                  <c:v>43133</c:v>
                </c:pt>
                <c:pt idx="376">
                  <c:v>43126</c:v>
                </c:pt>
                <c:pt idx="377">
                  <c:v>43119</c:v>
                </c:pt>
                <c:pt idx="378">
                  <c:v>43112</c:v>
                </c:pt>
                <c:pt idx="379">
                  <c:v>43105</c:v>
                </c:pt>
                <c:pt idx="380">
                  <c:v>43098</c:v>
                </c:pt>
                <c:pt idx="381">
                  <c:v>43091</c:v>
                </c:pt>
                <c:pt idx="382">
                  <c:v>43084</c:v>
                </c:pt>
                <c:pt idx="383">
                  <c:v>43077</c:v>
                </c:pt>
                <c:pt idx="384">
                  <c:v>43070</c:v>
                </c:pt>
                <c:pt idx="385">
                  <c:v>43063</c:v>
                </c:pt>
                <c:pt idx="386">
                  <c:v>43056</c:v>
                </c:pt>
                <c:pt idx="387">
                  <c:v>43049</c:v>
                </c:pt>
                <c:pt idx="388">
                  <c:v>43042</c:v>
                </c:pt>
                <c:pt idx="389">
                  <c:v>43035</c:v>
                </c:pt>
                <c:pt idx="390">
                  <c:v>43028</c:v>
                </c:pt>
                <c:pt idx="391">
                  <c:v>43021</c:v>
                </c:pt>
                <c:pt idx="392">
                  <c:v>43014</c:v>
                </c:pt>
                <c:pt idx="393">
                  <c:v>43007</c:v>
                </c:pt>
                <c:pt idx="394">
                  <c:v>43000</c:v>
                </c:pt>
                <c:pt idx="395">
                  <c:v>42993</c:v>
                </c:pt>
                <c:pt idx="396">
                  <c:v>42986</c:v>
                </c:pt>
                <c:pt idx="397">
                  <c:v>42979</c:v>
                </c:pt>
                <c:pt idx="398">
                  <c:v>42972</c:v>
                </c:pt>
                <c:pt idx="399">
                  <c:v>42965</c:v>
                </c:pt>
                <c:pt idx="400">
                  <c:v>42958</c:v>
                </c:pt>
                <c:pt idx="401">
                  <c:v>42951</c:v>
                </c:pt>
                <c:pt idx="402">
                  <c:v>42944</c:v>
                </c:pt>
                <c:pt idx="403">
                  <c:v>42937</c:v>
                </c:pt>
                <c:pt idx="404">
                  <c:v>42930</c:v>
                </c:pt>
                <c:pt idx="405">
                  <c:v>42923</c:v>
                </c:pt>
                <c:pt idx="406">
                  <c:v>42916</c:v>
                </c:pt>
                <c:pt idx="407">
                  <c:v>42909</c:v>
                </c:pt>
                <c:pt idx="408">
                  <c:v>42902</c:v>
                </c:pt>
                <c:pt idx="409">
                  <c:v>42895</c:v>
                </c:pt>
                <c:pt idx="410">
                  <c:v>42888</c:v>
                </c:pt>
                <c:pt idx="411">
                  <c:v>42881</c:v>
                </c:pt>
                <c:pt idx="412">
                  <c:v>42874</c:v>
                </c:pt>
                <c:pt idx="413">
                  <c:v>42867</c:v>
                </c:pt>
                <c:pt idx="414">
                  <c:v>42860</c:v>
                </c:pt>
                <c:pt idx="415">
                  <c:v>42853</c:v>
                </c:pt>
                <c:pt idx="416">
                  <c:v>42846</c:v>
                </c:pt>
                <c:pt idx="417">
                  <c:v>42839</c:v>
                </c:pt>
                <c:pt idx="418">
                  <c:v>42832</c:v>
                </c:pt>
                <c:pt idx="419">
                  <c:v>42825</c:v>
                </c:pt>
                <c:pt idx="420">
                  <c:v>42818</c:v>
                </c:pt>
                <c:pt idx="421">
                  <c:v>42811</c:v>
                </c:pt>
                <c:pt idx="422">
                  <c:v>42804</c:v>
                </c:pt>
                <c:pt idx="423">
                  <c:v>42797</c:v>
                </c:pt>
                <c:pt idx="424">
                  <c:v>42790</c:v>
                </c:pt>
                <c:pt idx="425">
                  <c:v>42783</c:v>
                </c:pt>
                <c:pt idx="426">
                  <c:v>42776</c:v>
                </c:pt>
                <c:pt idx="427">
                  <c:v>42769</c:v>
                </c:pt>
                <c:pt idx="428">
                  <c:v>42762</c:v>
                </c:pt>
                <c:pt idx="429">
                  <c:v>42755</c:v>
                </c:pt>
                <c:pt idx="430">
                  <c:v>42748</c:v>
                </c:pt>
                <c:pt idx="431">
                  <c:v>42741</c:v>
                </c:pt>
                <c:pt idx="432">
                  <c:v>42734</c:v>
                </c:pt>
                <c:pt idx="433">
                  <c:v>42727</c:v>
                </c:pt>
                <c:pt idx="434">
                  <c:v>42720</c:v>
                </c:pt>
                <c:pt idx="435">
                  <c:v>42713</c:v>
                </c:pt>
                <c:pt idx="436">
                  <c:v>42706</c:v>
                </c:pt>
                <c:pt idx="437">
                  <c:v>42699</c:v>
                </c:pt>
                <c:pt idx="438">
                  <c:v>42692</c:v>
                </c:pt>
                <c:pt idx="439">
                  <c:v>42685</c:v>
                </c:pt>
                <c:pt idx="440">
                  <c:v>42678</c:v>
                </c:pt>
                <c:pt idx="441">
                  <c:v>42671</c:v>
                </c:pt>
                <c:pt idx="442">
                  <c:v>42664</c:v>
                </c:pt>
                <c:pt idx="443">
                  <c:v>42657</c:v>
                </c:pt>
                <c:pt idx="444">
                  <c:v>42650</c:v>
                </c:pt>
                <c:pt idx="445">
                  <c:v>42643</c:v>
                </c:pt>
                <c:pt idx="446">
                  <c:v>42636</c:v>
                </c:pt>
                <c:pt idx="447">
                  <c:v>42629</c:v>
                </c:pt>
                <c:pt idx="448">
                  <c:v>42622</c:v>
                </c:pt>
                <c:pt idx="449">
                  <c:v>42615</c:v>
                </c:pt>
                <c:pt idx="450">
                  <c:v>42608</c:v>
                </c:pt>
                <c:pt idx="451">
                  <c:v>42601</c:v>
                </c:pt>
                <c:pt idx="452">
                  <c:v>42594</c:v>
                </c:pt>
                <c:pt idx="453">
                  <c:v>42587</c:v>
                </c:pt>
                <c:pt idx="454">
                  <c:v>42580</c:v>
                </c:pt>
                <c:pt idx="455">
                  <c:v>42573</c:v>
                </c:pt>
                <c:pt idx="456">
                  <c:v>42566</c:v>
                </c:pt>
                <c:pt idx="457">
                  <c:v>42559</c:v>
                </c:pt>
                <c:pt idx="458">
                  <c:v>42552</c:v>
                </c:pt>
                <c:pt idx="459">
                  <c:v>42545</c:v>
                </c:pt>
                <c:pt idx="460">
                  <c:v>42538</c:v>
                </c:pt>
                <c:pt idx="461">
                  <c:v>42531</c:v>
                </c:pt>
                <c:pt idx="462">
                  <c:v>42524</c:v>
                </c:pt>
                <c:pt idx="463">
                  <c:v>42517</c:v>
                </c:pt>
                <c:pt idx="464">
                  <c:v>42510</c:v>
                </c:pt>
                <c:pt idx="465">
                  <c:v>42503</c:v>
                </c:pt>
                <c:pt idx="466">
                  <c:v>42496</c:v>
                </c:pt>
                <c:pt idx="467">
                  <c:v>42489</c:v>
                </c:pt>
                <c:pt idx="468">
                  <c:v>42482</c:v>
                </c:pt>
                <c:pt idx="469">
                  <c:v>42475</c:v>
                </c:pt>
                <c:pt idx="470">
                  <c:v>42468</c:v>
                </c:pt>
                <c:pt idx="471">
                  <c:v>42461</c:v>
                </c:pt>
                <c:pt idx="472">
                  <c:v>42454</c:v>
                </c:pt>
                <c:pt idx="473">
                  <c:v>42447</c:v>
                </c:pt>
                <c:pt idx="474">
                  <c:v>42440</c:v>
                </c:pt>
                <c:pt idx="475">
                  <c:v>42433</c:v>
                </c:pt>
                <c:pt idx="476">
                  <c:v>42426</c:v>
                </c:pt>
                <c:pt idx="477">
                  <c:v>42419</c:v>
                </c:pt>
                <c:pt idx="478">
                  <c:v>42412</c:v>
                </c:pt>
                <c:pt idx="479">
                  <c:v>42405</c:v>
                </c:pt>
                <c:pt idx="480">
                  <c:v>42398</c:v>
                </c:pt>
                <c:pt idx="481">
                  <c:v>42391</c:v>
                </c:pt>
                <c:pt idx="482">
                  <c:v>42384</c:v>
                </c:pt>
                <c:pt idx="483">
                  <c:v>42377</c:v>
                </c:pt>
                <c:pt idx="484">
                  <c:v>42370</c:v>
                </c:pt>
                <c:pt idx="485">
                  <c:v>42363</c:v>
                </c:pt>
                <c:pt idx="486">
                  <c:v>42356</c:v>
                </c:pt>
                <c:pt idx="487">
                  <c:v>42349</c:v>
                </c:pt>
                <c:pt idx="488">
                  <c:v>42342</c:v>
                </c:pt>
                <c:pt idx="489">
                  <c:v>42335</c:v>
                </c:pt>
                <c:pt idx="490">
                  <c:v>42328</c:v>
                </c:pt>
                <c:pt idx="491">
                  <c:v>42321</c:v>
                </c:pt>
                <c:pt idx="492">
                  <c:v>42314</c:v>
                </c:pt>
                <c:pt idx="493">
                  <c:v>42307</c:v>
                </c:pt>
                <c:pt idx="494">
                  <c:v>42300</c:v>
                </c:pt>
                <c:pt idx="495">
                  <c:v>42293</c:v>
                </c:pt>
                <c:pt idx="496">
                  <c:v>42286</c:v>
                </c:pt>
                <c:pt idx="497">
                  <c:v>42279</c:v>
                </c:pt>
                <c:pt idx="498">
                  <c:v>42272</c:v>
                </c:pt>
                <c:pt idx="499">
                  <c:v>42265</c:v>
                </c:pt>
                <c:pt idx="500">
                  <c:v>42258</c:v>
                </c:pt>
                <c:pt idx="501">
                  <c:v>42251</c:v>
                </c:pt>
                <c:pt idx="502">
                  <c:v>42244</c:v>
                </c:pt>
                <c:pt idx="503">
                  <c:v>42237</c:v>
                </c:pt>
                <c:pt idx="504">
                  <c:v>42230</c:v>
                </c:pt>
                <c:pt idx="505">
                  <c:v>42223</c:v>
                </c:pt>
                <c:pt idx="506">
                  <c:v>42216</c:v>
                </c:pt>
                <c:pt idx="507">
                  <c:v>42209</c:v>
                </c:pt>
                <c:pt idx="508">
                  <c:v>42202</c:v>
                </c:pt>
                <c:pt idx="509">
                  <c:v>42195</c:v>
                </c:pt>
                <c:pt idx="510">
                  <c:v>42188</c:v>
                </c:pt>
                <c:pt idx="511">
                  <c:v>42181</c:v>
                </c:pt>
                <c:pt idx="512">
                  <c:v>42174</c:v>
                </c:pt>
                <c:pt idx="513">
                  <c:v>42167</c:v>
                </c:pt>
                <c:pt idx="514">
                  <c:v>42160</c:v>
                </c:pt>
                <c:pt idx="515">
                  <c:v>42153</c:v>
                </c:pt>
                <c:pt idx="516">
                  <c:v>42146</c:v>
                </c:pt>
                <c:pt idx="517">
                  <c:v>42139</c:v>
                </c:pt>
                <c:pt idx="518">
                  <c:v>42132</c:v>
                </c:pt>
                <c:pt idx="519">
                  <c:v>42125</c:v>
                </c:pt>
                <c:pt idx="520">
                  <c:v>42118</c:v>
                </c:pt>
                <c:pt idx="521">
                  <c:v>42111</c:v>
                </c:pt>
              </c:numCache>
            </c:numRef>
          </c:cat>
          <c:val>
            <c:numRef>
              <c:f>CORRELATION!$AS$3:$AS$524</c:f>
              <c:numCache>
                <c:formatCode>General</c:formatCode>
                <c:ptCount val="522"/>
                <c:pt idx="0">
                  <c:v>1.2496097058253319</c:v>
                </c:pt>
                <c:pt idx="1">
                  <c:v>1.2624511494546087</c:v>
                </c:pt>
                <c:pt idx="2">
                  <c:v>1.3199595930736814</c:v>
                </c:pt>
                <c:pt idx="3">
                  <c:v>1.3671265165352082</c:v>
                </c:pt>
                <c:pt idx="4">
                  <c:v>1.3068324439047783</c:v>
                </c:pt>
                <c:pt idx="5">
                  <c:v>1.2981082211769028</c:v>
                </c:pt>
                <c:pt idx="6">
                  <c:v>1.2831443935389732</c:v>
                </c:pt>
                <c:pt idx="7">
                  <c:v>1.3525657377835374</c:v>
                </c:pt>
                <c:pt idx="8">
                  <c:v>1.3175361978714937</c:v>
                </c:pt>
                <c:pt idx="9">
                  <c:v>1.2846851626991012</c:v>
                </c:pt>
                <c:pt idx="10">
                  <c:v>1.2828688917686193</c:v>
                </c:pt>
                <c:pt idx="11">
                  <c:v>1.2956338071283533</c:v>
                </c:pt>
                <c:pt idx="12">
                  <c:v>1.289215636256033</c:v>
                </c:pt>
                <c:pt idx="13">
                  <c:v>1.2886034100996908</c:v>
                </c:pt>
                <c:pt idx="14">
                  <c:v>1.2464108241584442</c:v>
                </c:pt>
                <c:pt idx="15">
                  <c:v>1.2273399793883861</c:v>
                </c:pt>
                <c:pt idx="16">
                  <c:v>1.223079905717172</c:v>
                </c:pt>
                <c:pt idx="17">
                  <c:v>1.2713947532218404</c:v>
                </c:pt>
                <c:pt idx="18">
                  <c:v>1.2414926073691623</c:v>
                </c:pt>
                <c:pt idx="19">
                  <c:v>1.2534616287256513</c:v>
                </c:pt>
                <c:pt idx="20">
                  <c:v>1.2807822209524198</c:v>
                </c:pt>
                <c:pt idx="21">
                  <c:v>1.2320337132536761</c:v>
                </c:pt>
                <c:pt idx="22">
                  <c:v>1.3054753425915533</c:v>
                </c:pt>
                <c:pt idx="23">
                  <c:v>1.2971031499035746</c:v>
                </c:pt>
                <c:pt idx="24">
                  <c:v>1.3229033805087598</c:v>
                </c:pt>
                <c:pt idx="25">
                  <c:v>1.3285052498392906</c:v>
                </c:pt>
                <c:pt idx="26">
                  <c:v>1.3291276797649052</c:v>
                </c:pt>
                <c:pt idx="27">
                  <c:v>1.3129291960450191</c:v>
                </c:pt>
                <c:pt idx="28">
                  <c:v>1.3608920135097904</c:v>
                </c:pt>
                <c:pt idx="29">
                  <c:v>1.3245921043233371</c:v>
                </c:pt>
                <c:pt idx="30">
                  <c:v>1.3213983245410854</c:v>
                </c:pt>
                <c:pt idx="31">
                  <c:v>1.3177504770262134</c:v>
                </c:pt>
                <c:pt idx="32">
                  <c:v>1.3889166658163528</c:v>
                </c:pt>
                <c:pt idx="33">
                  <c:v>1.4130179688376887</c:v>
                </c:pt>
                <c:pt idx="34">
                  <c:v>1.4168188728916462</c:v>
                </c:pt>
                <c:pt idx="35">
                  <c:v>1.3479434303031541</c:v>
                </c:pt>
                <c:pt idx="36">
                  <c:v>1.4011152719814699</c:v>
                </c:pt>
                <c:pt idx="37">
                  <c:v>1.4356142158913503</c:v>
                </c:pt>
                <c:pt idx="38">
                  <c:v>1.4732151056600309</c:v>
                </c:pt>
                <c:pt idx="39">
                  <c:v>1.5075099741844638</c:v>
                </c:pt>
                <c:pt idx="40">
                  <c:v>1.5224584961684848</c:v>
                </c:pt>
                <c:pt idx="41">
                  <c:v>1.4742150750487231</c:v>
                </c:pt>
                <c:pt idx="42">
                  <c:v>1.4618889217677009</c:v>
                </c:pt>
                <c:pt idx="43">
                  <c:v>1.4427313449588279</c:v>
                </c:pt>
                <c:pt idx="44">
                  <c:v>1.4253237145801658</c:v>
                </c:pt>
                <c:pt idx="45">
                  <c:v>1.3689836025427793</c:v>
                </c:pt>
                <c:pt idx="46">
                  <c:v>1.4025131883717847</c:v>
                </c:pt>
                <c:pt idx="47">
                  <c:v>1.4215687274879341</c:v>
                </c:pt>
                <c:pt idx="48">
                  <c:v>1.4235023417650481</c:v>
                </c:pt>
                <c:pt idx="49">
                  <c:v>1.3955031988816669</c:v>
                </c:pt>
                <c:pt idx="50">
                  <c:v>1.3870493760395088</c:v>
                </c:pt>
                <c:pt idx="51">
                  <c:v>1.3535504015183208</c:v>
                </c:pt>
                <c:pt idx="52">
                  <c:v>1.4118190259481853</c:v>
                </c:pt>
                <c:pt idx="53">
                  <c:v>1.4301603012152688</c:v>
                </c:pt>
                <c:pt idx="54">
                  <c:v>1.445471057008459</c:v>
                </c:pt>
                <c:pt idx="55">
                  <c:v>1.4393538973296736</c:v>
                </c:pt>
                <c:pt idx="56">
                  <c:v>1.3903502953991205</c:v>
                </c:pt>
                <c:pt idx="57">
                  <c:v>1.3994214462822565</c:v>
                </c:pt>
                <c:pt idx="58">
                  <c:v>1.3746926114506699</c:v>
                </c:pt>
                <c:pt idx="59">
                  <c:v>1.3848861769537668</c:v>
                </c:pt>
                <c:pt idx="60">
                  <c:v>1.373090619674908</c:v>
                </c:pt>
                <c:pt idx="61">
                  <c:v>1.3628613409793577</c:v>
                </c:pt>
                <c:pt idx="62">
                  <c:v>1.3629429711335366</c:v>
                </c:pt>
                <c:pt idx="63">
                  <c:v>1.2862361356285013</c:v>
                </c:pt>
                <c:pt idx="64">
                  <c:v>1.2811597604154976</c:v>
                </c:pt>
                <c:pt idx="65">
                  <c:v>1.3017764762303194</c:v>
                </c:pt>
                <c:pt idx="66">
                  <c:v>1.336719284103548</c:v>
                </c:pt>
                <c:pt idx="67">
                  <c:v>1.3783914778119037</c:v>
                </c:pt>
                <c:pt idx="68">
                  <c:v>1.3428262400130608</c:v>
                </c:pt>
                <c:pt idx="69">
                  <c:v>1.3239900819362673</c:v>
                </c:pt>
                <c:pt idx="70">
                  <c:v>1.2937103966205117</c:v>
                </c:pt>
                <c:pt idx="71">
                  <c:v>1.2866238788608513</c:v>
                </c:pt>
                <c:pt idx="72">
                  <c:v>1.2838637592726754</c:v>
                </c:pt>
                <c:pt idx="73">
                  <c:v>1.2780118975949717</c:v>
                </c:pt>
                <c:pt idx="74">
                  <c:v>1.2449312776139505</c:v>
                </c:pt>
                <c:pt idx="75">
                  <c:v>1.2244268032611245</c:v>
                </c:pt>
                <c:pt idx="76">
                  <c:v>1.186876932338806</c:v>
                </c:pt>
                <c:pt idx="77">
                  <c:v>1.224518637184576</c:v>
                </c:pt>
                <c:pt idx="78">
                  <c:v>1.2534820362641961</c:v>
                </c:pt>
                <c:pt idx="79">
                  <c:v>1.2260849157678846</c:v>
                </c:pt>
                <c:pt idx="80">
                  <c:v>1.2550279073089599</c:v>
                </c:pt>
                <c:pt idx="81">
                  <c:v>1.2758384947399568</c:v>
                </c:pt>
                <c:pt idx="82">
                  <c:v>1.3268828505249839</c:v>
                </c:pt>
                <c:pt idx="83">
                  <c:v>1.2930369478485353</c:v>
                </c:pt>
                <c:pt idx="84">
                  <c:v>1.3010826199197982</c:v>
                </c:pt>
                <c:pt idx="85">
                  <c:v>1.2700274481393428</c:v>
                </c:pt>
                <c:pt idx="86">
                  <c:v>1.2624001306082469</c:v>
                </c:pt>
                <c:pt idx="87">
                  <c:v>1.3020519780006734</c:v>
                </c:pt>
                <c:pt idx="88">
                  <c:v>1.3123322755425855</c:v>
                </c:pt>
                <c:pt idx="89">
                  <c:v>1.3258318622899299</c:v>
                </c:pt>
                <c:pt idx="90">
                  <c:v>1.3176025223717642</c:v>
                </c:pt>
                <c:pt idx="91">
                  <c:v>1.3347703641725255</c:v>
                </c:pt>
                <c:pt idx="92">
                  <c:v>1.2750681101598931</c:v>
                </c:pt>
                <c:pt idx="93">
                  <c:v>1.2987714661796068</c:v>
                </c:pt>
                <c:pt idx="94">
                  <c:v>1.3009652765731661</c:v>
                </c:pt>
                <c:pt idx="95">
                  <c:v>1.3280052651449445</c:v>
                </c:pt>
                <c:pt idx="96">
                  <c:v>1.3343111945552688</c:v>
                </c:pt>
                <c:pt idx="97">
                  <c:v>1.3200208156893158</c:v>
                </c:pt>
                <c:pt idx="98">
                  <c:v>1.2982918890238055</c:v>
                </c:pt>
                <c:pt idx="99">
                  <c:v>1.2854249359713479</c:v>
                </c:pt>
                <c:pt idx="100">
                  <c:v>1.24225789006459</c:v>
                </c:pt>
                <c:pt idx="101">
                  <c:v>1.2525534932604103</c:v>
                </c:pt>
                <c:pt idx="102">
                  <c:v>1.2546707753844271</c:v>
                </c:pt>
                <c:pt idx="103">
                  <c:v>1.2700019387161618</c:v>
                </c:pt>
                <c:pt idx="104">
                  <c:v>1.2813230207238553</c:v>
                </c:pt>
                <c:pt idx="105">
                  <c:v>1.2416813771007009</c:v>
                </c:pt>
                <c:pt idx="106">
                  <c:v>1.2362529718478006</c:v>
                </c:pt>
                <c:pt idx="107">
                  <c:v>1.2097231717396406</c:v>
                </c:pt>
                <c:pt idx="108">
                  <c:v>1.2000806097772518</c:v>
                </c:pt>
                <c:pt idx="109">
                  <c:v>1.1922441149760721</c:v>
                </c:pt>
                <c:pt idx="110">
                  <c:v>1.2133455098313317</c:v>
                </c:pt>
                <c:pt idx="111">
                  <c:v>1.2165801046906728</c:v>
                </c:pt>
                <c:pt idx="112">
                  <c:v>1.2329520524881892</c:v>
                </c:pt>
                <c:pt idx="113">
                  <c:v>1.2451149454608532</c:v>
                </c:pt>
                <c:pt idx="114">
                  <c:v>1.2536708059957349</c:v>
                </c:pt>
                <c:pt idx="115">
                  <c:v>1.2622419721845251</c:v>
                </c:pt>
                <c:pt idx="116">
                  <c:v>1.211865963286838</c:v>
                </c:pt>
                <c:pt idx="117">
                  <c:v>1.2052947358754322</c:v>
                </c:pt>
                <c:pt idx="118">
                  <c:v>1.1597757211513933</c:v>
                </c:pt>
                <c:pt idx="119">
                  <c:v>1.1145373100823444</c:v>
                </c:pt>
                <c:pt idx="120">
                  <c:v>1.1579441445670031</c:v>
                </c:pt>
                <c:pt idx="121">
                  <c:v>1.1797495995020562</c:v>
                </c:pt>
                <c:pt idx="122">
                  <c:v>1.1966725508402805</c:v>
                </c:pt>
                <c:pt idx="123">
                  <c:v>1.2096772547779149</c:v>
                </c:pt>
                <c:pt idx="124">
                  <c:v>1.2135240757935981</c:v>
                </c:pt>
                <c:pt idx="125">
                  <c:v>1.2188198320459578</c:v>
                </c:pt>
                <c:pt idx="126">
                  <c:v>1.2444670061120577</c:v>
                </c:pt>
                <c:pt idx="127">
                  <c:v>1.1706784486189199</c:v>
                </c:pt>
                <c:pt idx="128">
                  <c:v>1.1350877013968961</c:v>
                </c:pt>
                <c:pt idx="129">
                  <c:v>1.110297643949675</c:v>
                </c:pt>
                <c:pt idx="130">
                  <c:v>1.1135679520014694</c:v>
                </c:pt>
                <c:pt idx="131">
                  <c:v>1.115521973817128</c:v>
                </c:pt>
                <c:pt idx="132">
                  <c:v>1.0804005999816333</c:v>
                </c:pt>
                <c:pt idx="133">
                  <c:v>1.1410977214983216</c:v>
                </c:pt>
                <c:pt idx="134">
                  <c:v>1.1829382773996715</c:v>
                </c:pt>
                <c:pt idx="135">
                  <c:v>1.1834535677479261</c:v>
                </c:pt>
                <c:pt idx="136">
                  <c:v>1.1983867840780384</c:v>
                </c:pt>
                <c:pt idx="137">
                  <c:v>1.2397273552850423</c:v>
                </c:pt>
                <c:pt idx="138">
                  <c:v>1.2534667306102873</c:v>
                </c:pt>
                <c:pt idx="139">
                  <c:v>1.2685989204412111</c:v>
                </c:pt>
                <c:pt idx="140">
                  <c:v>1.2589461547095497</c:v>
                </c:pt>
                <c:pt idx="141">
                  <c:v>1.2421609542565024</c:v>
                </c:pt>
                <c:pt idx="142">
                  <c:v>1.2212177178249646</c:v>
                </c:pt>
                <c:pt idx="143">
                  <c:v>1.1865249022989093</c:v>
                </c:pt>
                <c:pt idx="144">
                  <c:v>1.1925706355927881</c:v>
                </c:pt>
                <c:pt idx="145">
                  <c:v>1.1655255451363735</c:v>
                </c:pt>
                <c:pt idx="146">
                  <c:v>1.1999173494688937</c:v>
                </c:pt>
                <c:pt idx="147">
                  <c:v>1.2280746507759965</c:v>
                </c:pt>
                <c:pt idx="148">
                  <c:v>1.3086538167198964</c:v>
                </c:pt>
                <c:pt idx="149">
                  <c:v>1.3484689244206809</c:v>
                </c:pt>
                <c:pt idx="150">
                  <c:v>1.3344795567482628</c:v>
                </c:pt>
                <c:pt idx="151">
                  <c:v>1.3408314031203128</c:v>
                </c:pt>
                <c:pt idx="152">
                  <c:v>1.3262349111761884</c:v>
                </c:pt>
                <c:pt idx="153">
                  <c:v>1.3362448088323826</c:v>
                </c:pt>
                <c:pt idx="154">
                  <c:v>1.3607542626246134</c:v>
                </c:pt>
                <c:pt idx="155">
                  <c:v>1.3605961042008918</c:v>
                </c:pt>
                <c:pt idx="156">
                  <c:v>1.3549024009469099</c:v>
                </c:pt>
                <c:pt idx="157">
                  <c:v>1.3650347438343726</c:v>
                </c:pt>
                <c:pt idx="158">
                  <c:v>1.3934420374886483</c:v>
                </c:pt>
                <c:pt idx="159">
                  <c:v>1.3902482577063966</c:v>
                </c:pt>
                <c:pt idx="160">
                  <c:v>1.3926257359468588</c:v>
                </c:pt>
                <c:pt idx="161">
                  <c:v>1.3635092803281532</c:v>
                </c:pt>
                <c:pt idx="162">
                  <c:v>1.3893095109333389</c:v>
                </c:pt>
                <c:pt idx="163">
                  <c:v>1.378564941889534</c:v>
                </c:pt>
                <c:pt idx="164">
                  <c:v>1.4215330142954807</c:v>
                </c:pt>
                <c:pt idx="165">
                  <c:v>1.4222115649520932</c:v>
                </c:pt>
                <c:pt idx="166">
                  <c:v>1.4125690029897042</c:v>
                </c:pt>
                <c:pt idx="167">
                  <c:v>1.3822842157893127</c:v>
                </c:pt>
                <c:pt idx="168">
                  <c:v>1.4492413497545993</c:v>
                </c:pt>
                <c:pt idx="169">
                  <c:v>1.4918063732742877</c:v>
                </c:pt>
                <c:pt idx="170">
                  <c:v>1.5041478322092181</c:v>
                </c:pt>
                <c:pt idx="171">
                  <c:v>1.5185963694988929</c:v>
                </c:pt>
                <c:pt idx="172">
                  <c:v>1.5444731283736213</c:v>
                </c:pt>
                <c:pt idx="173">
                  <c:v>1.5389477873126332</c:v>
                </c:pt>
                <c:pt idx="174">
                  <c:v>1.5342846647551607</c:v>
                </c:pt>
                <c:pt idx="175">
                  <c:v>1.5114894442006879</c:v>
                </c:pt>
                <c:pt idx="176">
                  <c:v>1.4829546034305072</c:v>
                </c:pt>
                <c:pt idx="177">
                  <c:v>1.5038417191310469</c:v>
                </c:pt>
                <c:pt idx="178">
                  <c:v>1.5030356213585299</c:v>
                </c:pt>
                <c:pt idx="179">
                  <c:v>1.5007958940032449</c:v>
                </c:pt>
                <c:pt idx="180">
                  <c:v>1.4930206218176993</c:v>
                </c:pt>
                <c:pt idx="181">
                  <c:v>1.5116935195861352</c:v>
                </c:pt>
                <c:pt idx="182">
                  <c:v>1.5088160566513269</c:v>
                </c:pt>
                <c:pt idx="183">
                  <c:v>1.4870922318704529</c:v>
                </c:pt>
                <c:pt idx="184">
                  <c:v>1.5145964919441242</c:v>
                </c:pt>
                <c:pt idx="185">
                  <c:v>1.5712427170596819</c:v>
                </c:pt>
                <c:pt idx="186">
                  <c:v>1.5757578849627052</c:v>
                </c:pt>
                <c:pt idx="187">
                  <c:v>1.5688805444731284</c:v>
                </c:pt>
                <c:pt idx="188">
                  <c:v>1.6149097476607861</c:v>
                </c:pt>
                <c:pt idx="189">
                  <c:v>1.58053835086681</c:v>
                </c:pt>
                <c:pt idx="190">
                  <c:v>1.5495188922788079</c:v>
                </c:pt>
                <c:pt idx="191">
                  <c:v>1.6049508688509537</c:v>
                </c:pt>
                <c:pt idx="192">
                  <c:v>1.6694590981908717</c:v>
                </c:pt>
                <c:pt idx="193">
                  <c:v>1.6324704345785332</c:v>
                </c:pt>
                <c:pt idx="194">
                  <c:v>1.6639031458220668</c:v>
                </c:pt>
                <c:pt idx="195">
                  <c:v>1.6781425058416581</c:v>
                </c:pt>
                <c:pt idx="196">
                  <c:v>1.6517708641572197</c:v>
                </c:pt>
                <c:pt idx="197">
                  <c:v>1.6818209646643469</c:v>
                </c:pt>
                <c:pt idx="198">
                  <c:v>1.7005091680866913</c:v>
                </c:pt>
                <c:pt idx="199">
                  <c:v>1.679412875116068</c:v>
                </c:pt>
                <c:pt idx="200">
                  <c:v>1.6700968337703948</c:v>
                </c:pt>
                <c:pt idx="201">
                  <c:v>1.665290858443109</c:v>
                </c:pt>
                <c:pt idx="202">
                  <c:v>1.6423987020805486</c:v>
                </c:pt>
                <c:pt idx="203">
                  <c:v>1.6310725181882189</c:v>
                </c:pt>
                <c:pt idx="204">
                  <c:v>1.6235115251573931</c:v>
                </c:pt>
                <c:pt idx="205">
                  <c:v>1.6591481893411428</c:v>
                </c:pt>
                <c:pt idx="206">
                  <c:v>1.6353376937440691</c:v>
                </c:pt>
                <c:pt idx="207">
                  <c:v>1.6607705886554494</c:v>
                </c:pt>
                <c:pt idx="208">
                  <c:v>1.6809638480454681</c:v>
                </c:pt>
                <c:pt idx="209">
                  <c:v>1.6494444047631196</c:v>
                </c:pt>
                <c:pt idx="210">
                  <c:v>1.6492862463393978</c:v>
                </c:pt>
                <c:pt idx="211">
                  <c:v>1.6032672469210127</c:v>
                </c:pt>
                <c:pt idx="212">
                  <c:v>1.6082517882105649</c:v>
                </c:pt>
                <c:pt idx="213">
                  <c:v>1.6244349662765425</c:v>
                </c:pt>
                <c:pt idx="214">
                  <c:v>1.6071701886676939</c:v>
                </c:pt>
                <c:pt idx="215">
                  <c:v>1.5981398528616471</c:v>
                </c:pt>
                <c:pt idx="216">
                  <c:v>1.6431894941991572</c:v>
                </c:pt>
                <c:pt idx="217">
                  <c:v>1.638097813332245</c:v>
                </c:pt>
                <c:pt idx="218">
                  <c:v>1.6539952858585962</c:v>
                </c:pt>
                <c:pt idx="219">
                  <c:v>1.5796710304786588</c:v>
                </c:pt>
                <c:pt idx="220">
                  <c:v>1.6663265410242543</c:v>
                </c:pt>
                <c:pt idx="221">
                  <c:v>1.6411232309215023</c:v>
                </c:pt>
                <c:pt idx="222">
                  <c:v>1.6805403916206647</c:v>
                </c:pt>
                <c:pt idx="223">
                  <c:v>1.5173311021091191</c:v>
                </c:pt>
                <c:pt idx="224">
                  <c:v>1.4794292011469037</c:v>
                </c:pt>
                <c:pt idx="225">
                  <c:v>1.4479046559799191</c:v>
                </c:pt>
                <c:pt idx="226">
                  <c:v>1.4542411966980604</c:v>
                </c:pt>
                <c:pt idx="227">
                  <c:v>1.4388641164046001</c:v>
                </c:pt>
                <c:pt idx="228">
                  <c:v>1.3769935614215891</c:v>
                </c:pt>
                <c:pt idx="229">
                  <c:v>1.3284593328775651</c:v>
                </c:pt>
                <c:pt idx="230">
                  <c:v>1.2982459720620798</c:v>
                </c:pt>
                <c:pt idx="231">
                  <c:v>1.2581757701294858</c:v>
                </c:pt>
                <c:pt idx="232">
                  <c:v>1.1779231248023021</c:v>
                </c:pt>
                <c:pt idx="233">
                  <c:v>1.229217472934502</c:v>
                </c:pt>
                <c:pt idx="234">
                  <c:v>1.2183351530055204</c:v>
                </c:pt>
                <c:pt idx="235">
                  <c:v>1.2399314306704898</c:v>
                </c:pt>
                <c:pt idx="236">
                  <c:v>1.2092895115455651</c:v>
                </c:pt>
                <c:pt idx="237">
                  <c:v>1.1865606154913626</c:v>
                </c:pt>
                <c:pt idx="238">
                  <c:v>1.243339489607461</c:v>
                </c:pt>
                <c:pt idx="239">
                  <c:v>1.2353907533442854</c:v>
                </c:pt>
                <c:pt idx="240">
                  <c:v>1.2193708355866657</c:v>
                </c:pt>
                <c:pt idx="241">
                  <c:v>1.2246921012622063</c:v>
                </c:pt>
                <c:pt idx="242">
                  <c:v>1.19875922165648</c:v>
                </c:pt>
                <c:pt idx="243">
                  <c:v>1.2499260226727753</c:v>
                </c:pt>
                <c:pt idx="244">
                  <c:v>1.223824780874055</c:v>
                </c:pt>
                <c:pt idx="245">
                  <c:v>1.1694897094986889</c:v>
                </c:pt>
                <c:pt idx="246">
                  <c:v>1.1364754140179383</c:v>
                </c:pt>
                <c:pt idx="247">
                  <c:v>1.1451537197840884</c:v>
                </c:pt>
                <c:pt idx="248">
                  <c:v>1.1205728396069508</c:v>
                </c:pt>
                <c:pt idx="249">
                  <c:v>1.12298092915523</c:v>
                </c:pt>
                <c:pt idx="250">
                  <c:v>1.1133893860392028</c:v>
                </c:pt>
                <c:pt idx="251">
                  <c:v>1.1124659449200536</c:v>
                </c:pt>
                <c:pt idx="252">
                  <c:v>1.1056447251614747</c:v>
                </c:pt>
                <c:pt idx="253">
                  <c:v>1.1395059334918318</c:v>
                </c:pt>
                <c:pt idx="254">
                  <c:v>1.0519984082119935</c:v>
                </c:pt>
                <c:pt idx="255">
                  <c:v>1.016800506106956</c:v>
                </c:pt>
                <c:pt idx="256">
                  <c:v>0.99368386682040355</c:v>
                </c:pt>
                <c:pt idx="257">
                  <c:v>1.0058467597930676</c:v>
                </c:pt>
                <c:pt idx="258">
                  <c:v>1.0117190290093161</c:v>
                </c:pt>
                <c:pt idx="259">
                  <c:v>0.98067406099813281</c:v>
                </c:pt>
                <c:pt idx="260">
                  <c:v>0.99989796230727623</c:v>
                </c:pt>
                <c:pt idx="261">
                  <c:v>0.97264879646541436</c:v>
                </c:pt>
                <c:pt idx="262">
                  <c:v>0.9093905288613614</c:v>
                </c:pt>
                <c:pt idx="263">
                  <c:v>0.92094119567768329</c:v>
                </c:pt>
                <c:pt idx="264">
                  <c:v>0.84128036896829694</c:v>
                </c:pt>
                <c:pt idx="265">
                  <c:v>0.94791996163382752</c:v>
                </c:pt>
                <c:pt idx="266">
                  <c:v>1.0811862902156057</c:v>
                </c:pt>
                <c:pt idx="267">
                  <c:v>1.053666724488026</c:v>
                </c:pt>
                <c:pt idx="268">
                  <c:v>1.1507300796914381</c:v>
                </c:pt>
                <c:pt idx="269">
                  <c:v>1.1909788475862984</c:v>
                </c:pt>
                <c:pt idx="270">
                  <c:v>1.1716018897380691</c:v>
                </c:pt>
                <c:pt idx="271">
                  <c:v>1.1168892788996256</c:v>
                </c:pt>
                <c:pt idx="272">
                  <c:v>1.1854790159484914</c:v>
                </c:pt>
                <c:pt idx="273">
                  <c:v>1.1889942144628225</c:v>
                </c:pt>
                <c:pt idx="274">
                  <c:v>1.1644745569013195</c:v>
                </c:pt>
                <c:pt idx="275">
                  <c:v>1.1380008775241575</c:v>
                </c:pt>
                <c:pt idx="276">
                  <c:v>1.1561482811750661</c:v>
                </c:pt>
                <c:pt idx="277">
                  <c:v>1.1571278430252134</c:v>
                </c:pt>
                <c:pt idx="278">
                  <c:v>1.1359550217850474</c:v>
                </c:pt>
                <c:pt idx="279">
                  <c:v>1.0808852790220707</c:v>
                </c:pt>
                <c:pt idx="280">
                  <c:v>1.0808546677142536</c:v>
                </c:pt>
                <c:pt idx="281">
                  <c:v>1.0929563380712837</c:v>
                </c:pt>
                <c:pt idx="282">
                  <c:v>1.1233941818107609</c:v>
                </c:pt>
                <c:pt idx="283">
                  <c:v>1.1060834872401863</c:v>
                </c:pt>
                <c:pt idx="284">
                  <c:v>1.0880483250512738</c:v>
                </c:pt>
                <c:pt idx="285">
                  <c:v>1.0820638143730295</c:v>
                </c:pt>
                <c:pt idx="286">
                  <c:v>1.0639215126067569</c:v>
                </c:pt>
                <c:pt idx="287">
                  <c:v>1.0595594012428191</c:v>
                </c:pt>
                <c:pt idx="288">
                  <c:v>1.0430701100986706</c:v>
                </c:pt>
                <c:pt idx="289">
                  <c:v>1.0579727151209657</c:v>
                </c:pt>
                <c:pt idx="290">
                  <c:v>1.0771711070069285</c:v>
                </c:pt>
                <c:pt idx="291">
                  <c:v>1.0551870861096089</c:v>
                </c:pt>
                <c:pt idx="292">
                  <c:v>1.0344377212942462</c:v>
                </c:pt>
                <c:pt idx="293">
                  <c:v>1.0083926002265238</c:v>
                </c:pt>
                <c:pt idx="294">
                  <c:v>0.99681132210238466</c:v>
                </c:pt>
                <c:pt idx="295">
                  <c:v>0.9891125781863821</c:v>
                </c:pt>
                <c:pt idx="296">
                  <c:v>0.99261757293144082</c:v>
                </c:pt>
                <c:pt idx="297">
                  <c:v>1.0244533330612329</c:v>
                </c:pt>
                <c:pt idx="298">
                  <c:v>1.0601053028988909</c:v>
                </c:pt>
                <c:pt idx="299">
                  <c:v>1.0674265073518157</c:v>
                </c:pt>
                <c:pt idx="300">
                  <c:v>1.0598246992439009</c:v>
                </c:pt>
                <c:pt idx="301">
                  <c:v>1.0648602593798149</c:v>
                </c:pt>
                <c:pt idx="302">
                  <c:v>1.0789057477832311</c:v>
                </c:pt>
                <c:pt idx="303">
                  <c:v>1.0694978725141069</c:v>
                </c:pt>
                <c:pt idx="304">
                  <c:v>1.0487791190065612</c:v>
                </c:pt>
                <c:pt idx="305">
                  <c:v>1.0417997408242605</c:v>
                </c:pt>
                <c:pt idx="306">
                  <c:v>1.0243819066763262</c:v>
                </c:pt>
                <c:pt idx="307">
                  <c:v>1.0256369702968275</c:v>
                </c:pt>
                <c:pt idx="308">
                  <c:v>1.0240400804057019</c:v>
                </c:pt>
                <c:pt idx="309">
                  <c:v>1.0552483087252431</c:v>
                </c:pt>
                <c:pt idx="310">
                  <c:v>1.1000479577155802</c:v>
                </c:pt>
                <c:pt idx="311">
                  <c:v>1.0909666030631717</c:v>
                </c:pt>
                <c:pt idx="312">
                  <c:v>1.1078334336703979</c:v>
                </c:pt>
                <c:pt idx="313">
                  <c:v>1.1171290674775263</c:v>
                </c:pt>
                <c:pt idx="314">
                  <c:v>1.1107211003744784</c:v>
                </c:pt>
                <c:pt idx="315">
                  <c:v>1.0698958195157291</c:v>
                </c:pt>
                <c:pt idx="316">
                  <c:v>1.0974868116282155</c:v>
                </c:pt>
                <c:pt idx="317">
                  <c:v>1.0812730222544209</c:v>
                </c:pt>
                <c:pt idx="318">
                  <c:v>1.0626205320245299</c:v>
                </c:pt>
                <c:pt idx="319">
                  <c:v>1.097997000091834</c:v>
                </c:pt>
                <c:pt idx="320">
                  <c:v>1.1169913165923493</c:v>
                </c:pt>
                <c:pt idx="321">
                  <c:v>1.0980888340152855</c:v>
                </c:pt>
                <c:pt idx="322">
                  <c:v>1.0885891248227095</c:v>
                </c:pt>
                <c:pt idx="323">
                  <c:v>1.106818158627797</c:v>
                </c:pt>
                <c:pt idx="324">
                  <c:v>1.0901247920982011</c:v>
                </c:pt>
                <c:pt idx="325">
                  <c:v>1.0586257563543973</c:v>
                </c:pt>
                <c:pt idx="326">
                  <c:v>1.0307133455098314</c:v>
                </c:pt>
                <c:pt idx="327">
                  <c:v>0.99348489331959222</c:v>
                </c:pt>
                <c:pt idx="328">
                  <c:v>1.0097088864626593</c:v>
                </c:pt>
                <c:pt idx="329">
                  <c:v>1.0217442323194188</c:v>
                </c:pt>
                <c:pt idx="330">
                  <c:v>1.0237798842892565</c:v>
                </c:pt>
                <c:pt idx="331">
                  <c:v>1.036560105302899</c:v>
                </c:pt>
                <c:pt idx="332">
                  <c:v>1.0490648245461873</c:v>
                </c:pt>
                <c:pt idx="333">
                  <c:v>1.0305806965092905</c:v>
                </c:pt>
                <c:pt idx="334">
                  <c:v>1.0533708151791272</c:v>
                </c:pt>
                <c:pt idx="335">
                  <c:v>1.0539575319122885</c:v>
                </c:pt>
                <c:pt idx="336">
                  <c:v>1.0585543299694906</c:v>
                </c:pt>
                <c:pt idx="337">
                  <c:v>1.0192800220401417</c:v>
                </c:pt>
                <c:pt idx="338">
                  <c:v>1.0792781853616726</c:v>
                </c:pt>
                <c:pt idx="339">
                  <c:v>1.082329112374111</c:v>
                </c:pt>
                <c:pt idx="340">
                  <c:v>1.125164535779517</c:v>
                </c:pt>
                <c:pt idx="341">
                  <c:v>1.1612042488495251</c:v>
                </c:pt>
                <c:pt idx="342">
                  <c:v>1.1624746181239349</c:v>
                </c:pt>
                <c:pt idx="343">
                  <c:v>1.1465210248665858</c:v>
                </c:pt>
                <c:pt idx="344">
                  <c:v>1.1306235523402346</c:v>
                </c:pt>
                <c:pt idx="345">
                  <c:v>1.16150526004306</c:v>
                </c:pt>
                <c:pt idx="346">
                  <c:v>1.1429088905441671</c:v>
                </c:pt>
                <c:pt idx="347">
                  <c:v>1.1147822005448813</c:v>
                </c:pt>
                <c:pt idx="348">
                  <c:v>1.135500954052427</c:v>
                </c:pt>
                <c:pt idx="349">
                  <c:v>1.1435823393161433</c:v>
                </c:pt>
                <c:pt idx="350">
                  <c:v>1.1537401916267871</c:v>
                </c:pt>
                <c:pt idx="351">
                  <c:v>1.1527759354305482</c:v>
                </c:pt>
                <c:pt idx="352">
                  <c:v>1.1566380621001398</c:v>
                </c:pt>
                <c:pt idx="353">
                  <c:v>1.1331949021968717</c:v>
                </c:pt>
                <c:pt idx="354">
                  <c:v>1.1589594196096038</c:v>
                </c:pt>
                <c:pt idx="355">
                  <c:v>1.1748058732895932</c:v>
                </c:pt>
                <c:pt idx="356">
                  <c:v>1.1914176096650102</c:v>
                </c:pt>
                <c:pt idx="357">
                  <c:v>1.2160239992653286</c:v>
                </c:pt>
                <c:pt idx="358">
                  <c:v>1.2092129832760223</c:v>
                </c:pt>
                <c:pt idx="359">
                  <c:v>1.2318653510606818</c:v>
                </c:pt>
                <c:pt idx="360">
                  <c:v>1.2159015540340601</c:v>
                </c:pt>
                <c:pt idx="361">
                  <c:v>1.2296256237053969</c:v>
                </c:pt>
                <c:pt idx="362">
                  <c:v>1.224625776761936</c:v>
                </c:pt>
                <c:pt idx="363">
                  <c:v>1.2438853912635328</c:v>
                </c:pt>
                <c:pt idx="364">
                  <c:v>1.2308245665949</c:v>
                </c:pt>
                <c:pt idx="365">
                  <c:v>1.2197789863575605</c:v>
                </c:pt>
                <c:pt idx="366">
                  <c:v>1.2071518218830037</c:v>
                </c:pt>
                <c:pt idx="367">
                  <c:v>1.2191667602012184</c:v>
                </c:pt>
                <c:pt idx="368">
                  <c:v>1.2136414191402305</c:v>
                </c:pt>
                <c:pt idx="369">
                  <c:v>1.2540075303817229</c:v>
                </c:pt>
                <c:pt idx="370">
                  <c:v>1.2324010489474813</c:v>
                </c:pt>
                <c:pt idx="371">
                  <c:v>1.1947746497556198</c:v>
                </c:pt>
                <c:pt idx="372">
                  <c:v>1.2263859269614195</c:v>
                </c:pt>
                <c:pt idx="373">
                  <c:v>1.2191412507780375</c:v>
                </c:pt>
                <c:pt idx="374">
                  <c:v>1.1766170423354387</c:v>
                </c:pt>
                <c:pt idx="375">
                  <c:v>1.2627368549942348</c:v>
                </c:pt>
                <c:pt idx="376">
                  <c:v>1.2964041917084173</c:v>
                </c:pt>
                <c:pt idx="377">
                  <c:v>1.2771904941685459</c:v>
                </c:pt>
                <c:pt idx="378">
                  <c:v>1.2650735181576074</c:v>
                </c:pt>
                <c:pt idx="379">
                  <c:v>1.2776802750936196</c:v>
                </c:pt>
                <c:pt idx="380">
                  <c:v>1.2615328102200953</c:v>
                </c:pt>
                <c:pt idx="381">
                  <c:v>1.2478291480873036</c:v>
                </c:pt>
                <c:pt idx="382">
                  <c:v>1.2670224380886299</c:v>
                </c:pt>
                <c:pt idx="383">
                  <c:v>1.2640429374610982</c:v>
                </c:pt>
                <c:pt idx="384">
                  <c:v>1.2607471199861229</c:v>
                </c:pt>
                <c:pt idx="385">
                  <c:v>1.3057457424772712</c:v>
                </c:pt>
                <c:pt idx="386">
                  <c:v>1.3018785139230433</c:v>
                </c:pt>
                <c:pt idx="387">
                  <c:v>1.3087711600665286</c:v>
                </c:pt>
                <c:pt idx="388">
                  <c:v>1.3216483168882587</c:v>
                </c:pt>
                <c:pt idx="389">
                  <c:v>1.2823689070742732</c:v>
                </c:pt>
                <c:pt idx="390">
                  <c:v>1.2817872922257483</c:v>
                </c:pt>
                <c:pt idx="391">
                  <c:v>1.2771853922839098</c:v>
                </c:pt>
                <c:pt idx="392">
                  <c:v>1.2321510566003082</c:v>
                </c:pt>
                <c:pt idx="393">
                  <c:v>1.2355540136526435</c:v>
                </c:pt>
                <c:pt idx="394">
                  <c:v>1.2195953185106578</c:v>
                </c:pt>
                <c:pt idx="395">
                  <c:v>1.1946930196014409</c:v>
                </c:pt>
                <c:pt idx="396">
                  <c:v>1.1934328540963031</c:v>
                </c:pt>
                <c:pt idx="397">
                  <c:v>1.2072793689989083</c:v>
                </c:pt>
                <c:pt idx="398">
                  <c:v>1.1958409436445825</c:v>
                </c:pt>
                <c:pt idx="399">
                  <c:v>1.1711682295439936</c:v>
                </c:pt>
                <c:pt idx="400">
                  <c:v>1.2152230033774476</c:v>
                </c:pt>
                <c:pt idx="401">
                  <c:v>1.2175698703100928</c:v>
                </c:pt>
                <c:pt idx="402">
                  <c:v>1.2505076375213005</c:v>
                </c:pt>
                <c:pt idx="403">
                  <c:v>1.2337938634531596</c:v>
                </c:pt>
                <c:pt idx="404">
                  <c:v>1.2042284419864699</c:v>
                </c:pt>
                <c:pt idx="405">
                  <c:v>1.2083099496954175</c:v>
                </c:pt>
                <c:pt idx="406">
                  <c:v>1.2022387069783578</c:v>
                </c:pt>
                <c:pt idx="407">
                  <c:v>1.1860096119506547</c:v>
                </c:pt>
                <c:pt idx="408">
                  <c:v>1.1956827852208607</c:v>
                </c:pt>
                <c:pt idx="409">
                  <c:v>1.1899839800822425</c:v>
                </c:pt>
                <c:pt idx="410">
                  <c:v>1.1869789700315299</c:v>
                </c:pt>
                <c:pt idx="411">
                  <c:v>1.153714682203606</c:v>
                </c:pt>
                <c:pt idx="412">
                  <c:v>1.1535922369723377</c:v>
                </c:pt>
                <c:pt idx="413">
                  <c:v>1.1313786312663898</c:v>
                </c:pt>
                <c:pt idx="414">
                  <c:v>1.1103894778731263</c:v>
                </c:pt>
                <c:pt idx="415">
                  <c:v>1.0804312112894503</c:v>
                </c:pt>
                <c:pt idx="416">
                  <c:v>1.0703702947868943</c:v>
                </c:pt>
                <c:pt idx="417">
                  <c:v>1.0768751976980295</c:v>
                </c:pt>
                <c:pt idx="418">
                  <c:v>1.0832984704549862</c:v>
                </c:pt>
                <c:pt idx="419">
                  <c:v>1.091201289756436</c:v>
                </c:pt>
                <c:pt idx="420">
                  <c:v>1.0901707090599269</c:v>
                </c:pt>
                <c:pt idx="421">
                  <c:v>1.0503964164362316</c:v>
                </c:pt>
                <c:pt idx="422">
                  <c:v>1.0403916206646735</c:v>
                </c:pt>
                <c:pt idx="423">
                  <c:v>1.0412181259757354</c:v>
                </c:pt>
                <c:pt idx="424">
                  <c:v>1.0352234115282184</c:v>
                </c:pt>
                <c:pt idx="425">
                  <c:v>1.0355601359142068</c:v>
                </c:pt>
                <c:pt idx="426">
                  <c:v>1.0386926930808242</c:v>
                </c:pt>
                <c:pt idx="427">
                  <c:v>1.0455547279164923</c:v>
                </c:pt>
                <c:pt idx="428">
                  <c:v>1.0272338601879536</c:v>
                </c:pt>
                <c:pt idx="429">
                  <c:v>1.0318306582451557</c:v>
                </c:pt>
                <c:pt idx="430">
                  <c:v>1.0125302286664695</c:v>
                </c:pt>
                <c:pt idx="431">
                  <c:v>1.0003469281552606</c:v>
                </c:pt>
                <c:pt idx="432">
                  <c:v>1.0065661255267697</c:v>
                </c:pt>
                <c:pt idx="433">
                  <c:v>1.00994867504056</c:v>
                </c:pt>
                <c:pt idx="434">
                  <c:v>1.0050763752130036</c:v>
                </c:pt>
                <c:pt idx="435">
                  <c:v>0.97370998846974077</c:v>
                </c:pt>
                <c:pt idx="436">
                  <c:v>0.9704804954950359</c:v>
                </c:pt>
                <c:pt idx="437">
                  <c:v>0.95883799475526266</c:v>
                </c:pt>
                <c:pt idx="438">
                  <c:v>0.96638368213217973</c:v>
                </c:pt>
                <c:pt idx="439">
                  <c:v>0.97082232176566019</c:v>
                </c:pt>
                <c:pt idx="440">
                  <c:v>0.98540860994051205</c:v>
                </c:pt>
                <c:pt idx="441">
                  <c:v>0.98599532667367318</c:v>
                </c:pt>
                <c:pt idx="442">
                  <c:v>0.97545993489995209</c:v>
                </c:pt>
                <c:pt idx="443">
                  <c:v>0.99588277909859901</c:v>
                </c:pt>
                <c:pt idx="444">
                  <c:v>0.98348009754803434</c:v>
                </c:pt>
                <c:pt idx="445">
                  <c:v>0.98673509994592001</c:v>
                </c:pt>
                <c:pt idx="446">
                  <c:v>0.96234809138495758</c:v>
                </c:pt>
                <c:pt idx="447">
                  <c:v>0.984107629358285</c:v>
                </c:pt>
                <c:pt idx="448">
                  <c:v>0.97975572176361958</c:v>
                </c:pt>
                <c:pt idx="449">
                  <c:v>0.97783741314041406</c:v>
                </c:pt>
                <c:pt idx="450">
                  <c:v>0.98783710702733596</c:v>
                </c:pt>
                <c:pt idx="451">
                  <c:v>0.97534259155331982</c:v>
                </c:pt>
                <c:pt idx="452">
                  <c:v>0.96204197830678662</c:v>
                </c:pt>
                <c:pt idx="453">
                  <c:v>0.95715947470995788</c:v>
                </c:pt>
                <c:pt idx="454">
                  <c:v>0.95087905472281464</c:v>
                </c:pt>
                <c:pt idx="455">
                  <c:v>0.95507790577839458</c:v>
                </c:pt>
                <c:pt idx="456">
                  <c:v>0.92349723988041177</c:v>
                </c:pt>
                <c:pt idx="457">
                  <c:v>0.93588461577706816</c:v>
                </c:pt>
                <c:pt idx="458">
                  <c:v>0.90853851412711861</c:v>
                </c:pt>
                <c:pt idx="459">
                  <c:v>0.91569135638704935</c:v>
                </c:pt>
                <c:pt idx="460">
                  <c:v>0.94084364764343942</c:v>
                </c:pt>
                <c:pt idx="461">
                  <c:v>0.92480332234727514</c:v>
                </c:pt>
                <c:pt idx="462">
                  <c:v>0.91613011846576131</c:v>
                </c:pt>
                <c:pt idx="463">
                  <c:v>0.90332438802893789</c:v>
                </c:pt>
                <c:pt idx="464">
                  <c:v>0.91049763782741355</c:v>
                </c:pt>
                <c:pt idx="465">
                  <c:v>0.92348703611113947</c:v>
                </c:pt>
                <c:pt idx="466">
                  <c:v>0.92907870167239781</c:v>
                </c:pt>
                <c:pt idx="467">
                  <c:v>0.94150689264614351</c:v>
                </c:pt>
                <c:pt idx="468">
                  <c:v>0.9425119639194719</c:v>
                </c:pt>
                <c:pt idx="469">
                  <c:v>0.91454853422854399</c:v>
                </c:pt>
                <c:pt idx="470">
                  <c:v>0.9173290613552646</c:v>
                </c:pt>
                <c:pt idx="471">
                  <c:v>0.92292582880115914</c:v>
                </c:pt>
                <c:pt idx="472">
                  <c:v>0.92669612154729963</c:v>
                </c:pt>
                <c:pt idx="473">
                  <c:v>0.91613011846576131</c:v>
                </c:pt>
                <c:pt idx="474">
                  <c:v>0.90726304296807236</c:v>
                </c:pt>
                <c:pt idx="475">
                  <c:v>0.88967174474250788</c:v>
                </c:pt>
                <c:pt idx="476">
                  <c:v>0.8907431405161067</c:v>
                </c:pt>
                <c:pt idx="477">
                  <c:v>0.85149434200993845</c:v>
                </c:pt>
                <c:pt idx="478">
                  <c:v>0.87918226993051241</c:v>
                </c:pt>
                <c:pt idx="479">
                  <c:v>0.87410589471750866</c:v>
                </c:pt>
                <c:pt idx="480">
                  <c:v>0.86148383212758795</c:v>
                </c:pt>
                <c:pt idx="481">
                  <c:v>0.86206544697611298</c:v>
                </c:pt>
                <c:pt idx="482">
                  <c:v>0.87946797547013866</c:v>
                </c:pt>
                <c:pt idx="483">
                  <c:v>0.90960480801608123</c:v>
                </c:pt>
                <c:pt idx="484">
                  <c:v>0.93115006683468871</c:v>
                </c:pt>
                <c:pt idx="485">
                  <c:v>0.92174219156556436</c:v>
                </c:pt>
                <c:pt idx="486">
                  <c:v>0.912834300990786</c:v>
                </c:pt>
                <c:pt idx="487">
                  <c:v>0.9173290613552646</c:v>
                </c:pt>
                <c:pt idx="488">
                  <c:v>0.94337928430762319</c:v>
                </c:pt>
                <c:pt idx="489">
                  <c:v>0.92772160035917273</c:v>
                </c:pt>
                <c:pt idx="490">
                  <c:v>0.92117588237094783</c:v>
                </c:pt>
                <c:pt idx="491">
                  <c:v>0.94883319898370455</c:v>
                </c:pt>
                <c:pt idx="492">
                  <c:v>0.94771078436374401</c:v>
                </c:pt>
                <c:pt idx="493">
                  <c:v>0.94676693570604986</c:v>
                </c:pt>
                <c:pt idx="494">
                  <c:v>0.93869575421160589</c:v>
                </c:pt>
                <c:pt idx="495">
                  <c:v>0.93272144730263362</c:v>
                </c:pt>
                <c:pt idx="496">
                  <c:v>0.89542667061212411</c:v>
                </c:pt>
                <c:pt idx="497">
                  <c:v>0.88153934063242956</c:v>
                </c:pt>
                <c:pt idx="498">
                  <c:v>0.91003336632552068</c:v>
                </c:pt>
                <c:pt idx="499">
                  <c:v>0.88221789128904227</c:v>
                </c:pt>
                <c:pt idx="500">
                  <c:v>0.86202973378365977</c:v>
                </c:pt>
                <c:pt idx="501">
                  <c:v>0.87490178872075341</c:v>
                </c:pt>
                <c:pt idx="502">
                  <c:v>0.85780537330489881</c:v>
                </c:pt>
                <c:pt idx="503">
                  <c:v>0.89266655102394832</c:v>
                </c:pt>
                <c:pt idx="504">
                  <c:v>0.90098262298092924</c:v>
                </c:pt>
                <c:pt idx="505">
                  <c:v>0.92227278756772757</c:v>
                </c:pt>
                <c:pt idx="506">
                  <c:v>0.91860453251431085</c:v>
                </c:pt>
                <c:pt idx="507">
                  <c:v>0.94062936848871981</c:v>
                </c:pt>
                <c:pt idx="508">
                  <c:v>0.93017560686917755</c:v>
                </c:pt>
                <c:pt idx="509">
                  <c:v>0.95861351183127053</c:v>
                </c:pt>
                <c:pt idx="510">
                  <c:v>0.96072059018601474</c:v>
                </c:pt>
                <c:pt idx="511">
                  <c:v>0.94415477077232324</c:v>
                </c:pt>
                <c:pt idx="512">
                  <c:v>0.95210860892013516</c:v>
                </c:pt>
                <c:pt idx="513">
                  <c:v>0.96768976459904288</c:v>
                </c:pt>
                <c:pt idx="514">
                  <c:v>0.98821974837504978</c:v>
                </c:pt>
                <c:pt idx="515">
                  <c:v>1.0108364029672561</c:v>
                </c:pt>
                <c:pt idx="516">
                  <c:v>0.99355631970449887</c:v>
                </c:pt>
                <c:pt idx="517">
                  <c:v>0.99375529320531009</c:v>
                </c:pt>
                <c:pt idx="518">
                  <c:v>1.0155964613328163</c:v>
                </c:pt>
                <c:pt idx="519">
                  <c:v>1.033718355560544</c:v>
                </c:pt>
                <c:pt idx="520">
                  <c:v>1.0221064661285879</c:v>
                </c:pt>
                <c:pt idx="521">
                  <c:v>1</c:v>
                </c:pt>
              </c:numCache>
            </c:numRef>
          </c:val>
          <c:smooth val="0"/>
          <c:extLst>
            <c:ext xmlns:c16="http://schemas.microsoft.com/office/drawing/2014/chart" uri="{C3380CC4-5D6E-409C-BE32-E72D297353CC}">
              <c16:uniqueId val="{00000001-B4DA-4C8C-9EBC-CF1287E2622F}"/>
            </c:ext>
          </c:extLst>
        </c:ser>
        <c:dLbls>
          <c:showLegendKey val="0"/>
          <c:showVal val="0"/>
          <c:showCatName val="0"/>
          <c:showSerName val="0"/>
          <c:showPercent val="0"/>
          <c:showBubbleSize val="0"/>
        </c:dLbls>
        <c:smooth val="0"/>
        <c:axId val="14815280"/>
        <c:axId val="14816720"/>
      </c:lineChart>
      <c:dateAx>
        <c:axId val="148152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6720"/>
        <c:crosses val="autoZero"/>
        <c:auto val="1"/>
        <c:lblOffset val="100"/>
        <c:baseTimeUnit val="days"/>
      </c:dateAx>
      <c:valAx>
        <c:axId val="1481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CORRELATION!$BW$2</c:f>
              <c:strCache>
                <c:ptCount val="1"/>
                <c:pt idx="0">
                  <c:v>SPX</c:v>
                </c:pt>
              </c:strCache>
            </c:strRef>
          </c:tx>
          <c:spPr>
            <a:ln w="28575" cap="rnd">
              <a:solidFill>
                <a:schemeClr val="accent1"/>
              </a:solidFill>
              <a:round/>
            </a:ln>
            <a:effectLst/>
          </c:spPr>
          <c:marker>
            <c:symbol val="none"/>
          </c:marker>
          <c:cat>
            <c:numRef>
              <c:f>CORRELATION!$BV$3:$BV$524</c:f>
              <c:numCache>
                <c:formatCode>m/d/yyyy</c:formatCode>
                <c:ptCount val="522"/>
                <c:pt idx="0">
                  <c:v>45757</c:v>
                </c:pt>
                <c:pt idx="1">
                  <c:v>45751</c:v>
                </c:pt>
                <c:pt idx="2">
                  <c:v>45744</c:v>
                </c:pt>
                <c:pt idx="3">
                  <c:v>45737</c:v>
                </c:pt>
                <c:pt idx="4">
                  <c:v>45730</c:v>
                </c:pt>
                <c:pt idx="5">
                  <c:v>45723</c:v>
                </c:pt>
                <c:pt idx="6">
                  <c:v>45716</c:v>
                </c:pt>
                <c:pt idx="7">
                  <c:v>45709</c:v>
                </c:pt>
                <c:pt idx="8">
                  <c:v>45702</c:v>
                </c:pt>
                <c:pt idx="9">
                  <c:v>45695</c:v>
                </c:pt>
                <c:pt idx="10">
                  <c:v>45688</c:v>
                </c:pt>
                <c:pt idx="11">
                  <c:v>45681</c:v>
                </c:pt>
                <c:pt idx="12">
                  <c:v>45674</c:v>
                </c:pt>
                <c:pt idx="13">
                  <c:v>45667</c:v>
                </c:pt>
                <c:pt idx="14">
                  <c:v>45660</c:v>
                </c:pt>
                <c:pt idx="15">
                  <c:v>45653</c:v>
                </c:pt>
                <c:pt idx="16">
                  <c:v>45646</c:v>
                </c:pt>
                <c:pt idx="17">
                  <c:v>45639</c:v>
                </c:pt>
                <c:pt idx="18">
                  <c:v>45632</c:v>
                </c:pt>
                <c:pt idx="19">
                  <c:v>45625</c:v>
                </c:pt>
                <c:pt idx="20">
                  <c:v>45618</c:v>
                </c:pt>
                <c:pt idx="21">
                  <c:v>45611</c:v>
                </c:pt>
                <c:pt idx="22">
                  <c:v>45604</c:v>
                </c:pt>
                <c:pt idx="23">
                  <c:v>45597</c:v>
                </c:pt>
                <c:pt idx="24">
                  <c:v>45590</c:v>
                </c:pt>
                <c:pt idx="25">
                  <c:v>45583</c:v>
                </c:pt>
                <c:pt idx="26">
                  <c:v>45576</c:v>
                </c:pt>
                <c:pt idx="27">
                  <c:v>45569</c:v>
                </c:pt>
                <c:pt idx="28">
                  <c:v>45562</c:v>
                </c:pt>
                <c:pt idx="29">
                  <c:v>45555</c:v>
                </c:pt>
                <c:pt idx="30">
                  <c:v>45548</c:v>
                </c:pt>
                <c:pt idx="31">
                  <c:v>45541</c:v>
                </c:pt>
                <c:pt idx="32">
                  <c:v>45534</c:v>
                </c:pt>
                <c:pt idx="33">
                  <c:v>45527</c:v>
                </c:pt>
                <c:pt idx="34">
                  <c:v>45520</c:v>
                </c:pt>
                <c:pt idx="35">
                  <c:v>45513</c:v>
                </c:pt>
                <c:pt idx="36">
                  <c:v>45506</c:v>
                </c:pt>
                <c:pt idx="37">
                  <c:v>45499</c:v>
                </c:pt>
                <c:pt idx="38">
                  <c:v>45492</c:v>
                </c:pt>
                <c:pt idx="39">
                  <c:v>45485</c:v>
                </c:pt>
                <c:pt idx="40">
                  <c:v>45478</c:v>
                </c:pt>
                <c:pt idx="41">
                  <c:v>45471</c:v>
                </c:pt>
                <c:pt idx="42">
                  <c:v>45464</c:v>
                </c:pt>
                <c:pt idx="43">
                  <c:v>45457</c:v>
                </c:pt>
                <c:pt idx="44">
                  <c:v>45450</c:v>
                </c:pt>
                <c:pt idx="45">
                  <c:v>45443</c:v>
                </c:pt>
                <c:pt idx="46">
                  <c:v>45436</c:v>
                </c:pt>
                <c:pt idx="47">
                  <c:v>45429</c:v>
                </c:pt>
                <c:pt idx="48">
                  <c:v>45422</c:v>
                </c:pt>
                <c:pt idx="49">
                  <c:v>45415</c:v>
                </c:pt>
                <c:pt idx="50">
                  <c:v>45408</c:v>
                </c:pt>
                <c:pt idx="51">
                  <c:v>45401</c:v>
                </c:pt>
                <c:pt idx="52">
                  <c:v>45394</c:v>
                </c:pt>
                <c:pt idx="53">
                  <c:v>45387</c:v>
                </c:pt>
                <c:pt idx="54">
                  <c:v>45380</c:v>
                </c:pt>
                <c:pt idx="55">
                  <c:v>45373</c:v>
                </c:pt>
                <c:pt idx="56">
                  <c:v>45366</c:v>
                </c:pt>
                <c:pt idx="57">
                  <c:v>45359</c:v>
                </c:pt>
                <c:pt idx="58">
                  <c:v>45352</c:v>
                </c:pt>
                <c:pt idx="59">
                  <c:v>45345</c:v>
                </c:pt>
                <c:pt idx="60">
                  <c:v>45338</c:v>
                </c:pt>
                <c:pt idx="61">
                  <c:v>45331</c:v>
                </c:pt>
                <c:pt idx="62">
                  <c:v>45324</c:v>
                </c:pt>
                <c:pt idx="63">
                  <c:v>45317</c:v>
                </c:pt>
                <c:pt idx="64">
                  <c:v>45310</c:v>
                </c:pt>
                <c:pt idx="65">
                  <c:v>45303</c:v>
                </c:pt>
                <c:pt idx="66">
                  <c:v>45296</c:v>
                </c:pt>
                <c:pt idx="67">
                  <c:v>45289</c:v>
                </c:pt>
                <c:pt idx="68">
                  <c:v>45282</c:v>
                </c:pt>
                <c:pt idx="69">
                  <c:v>45275</c:v>
                </c:pt>
                <c:pt idx="70">
                  <c:v>45268</c:v>
                </c:pt>
                <c:pt idx="71">
                  <c:v>45261</c:v>
                </c:pt>
                <c:pt idx="72">
                  <c:v>45254</c:v>
                </c:pt>
                <c:pt idx="73">
                  <c:v>45247</c:v>
                </c:pt>
                <c:pt idx="74">
                  <c:v>45240</c:v>
                </c:pt>
                <c:pt idx="75">
                  <c:v>45233</c:v>
                </c:pt>
                <c:pt idx="76">
                  <c:v>45226</c:v>
                </c:pt>
                <c:pt idx="77">
                  <c:v>45219</c:v>
                </c:pt>
                <c:pt idx="78">
                  <c:v>45212</c:v>
                </c:pt>
                <c:pt idx="79">
                  <c:v>45205</c:v>
                </c:pt>
                <c:pt idx="80">
                  <c:v>45198</c:v>
                </c:pt>
                <c:pt idx="81">
                  <c:v>45191</c:v>
                </c:pt>
                <c:pt idx="82">
                  <c:v>45184</c:v>
                </c:pt>
                <c:pt idx="83">
                  <c:v>45177</c:v>
                </c:pt>
                <c:pt idx="84">
                  <c:v>45170</c:v>
                </c:pt>
                <c:pt idx="85">
                  <c:v>45163</c:v>
                </c:pt>
                <c:pt idx="86">
                  <c:v>45156</c:v>
                </c:pt>
                <c:pt idx="87">
                  <c:v>45149</c:v>
                </c:pt>
                <c:pt idx="88">
                  <c:v>45142</c:v>
                </c:pt>
                <c:pt idx="89">
                  <c:v>45135</c:v>
                </c:pt>
                <c:pt idx="90">
                  <c:v>45128</c:v>
                </c:pt>
                <c:pt idx="91">
                  <c:v>45121</c:v>
                </c:pt>
                <c:pt idx="92">
                  <c:v>45114</c:v>
                </c:pt>
                <c:pt idx="93">
                  <c:v>45107</c:v>
                </c:pt>
                <c:pt idx="94">
                  <c:v>45100</c:v>
                </c:pt>
                <c:pt idx="95">
                  <c:v>45093</c:v>
                </c:pt>
                <c:pt idx="96">
                  <c:v>45086</c:v>
                </c:pt>
                <c:pt idx="97">
                  <c:v>45079</c:v>
                </c:pt>
                <c:pt idx="98">
                  <c:v>45072</c:v>
                </c:pt>
                <c:pt idx="99">
                  <c:v>45065</c:v>
                </c:pt>
                <c:pt idx="100">
                  <c:v>45058</c:v>
                </c:pt>
                <c:pt idx="101">
                  <c:v>45051</c:v>
                </c:pt>
                <c:pt idx="102">
                  <c:v>45044</c:v>
                </c:pt>
                <c:pt idx="103">
                  <c:v>45037</c:v>
                </c:pt>
                <c:pt idx="104">
                  <c:v>45030</c:v>
                </c:pt>
                <c:pt idx="105">
                  <c:v>45023</c:v>
                </c:pt>
                <c:pt idx="106">
                  <c:v>45016</c:v>
                </c:pt>
                <c:pt idx="107">
                  <c:v>45009</c:v>
                </c:pt>
                <c:pt idx="108">
                  <c:v>45002</c:v>
                </c:pt>
                <c:pt idx="109">
                  <c:v>44995</c:v>
                </c:pt>
                <c:pt idx="110">
                  <c:v>44988</c:v>
                </c:pt>
                <c:pt idx="111">
                  <c:v>44981</c:v>
                </c:pt>
                <c:pt idx="112">
                  <c:v>44974</c:v>
                </c:pt>
                <c:pt idx="113">
                  <c:v>44967</c:v>
                </c:pt>
                <c:pt idx="114">
                  <c:v>44960</c:v>
                </c:pt>
                <c:pt idx="115">
                  <c:v>44953</c:v>
                </c:pt>
                <c:pt idx="116">
                  <c:v>44946</c:v>
                </c:pt>
                <c:pt idx="117">
                  <c:v>44939</c:v>
                </c:pt>
                <c:pt idx="118">
                  <c:v>44932</c:v>
                </c:pt>
                <c:pt idx="119">
                  <c:v>44925</c:v>
                </c:pt>
                <c:pt idx="120">
                  <c:v>44918</c:v>
                </c:pt>
                <c:pt idx="121">
                  <c:v>44911</c:v>
                </c:pt>
                <c:pt idx="122">
                  <c:v>44904</c:v>
                </c:pt>
                <c:pt idx="123">
                  <c:v>44897</c:v>
                </c:pt>
                <c:pt idx="124">
                  <c:v>44890</c:v>
                </c:pt>
                <c:pt idx="125">
                  <c:v>44883</c:v>
                </c:pt>
                <c:pt idx="126">
                  <c:v>44876</c:v>
                </c:pt>
                <c:pt idx="127">
                  <c:v>44869</c:v>
                </c:pt>
                <c:pt idx="128">
                  <c:v>44862</c:v>
                </c:pt>
                <c:pt idx="129">
                  <c:v>44855</c:v>
                </c:pt>
                <c:pt idx="130">
                  <c:v>44848</c:v>
                </c:pt>
                <c:pt idx="131">
                  <c:v>44841</c:v>
                </c:pt>
                <c:pt idx="132">
                  <c:v>44834</c:v>
                </c:pt>
                <c:pt idx="133">
                  <c:v>44827</c:v>
                </c:pt>
                <c:pt idx="134">
                  <c:v>44820</c:v>
                </c:pt>
                <c:pt idx="135">
                  <c:v>44813</c:v>
                </c:pt>
                <c:pt idx="136">
                  <c:v>44806</c:v>
                </c:pt>
                <c:pt idx="137">
                  <c:v>44799</c:v>
                </c:pt>
                <c:pt idx="138">
                  <c:v>44792</c:v>
                </c:pt>
                <c:pt idx="139">
                  <c:v>44785</c:v>
                </c:pt>
                <c:pt idx="140">
                  <c:v>44778</c:v>
                </c:pt>
                <c:pt idx="141">
                  <c:v>44771</c:v>
                </c:pt>
                <c:pt idx="142">
                  <c:v>44764</c:v>
                </c:pt>
                <c:pt idx="143">
                  <c:v>44757</c:v>
                </c:pt>
                <c:pt idx="144">
                  <c:v>44750</c:v>
                </c:pt>
                <c:pt idx="145">
                  <c:v>44743</c:v>
                </c:pt>
                <c:pt idx="146">
                  <c:v>44736</c:v>
                </c:pt>
                <c:pt idx="147">
                  <c:v>44729</c:v>
                </c:pt>
                <c:pt idx="148">
                  <c:v>44722</c:v>
                </c:pt>
                <c:pt idx="149">
                  <c:v>44715</c:v>
                </c:pt>
                <c:pt idx="150">
                  <c:v>44708</c:v>
                </c:pt>
                <c:pt idx="151">
                  <c:v>44701</c:v>
                </c:pt>
                <c:pt idx="152">
                  <c:v>44694</c:v>
                </c:pt>
                <c:pt idx="153">
                  <c:v>44687</c:v>
                </c:pt>
                <c:pt idx="154">
                  <c:v>44680</c:v>
                </c:pt>
                <c:pt idx="155">
                  <c:v>44673</c:v>
                </c:pt>
                <c:pt idx="156">
                  <c:v>44666</c:v>
                </c:pt>
                <c:pt idx="157">
                  <c:v>44659</c:v>
                </c:pt>
                <c:pt idx="158">
                  <c:v>44652</c:v>
                </c:pt>
                <c:pt idx="159">
                  <c:v>44645</c:v>
                </c:pt>
                <c:pt idx="160">
                  <c:v>44638</c:v>
                </c:pt>
                <c:pt idx="161">
                  <c:v>44631</c:v>
                </c:pt>
                <c:pt idx="162">
                  <c:v>44624</c:v>
                </c:pt>
                <c:pt idx="163">
                  <c:v>44617</c:v>
                </c:pt>
                <c:pt idx="164">
                  <c:v>44610</c:v>
                </c:pt>
                <c:pt idx="165">
                  <c:v>44603</c:v>
                </c:pt>
                <c:pt idx="166">
                  <c:v>44596</c:v>
                </c:pt>
                <c:pt idx="167">
                  <c:v>44589</c:v>
                </c:pt>
                <c:pt idx="168">
                  <c:v>44582</c:v>
                </c:pt>
                <c:pt idx="169">
                  <c:v>44575</c:v>
                </c:pt>
                <c:pt idx="170">
                  <c:v>44568</c:v>
                </c:pt>
                <c:pt idx="171">
                  <c:v>44561</c:v>
                </c:pt>
                <c:pt idx="172">
                  <c:v>44554</c:v>
                </c:pt>
                <c:pt idx="173">
                  <c:v>44547</c:v>
                </c:pt>
                <c:pt idx="174">
                  <c:v>44540</c:v>
                </c:pt>
                <c:pt idx="175">
                  <c:v>44533</c:v>
                </c:pt>
                <c:pt idx="176">
                  <c:v>44526</c:v>
                </c:pt>
                <c:pt idx="177">
                  <c:v>44519</c:v>
                </c:pt>
                <c:pt idx="178">
                  <c:v>44512</c:v>
                </c:pt>
                <c:pt idx="179">
                  <c:v>44505</c:v>
                </c:pt>
                <c:pt idx="180">
                  <c:v>44498</c:v>
                </c:pt>
                <c:pt idx="181">
                  <c:v>44491</c:v>
                </c:pt>
                <c:pt idx="182">
                  <c:v>44484</c:v>
                </c:pt>
                <c:pt idx="183">
                  <c:v>44477</c:v>
                </c:pt>
                <c:pt idx="184">
                  <c:v>44470</c:v>
                </c:pt>
                <c:pt idx="185">
                  <c:v>44463</c:v>
                </c:pt>
                <c:pt idx="186">
                  <c:v>44456</c:v>
                </c:pt>
                <c:pt idx="187">
                  <c:v>44449</c:v>
                </c:pt>
                <c:pt idx="188">
                  <c:v>44442</c:v>
                </c:pt>
                <c:pt idx="189">
                  <c:v>44435</c:v>
                </c:pt>
                <c:pt idx="190">
                  <c:v>44428</c:v>
                </c:pt>
                <c:pt idx="191">
                  <c:v>44421</c:v>
                </c:pt>
                <c:pt idx="192">
                  <c:v>44414</c:v>
                </c:pt>
                <c:pt idx="193">
                  <c:v>44407</c:v>
                </c:pt>
                <c:pt idx="194">
                  <c:v>44400</c:v>
                </c:pt>
                <c:pt idx="195">
                  <c:v>44393</c:v>
                </c:pt>
                <c:pt idx="196">
                  <c:v>44386</c:v>
                </c:pt>
                <c:pt idx="197">
                  <c:v>44379</c:v>
                </c:pt>
                <c:pt idx="198">
                  <c:v>44372</c:v>
                </c:pt>
                <c:pt idx="199">
                  <c:v>44365</c:v>
                </c:pt>
                <c:pt idx="200">
                  <c:v>44358</c:v>
                </c:pt>
                <c:pt idx="201">
                  <c:v>44351</c:v>
                </c:pt>
                <c:pt idx="202">
                  <c:v>44344</c:v>
                </c:pt>
                <c:pt idx="203">
                  <c:v>44337</c:v>
                </c:pt>
                <c:pt idx="204">
                  <c:v>44330</c:v>
                </c:pt>
                <c:pt idx="205">
                  <c:v>44323</c:v>
                </c:pt>
                <c:pt idx="206">
                  <c:v>44316</c:v>
                </c:pt>
                <c:pt idx="207">
                  <c:v>44309</c:v>
                </c:pt>
                <c:pt idx="208">
                  <c:v>44302</c:v>
                </c:pt>
                <c:pt idx="209">
                  <c:v>44295</c:v>
                </c:pt>
                <c:pt idx="210">
                  <c:v>44288</c:v>
                </c:pt>
                <c:pt idx="211">
                  <c:v>44281</c:v>
                </c:pt>
                <c:pt idx="212">
                  <c:v>44274</c:v>
                </c:pt>
                <c:pt idx="213">
                  <c:v>44267</c:v>
                </c:pt>
                <c:pt idx="214">
                  <c:v>44260</c:v>
                </c:pt>
                <c:pt idx="215">
                  <c:v>44253</c:v>
                </c:pt>
                <c:pt idx="216">
                  <c:v>44246</c:v>
                </c:pt>
                <c:pt idx="217">
                  <c:v>44239</c:v>
                </c:pt>
                <c:pt idx="218">
                  <c:v>44232</c:v>
                </c:pt>
                <c:pt idx="219">
                  <c:v>44225</c:v>
                </c:pt>
                <c:pt idx="220">
                  <c:v>44218</c:v>
                </c:pt>
                <c:pt idx="221">
                  <c:v>44211</c:v>
                </c:pt>
                <c:pt idx="222">
                  <c:v>44204</c:v>
                </c:pt>
                <c:pt idx="223">
                  <c:v>44197</c:v>
                </c:pt>
                <c:pt idx="224">
                  <c:v>44190</c:v>
                </c:pt>
                <c:pt idx="225">
                  <c:v>44183</c:v>
                </c:pt>
                <c:pt idx="226">
                  <c:v>44176</c:v>
                </c:pt>
                <c:pt idx="227">
                  <c:v>44169</c:v>
                </c:pt>
                <c:pt idx="228">
                  <c:v>44162</c:v>
                </c:pt>
                <c:pt idx="229">
                  <c:v>44155</c:v>
                </c:pt>
                <c:pt idx="230">
                  <c:v>44148</c:v>
                </c:pt>
                <c:pt idx="231">
                  <c:v>44141</c:v>
                </c:pt>
                <c:pt idx="232">
                  <c:v>44134</c:v>
                </c:pt>
                <c:pt idx="233">
                  <c:v>44127</c:v>
                </c:pt>
                <c:pt idx="234">
                  <c:v>44120</c:v>
                </c:pt>
                <c:pt idx="235">
                  <c:v>44113</c:v>
                </c:pt>
                <c:pt idx="236">
                  <c:v>44106</c:v>
                </c:pt>
                <c:pt idx="237">
                  <c:v>44099</c:v>
                </c:pt>
                <c:pt idx="238">
                  <c:v>44092</c:v>
                </c:pt>
                <c:pt idx="239">
                  <c:v>44085</c:v>
                </c:pt>
                <c:pt idx="240">
                  <c:v>44078</c:v>
                </c:pt>
                <c:pt idx="241">
                  <c:v>44071</c:v>
                </c:pt>
                <c:pt idx="242">
                  <c:v>44064</c:v>
                </c:pt>
                <c:pt idx="243">
                  <c:v>44057</c:v>
                </c:pt>
                <c:pt idx="244">
                  <c:v>44050</c:v>
                </c:pt>
                <c:pt idx="245">
                  <c:v>44043</c:v>
                </c:pt>
                <c:pt idx="246">
                  <c:v>44036</c:v>
                </c:pt>
                <c:pt idx="247">
                  <c:v>44029</c:v>
                </c:pt>
                <c:pt idx="248">
                  <c:v>44022</c:v>
                </c:pt>
                <c:pt idx="249">
                  <c:v>44015</c:v>
                </c:pt>
                <c:pt idx="250">
                  <c:v>44008</c:v>
                </c:pt>
                <c:pt idx="251">
                  <c:v>44001</c:v>
                </c:pt>
                <c:pt idx="252">
                  <c:v>43994</c:v>
                </c:pt>
                <c:pt idx="253">
                  <c:v>43987</c:v>
                </c:pt>
                <c:pt idx="254">
                  <c:v>43980</c:v>
                </c:pt>
                <c:pt idx="255">
                  <c:v>43973</c:v>
                </c:pt>
                <c:pt idx="256">
                  <c:v>43966</c:v>
                </c:pt>
                <c:pt idx="257">
                  <c:v>43959</c:v>
                </c:pt>
                <c:pt idx="258">
                  <c:v>43952</c:v>
                </c:pt>
                <c:pt idx="259">
                  <c:v>43945</c:v>
                </c:pt>
                <c:pt idx="260">
                  <c:v>43938</c:v>
                </c:pt>
                <c:pt idx="261">
                  <c:v>43931</c:v>
                </c:pt>
                <c:pt idx="262">
                  <c:v>43924</c:v>
                </c:pt>
                <c:pt idx="263">
                  <c:v>43917</c:v>
                </c:pt>
                <c:pt idx="264">
                  <c:v>43910</c:v>
                </c:pt>
                <c:pt idx="265">
                  <c:v>43903</c:v>
                </c:pt>
                <c:pt idx="266">
                  <c:v>43896</c:v>
                </c:pt>
                <c:pt idx="267">
                  <c:v>43889</c:v>
                </c:pt>
                <c:pt idx="268">
                  <c:v>43882</c:v>
                </c:pt>
                <c:pt idx="269">
                  <c:v>43875</c:v>
                </c:pt>
                <c:pt idx="270">
                  <c:v>43868</c:v>
                </c:pt>
                <c:pt idx="271">
                  <c:v>43861</c:v>
                </c:pt>
                <c:pt idx="272">
                  <c:v>43854</c:v>
                </c:pt>
                <c:pt idx="273">
                  <c:v>43847</c:v>
                </c:pt>
                <c:pt idx="274">
                  <c:v>43840</c:v>
                </c:pt>
                <c:pt idx="275">
                  <c:v>43833</c:v>
                </c:pt>
                <c:pt idx="276">
                  <c:v>43826</c:v>
                </c:pt>
                <c:pt idx="277">
                  <c:v>43819</c:v>
                </c:pt>
                <c:pt idx="278">
                  <c:v>43812</c:v>
                </c:pt>
                <c:pt idx="279">
                  <c:v>43805</c:v>
                </c:pt>
                <c:pt idx="280">
                  <c:v>43798</c:v>
                </c:pt>
                <c:pt idx="281">
                  <c:v>43791</c:v>
                </c:pt>
                <c:pt idx="282">
                  <c:v>43784</c:v>
                </c:pt>
                <c:pt idx="283">
                  <c:v>43777</c:v>
                </c:pt>
                <c:pt idx="284">
                  <c:v>43770</c:v>
                </c:pt>
                <c:pt idx="285">
                  <c:v>43763</c:v>
                </c:pt>
                <c:pt idx="286">
                  <c:v>43756</c:v>
                </c:pt>
                <c:pt idx="287">
                  <c:v>43749</c:v>
                </c:pt>
                <c:pt idx="288">
                  <c:v>43742</c:v>
                </c:pt>
                <c:pt idx="289">
                  <c:v>43735</c:v>
                </c:pt>
                <c:pt idx="290">
                  <c:v>43728</c:v>
                </c:pt>
                <c:pt idx="291">
                  <c:v>43721</c:v>
                </c:pt>
                <c:pt idx="292">
                  <c:v>43714</c:v>
                </c:pt>
                <c:pt idx="293">
                  <c:v>43707</c:v>
                </c:pt>
                <c:pt idx="294">
                  <c:v>43700</c:v>
                </c:pt>
                <c:pt idx="295">
                  <c:v>43693</c:v>
                </c:pt>
                <c:pt idx="296">
                  <c:v>43686</c:v>
                </c:pt>
                <c:pt idx="297">
                  <c:v>43679</c:v>
                </c:pt>
                <c:pt idx="298">
                  <c:v>43672</c:v>
                </c:pt>
                <c:pt idx="299">
                  <c:v>43665</c:v>
                </c:pt>
                <c:pt idx="300">
                  <c:v>43658</c:v>
                </c:pt>
                <c:pt idx="301">
                  <c:v>43651</c:v>
                </c:pt>
                <c:pt idx="302">
                  <c:v>43644</c:v>
                </c:pt>
                <c:pt idx="303">
                  <c:v>43637</c:v>
                </c:pt>
                <c:pt idx="304">
                  <c:v>43630</c:v>
                </c:pt>
                <c:pt idx="305">
                  <c:v>43623</c:v>
                </c:pt>
                <c:pt idx="306">
                  <c:v>43616</c:v>
                </c:pt>
                <c:pt idx="307">
                  <c:v>43609</c:v>
                </c:pt>
                <c:pt idx="308">
                  <c:v>43602</c:v>
                </c:pt>
                <c:pt idx="309">
                  <c:v>43595</c:v>
                </c:pt>
                <c:pt idx="310">
                  <c:v>43588</c:v>
                </c:pt>
                <c:pt idx="311">
                  <c:v>43581</c:v>
                </c:pt>
                <c:pt idx="312">
                  <c:v>43574</c:v>
                </c:pt>
                <c:pt idx="313">
                  <c:v>43567</c:v>
                </c:pt>
                <c:pt idx="314">
                  <c:v>43560</c:v>
                </c:pt>
                <c:pt idx="315">
                  <c:v>43553</c:v>
                </c:pt>
                <c:pt idx="316">
                  <c:v>43546</c:v>
                </c:pt>
                <c:pt idx="317">
                  <c:v>43539</c:v>
                </c:pt>
                <c:pt idx="318">
                  <c:v>43532</c:v>
                </c:pt>
                <c:pt idx="319">
                  <c:v>43525</c:v>
                </c:pt>
                <c:pt idx="320">
                  <c:v>43518</c:v>
                </c:pt>
                <c:pt idx="321">
                  <c:v>43511</c:v>
                </c:pt>
                <c:pt idx="322">
                  <c:v>43504</c:v>
                </c:pt>
                <c:pt idx="323">
                  <c:v>43497</c:v>
                </c:pt>
                <c:pt idx="324">
                  <c:v>43490</c:v>
                </c:pt>
                <c:pt idx="325">
                  <c:v>43483</c:v>
                </c:pt>
                <c:pt idx="326">
                  <c:v>43476</c:v>
                </c:pt>
                <c:pt idx="327">
                  <c:v>43469</c:v>
                </c:pt>
                <c:pt idx="328">
                  <c:v>43462</c:v>
                </c:pt>
                <c:pt idx="329">
                  <c:v>43455</c:v>
                </c:pt>
                <c:pt idx="330">
                  <c:v>43448</c:v>
                </c:pt>
                <c:pt idx="331">
                  <c:v>43441</c:v>
                </c:pt>
                <c:pt idx="332">
                  <c:v>43434</c:v>
                </c:pt>
                <c:pt idx="333">
                  <c:v>43427</c:v>
                </c:pt>
                <c:pt idx="334">
                  <c:v>43420</c:v>
                </c:pt>
                <c:pt idx="335">
                  <c:v>43413</c:v>
                </c:pt>
                <c:pt idx="336">
                  <c:v>43406</c:v>
                </c:pt>
                <c:pt idx="337">
                  <c:v>43399</c:v>
                </c:pt>
                <c:pt idx="338">
                  <c:v>43392</c:v>
                </c:pt>
                <c:pt idx="339">
                  <c:v>43385</c:v>
                </c:pt>
                <c:pt idx="340">
                  <c:v>43378</c:v>
                </c:pt>
                <c:pt idx="341">
                  <c:v>43371</c:v>
                </c:pt>
                <c:pt idx="342">
                  <c:v>43364</c:v>
                </c:pt>
                <c:pt idx="343">
                  <c:v>43357</c:v>
                </c:pt>
                <c:pt idx="344">
                  <c:v>43350</c:v>
                </c:pt>
                <c:pt idx="345">
                  <c:v>43343</c:v>
                </c:pt>
                <c:pt idx="346">
                  <c:v>43336</c:v>
                </c:pt>
                <c:pt idx="347">
                  <c:v>43329</c:v>
                </c:pt>
                <c:pt idx="348">
                  <c:v>43322</c:v>
                </c:pt>
                <c:pt idx="349">
                  <c:v>43315</c:v>
                </c:pt>
                <c:pt idx="350">
                  <c:v>43308</c:v>
                </c:pt>
                <c:pt idx="351">
                  <c:v>43301</c:v>
                </c:pt>
                <c:pt idx="352">
                  <c:v>43294</c:v>
                </c:pt>
                <c:pt idx="353">
                  <c:v>43287</c:v>
                </c:pt>
                <c:pt idx="354">
                  <c:v>43280</c:v>
                </c:pt>
                <c:pt idx="355">
                  <c:v>43273</c:v>
                </c:pt>
                <c:pt idx="356">
                  <c:v>43266</c:v>
                </c:pt>
                <c:pt idx="357">
                  <c:v>43259</c:v>
                </c:pt>
                <c:pt idx="358">
                  <c:v>43252</c:v>
                </c:pt>
                <c:pt idx="359">
                  <c:v>43245</c:v>
                </c:pt>
                <c:pt idx="360">
                  <c:v>43238</c:v>
                </c:pt>
                <c:pt idx="361">
                  <c:v>43231</c:v>
                </c:pt>
                <c:pt idx="362">
                  <c:v>43224</c:v>
                </c:pt>
                <c:pt idx="363">
                  <c:v>43217</c:v>
                </c:pt>
                <c:pt idx="364">
                  <c:v>43210</c:v>
                </c:pt>
                <c:pt idx="365">
                  <c:v>43203</c:v>
                </c:pt>
                <c:pt idx="366">
                  <c:v>43196</c:v>
                </c:pt>
                <c:pt idx="367">
                  <c:v>43189</c:v>
                </c:pt>
                <c:pt idx="368">
                  <c:v>43182</c:v>
                </c:pt>
                <c:pt idx="369">
                  <c:v>43175</c:v>
                </c:pt>
                <c:pt idx="370">
                  <c:v>43168</c:v>
                </c:pt>
                <c:pt idx="371">
                  <c:v>43161</c:v>
                </c:pt>
                <c:pt idx="372">
                  <c:v>43154</c:v>
                </c:pt>
                <c:pt idx="373">
                  <c:v>43147</c:v>
                </c:pt>
                <c:pt idx="374">
                  <c:v>43140</c:v>
                </c:pt>
                <c:pt idx="375">
                  <c:v>43133</c:v>
                </c:pt>
                <c:pt idx="376">
                  <c:v>43126</c:v>
                </c:pt>
                <c:pt idx="377">
                  <c:v>43119</c:v>
                </c:pt>
                <c:pt idx="378">
                  <c:v>43112</c:v>
                </c:pt>
                <c:pt idx="379">
                  <c:v>43105</c:v>
                </c:pt>
                <c:pt idx="380">
                  <c:v>43098</c:v>
                </c:pt>
                <c:pt idx="381">
                  <c:v>43091</c:v>
                </c:pt>
                <c:pt idx="382">
                  <c:v>43084</c:v>
                </c:pt>
                <c:pt idx="383">
                  <c:v>43077</c:v>
                </c:pt>
                <c:pt idx="384">
                  <c:v>43070</c:v>
                </c:pt>
                <c:pt idx="385">
                  <c:v>43063</c:v>
                </c:pt>
                <c:pt idx="386">
                  <c:v>43056</c:v>
                </c:pt>
                <c:pt idx="387">
                  <c:v>43049</c:v>
                </c:pt>
                <c:pt idx="388">
                  <c:v>43042</c:v>
                </c:pt>
                <c:pt idx="389">
                  <c:v>43035</c:v>
                </c:pt>
                <c:pt idx="390">
                  <c:v>43028</c:v>
                </c:pt>
                <c:pt idx="391">
                  <c:v>43021</c:v>
                </c:pt>
                <c:pt idx="392">
                  <c:v>43014</c:v>
                </c:pt>
                <c:pt idx="393">
                  <c:v>43007</c:v>
                </c:pt>
                <c:pt idx="394">
                  <c:v>43000</c:v>
                </c:pt>
                <c:pt idx="395">
                  <c:v>42993</c:v>
                </c:pt>
                <c:pt idx="396">
                  <c:v>42986</c:v>
                </c:pt>
                <c:pt idx="397">
                  <c:v>42979</c:v>
                </c:pt>
                <c:pt idx="398">
                  <c:v>42972</c:v>
                </c:pt>
                <c:pt idx="399">
                  <c:v>42965</c:v>
                </c:pt>
                <c:pt idx="400">
                  <c:v>42958</c:v>
                </c:pt>
                <c:pt idx="401">
                  <c:v>42951</c:v>
                </c:pt>
                <c:pt idx="402">
                  <c:v>42944</c:v>
                </c:pt>
                <c:pt idx="403">
                  <c:v>42937</c:v>
                </c:pt>
                <c:pt idx="404">
                  <c:v>42930</c:v>
                </c:pt>
                <c:pt idx="405">
                  <c:v>42923</c:v>
                </c:pt>
                <c:pt idx="406">
                  <c:v>42916</c:v>
                </c:pt>
                <c:pt idx="407">
                  <c:v>42909</c:v>
                </c:pt>
                <c:pt idx="408">
                  <c:v>42902</c:v>
                </c:pt>
                <c:pt idx="409">
                  <c:v>42895</c:v>
                </c:pt>
                <c:pt idx="410">
                  <c:v>42888</c:v>
                </c:pt>
                <c:pt idx="411">
                  <c:v>42881</c:v>
                </c:pt>
                <c:pt idx="412">
                  <c:v>42874</c:v>
                </c:pt>
                <c:pt idx="413">
                  <c:v>42867</c:v>
                </c:pt>
                <c:pt idx="414">
                  <c:v>42860</c:v>
                </c:pt>
                <c:pt idx="415">
                  <c:v>42853</c:v>
                </c:pt>
                <c:pt idx="416">
                  <c:v>42846</c:v>
                </c:pt>
                <c:pt idx="417">
                  <c:v>42839</c:v>
                </c:pt>
                <c:pt idx="418">
                  <c:v>42832</c:v>
                </c:pt>
                <c:pt idx="419">
                  <c:v>42825</c:v>
                </c:pt>
                <c:pt idx="420">
                  <c:v>42818</c:v>
                </c:pt>
                <c:pt idx="421">
                  <c:v>42811</c:v>
                </c:pt>
                <c:pt idx="422">
                  <c:v>42804</c:v>
                </c:pt>
                <c:pt idx="423">
                  <c:v>42797</c:v>
                </c:pt>
                <c:pt idx="424">
                  <c:v>42790</c:v>
                </c:pt>
                <c:pt idx="425">
                  <c:v>42783</c:v>
                </c:pt>
                <c:pt idx="426">
                  <c:v>42776</c:v>
                </c:pt>
                <c:pt idx="427">
                  <c:v>42769</c:v>
                </c:pt>
                <c:pt idx="428">
                  <c:v>42762</c:v>
                </c:pt>
                <c:pt idx="429">
                  <c:v>42755</c:v>
                </c:pt>
                <c:pt idx="430">
                  <c:v>42748</c:v>
                </c:pt>
                <c:pt idx="431">
                  <c:v>42741</c:v>
                </c:pt>
                <c:pt idx="432">
                  <c:v>42734</c:v>
                </c:pt>
                <c:pt idx="433">
                  <c:v>42727</c:v>
                </c:pt>
                <c:pt idx="434">
                  <c:v>42720</c:v>
                </c:pt>
                <c:pt idx="435">
                  <c:v>42713</c:v>
                </c:pt>
                <c:pt idx="436">
                  <c:v>42706</c:v>
                </c:pt>
                <c:pt idx="437">
                  <c:v>42699</c:v>
                </c:pt>
                <c:pt idx="438">
                  <c:v>42692</c:v>
                </c:pt>
                <c:pt idx="439">
                  <c:v>42685</c:v>
                </c:pt>
                <c:pt idx="440">
                  <c:v>42678</c:v>
                </c:pt>
                <c:pt idx="441">
                  <c:v>42671</c:v>
                </c:pt>
                <c:pt idx="442">
                  <c:v>42664</c:v>
                </c:pt>
                <c:pt idx="443">
                  <c:v>42657</c:v>
                </c:pt>
                <c:pt idx="444">
                  <c:v>42650</c:v>
                </c:pt>
                <c:pt idx="445">
                  <c:v>42643</c:v>
                </c:pt>
                <c:pt idx="446">
                  <c:v>42636</c:v>
                </c:pt>
                <c:pt idx="447">
                  <c:v>42629</c:v>
                </c:pt>
                <c:pt idx="448">
                  <c:v>42622</c:v>
                </c:pt>
                <c:pt idx="449">
                  <c:v>42615</c:v>
                </c:pt>
                <c:pt idx="450">
                  <c:v>42608</c:v>
                </c:pt>
                <c:pt idx="451">
                  <c:v>42601</c:v>
                </c:pt>
                <c:pt idx="452">
                  <c:v>42594</c:v>
                </c:pt>
                <c:pt idx="453">
                  <c:v>42587</c:v>
                </c:pt>
                <c:pt idx="454">
                  <c:v>42580</c:v>
                </c:pt>
                <c:pt idx="455">
                  <c:v>42573</c:v>
                </c:pt>
                <c:pt idx="456">
                  <c:v>42566</c:v>
                </c:pt>
                <c:pt idx="457">
                  <c:v>42559</c:v>
                </c:pt>
                <c:pt idx="458">
                  <c:v>42552</c:v>
                </c:pt>
                <c:pt idx="459">
                  <c:v>42545</c:v>
                </c:pt>
                <c:pt idx="460">
                  <c:v>42538</c:v>
                </c:pt>
                <c:pt idx="461">
                  <c:v>42531</c:v>
                </c:pt>
                <c:pt idx="462">
                  <c:v>42524</c:v>
                </c:pt>
                <c:pt idx="463">
                  <c:v>42517</c:v>
                </c:pt>
                <c:pt idx="464">
                  <c:v>42510</c:v>
                </c:pt>
                <c:pt idx="465">
                  <c:v>42503</c:v>
                </c:pt>
                <c:pt idx="466">
                  <c:v>42496</c:v>
                </c:pt>
                <c:pt idx="467">
                  <c:v>42489</c:v>
                </c:pt>
                <c:pt idx="468">
                  <c:v>42482</c:v>
                </c:pt>
                <c:pt idx="469">
                  <c:v>42475</c:v>
                </c:pt>
                <c:pt idx="470">
                  <c:v>42468</c:v>
                </c:pt>
                <c:pt idx="471">
                  <c:v>42461</c:v>
                </c:pt>
                <c:pt idx="472">
                  <c:v>42454</c:v>
                </c:pt>
                <c:pt idx="473">
                  <c:v>42447</c:v>
                </c:pt>
                <c:pt idx="474">
                  <c:v>42440</c:v>
                </c:pt>
                <c:pt idx="475">
                  <c:v>42433</c:v>
                </c:pt>
                <c:pt idx="476">
                  <c:v>42426</c:v>
                </c:pt>
                <c:pt idx="477">
                  <c:v>42419</c:v>
                </c:pt>
                <c:pt idx="478">
                  <c:v>42412</c:v>
                </c:pt>
                <c:pt idx="479">
                  <c:v>42405</c:v>
                </c:pt>
                <c:pt idx="480">
                  <c:v>42398</c:v>
                </c:pt>
                <c:pt idx="481">
                  <c:v>42391</c:v>
                </c:pt>
                <c:pt idx="482">
                  <c:v>42384</c:v>
                </c:pt>
                <c:pt idx="483">
                  <c:v>42377</c:v>
                </c:pt>
                <c:pt idx="484">
                  <c:v>42370</c:v>
                </c:pt>
                <c:pt idx="485">
                  <c:v>42363</c:v>
                </c:pt>
                <c:pt idx="486">
                  <c:v>42356</c:v>
                </c:pt>
                <c:pt idx="487">
                  <c:v>42349</c:v>
                </c:pt>
                <c:pt idx="488">
                  <c:v>42342</c:v>
                </c:pt>
                <c:pt idx="489">
                  <c:v>42335</c:v>
                </c:pt>
                <c:pt idx="490">
                  <c:v>42328</c:v>
                </c:pt>
                <c:pt idx="491">
                  <c:v>42321</c:v>
                </c:pt>
                <c:pt idx="492">
                  <c:v>42314</c:v>
                </c:pt>
                <c:pt idx="493">
                  <c:v>42307</c:v>
                </c:pt>
                <c:pt idx="494">
                  <c:v>42300</c:v>
                </c:pt>
                <c:pt idx="495">
                  <c:v>42293</c:v>
                </c:pt>
                <c:pt idx="496">
                  <c:v>42286</c:v>
                </c:pt>
                <c:pt idx="497">
                  <c:v>42279</c:v>
                </c:pt>
                <c:pt idx="498">
                  <c:v>42272</c:v>
                </c:pt>
                <c:pt idx="499">
                  <c:v>42265</c:v>
                </c:pt>
                <c:pt idx="500">
                  <c:v>42258</c:v>
                </c:pt>
                <c:pt idx="501">
                  <c:v>42251</c:v>
                </c:pt>
                <c:pt idx="502">
                  <c:v>42244</c:v>
                </c:pt>
                <c:pt idx="503">
                  <c:v>42237</c:v>
                </c:pt>
                <c:pt idx="504">
                  <c:v>42230</c:v>
                </c:pt>
                <c:pt idx="505">
                  <c:v>42223</c:v>
                </c:pt>
                <c:pt idx="506">
                  <c:v>42216</c:v>
                </c:pt>
                <c:pt idx="507">
                  <c:v>42209</c:v>
                </c:pt>
                <c:pt idx="508">
                  <c:v>42202</c:v>
                </c:pt>
                <c:pt idx="509">
                  <c:v>42195</c:v>
                </c:pt>
                <c:pt idx="510">
                  <c:v>42188</c:v>
                </c:pt>
                <c:pt idx="511">
                  <c:v>42181</c:v>
                </c:pt>
                <c:pt idx="512">
                  <c:v>42174</c:v>
                </c:pt>
                <c:pt idx="513">
                  <c:v>42167</c:v>
                </c:pt>
                <c:pt idx="514">
                  <c:v>42160</c:v>
                </c:pt>
                <c:pt idx="515">
                  <c:v>42153</c:v>
                </c:pt>
                <c:pt idx="516">
                  <c:v>42146</c:v>
                </c:pt>
                <c:pt idx="517">
                  <c:v>42139</c:v>
                </c:pt>
                <c:pt idx="518">
                  <c:v>42132</c:v>
                </c:pt>
                <c:pt idx="519">
                  <c:v>42125</c:v>
                </c:pt>
                <c:pt idx="520">
                  <c:v>42118</c:v>
                </c:pt>
                <c:pt idx="521">
                  <c:v>42111</c:v>
                </c:pt>
              </c:numCache>
            </c:numRef>
          </c:cat>
          <c:val>
            <c:numRef>
              <c:f>CORRELATION!$BW$3:$BW$524</c:f>
              <c:numCache>
                <c:formatCode>General</c:formatCode>
                <c:ptCount val="522"/>
                <c:pt idx="0">
                  <c:v>2.49638666525721</c:v>
                </c:pt>
                <c:pt idx="1">
                  <c:v>2.4380783978319993</c:v>
                </c:pt>
                <c:pt idx="2">
                  <c:v>2.6816229254557511</c:v>
                </c:pt>
                <c:pt idx="3">
                  <c:v>2.723243544527624</c:v>
                </c:pt>
                <c:pt idx="4">
                  <c:v>2.7094917306528026</c:v>
                </c:pt>
                <c:pt idx="5">
                  <c:v>2.7725617197935786</c:v>
                </c:pt>
                <c:pt idx="6">
                  <c:v>2.861117250790417</c:v>
                </c:pt>
                <c:pt idx="7">
                  <c:v>2.8892887688715057</c:v>
                </c:pt>
                <c:pt idx="8">
                  <c:v>2.9380591779663461</c:v>
                </c:pt>
                <c:pt idx="9">
                  <c:v>2.8954679556789897</c:v>
                </c:pt>
                <c:pt idx="10">
                  <c:v>2.9024543768439059</c:v>
                </c:pt>
                <c:pt idx="11">
                  <c:v>2.9316253279389577</c:v>
                </c:pt>
                <c:pt idx="12">
                  <c:v>2.8813749891888256</c:v>
                </c:pt>
                <c:pt idx="13">
                  <c:v>2.7998731488866895</c:v>
                </c:pt>
                <c:pt idx="14">
                  <c:v>2.8553368761952358</c:v>
                </c:pt>
                <c:pt idx="15">
                  <c:v>2.8689685659097246</c:v>
                </c:pt>
                <c:pt idx="16">
                  <c:v>2.8497535052229988</c:v>
                </c:pt>
                <c:pt idx="17">
                  <c:v>2.9075284213763348</c:v>
                </c:pt>
                <c:pt idx="18">
                  <c:v>2.9263542797835846</c:v>
                </c:pt>
                <c:pt idx="19">
                  <c:v>2.8985383292170792</c:v>
                </c:pt>
                <c:pt idx="20">
                  <c:v>2.8682478209477318</c:v>
                </c:pt>
                <c:pt idx="21">
                  <c:v>2.8208131925157844</c:v>
                </c:pt>
                <c:pt idx="22">
                  <c:v>2.8808368329505378</c:v>
                </c:pt>
                <c:pt idx="23">
                  <c:v>2.75266915884258</c:v>
                </c:pt>
                <c:pt idx="24">
                  <c:v>2.7907821524327545</c:v>
                </c:pt>
                <c:pt idx="25">
                  <c:v>2.8179542374998801</c:v>
                </c:pt>
                <c:pt idx="26">
                  <c:v>2.7941023842243342</c:v>
                </c:pt>
                <c:pt idx="27">
                  <c:v>2.7633698190449651</c:v>
                </c:pt>
                <c:pt idx="28">
                  <c:v>2.7571714123718278</c:v>
                </c:pt>
                <c:pt idx="29">
                  <c:v>2.7400561220077075</c:v>
                </c:pt>
                <c:pt idx="30">
                  <c:v>2.7032837140468393</c:v>
                </c:pt>
                <c:pt idx="31">
                  <c:v>2.5987276448937626</c:v>
                </c:pt>
                <c:pt idx="32">
                  <c:v>2.7140372288797701</c:v>
                </c:pt>
                <c:pt idx="33">
                  <c:v>2.7074111801958507</c:v>
                </c:pt>
                <c:pt idx="34">
                  <c:v>2.6687984700986944</c:v>
                </c:pt>
                <c:pt idx="35">
                  <c:v>2.5678509307219946</c:v>
                </c:pt>
                <c:pt idx="36">
                  <c:v>2.5690041226611831</c:v>
                </c:pt>
                <c:pt idx="37">
                  <c:v>2.6230792146762898</c:v>
                </c:pt>
                <c:pt idx="38">
                  <c:v>2.6451340105132668</c:v>
                </c:pt>
                <c:pt idx="39">
                  <c:v>2.6981568148838644</c:v>
                </c:pt>
                <c:pt idx="40">
                  <c:v>2.6750160966374845</c:v>
                </c:pt>
                <c:pt idx="41">
                  <c:v>2.6237423000413229</c:v>
                </c:pt>
                <c:pt idx="42">
                  <c:v>2.6257315561364227</c:v>
                </c:pt>
                <c:pt idx="43">
                  <c:v>2.6098655570397566</c:v>
                </c:pt>
                <c:pt idx="44">
                  <c:v>2.5692107362169541</c:v>
                </c:pt>
                <c:pt idx="45">
                  <c:v>2.5358258295774516</c:v>
                </c:pt>
                <c:pt idx="46">
                  <c:v>2.5489001431879994</c:v>
                </c:pt>
                <c:pt idx="47">
                  <c:v>2.548203423058073</c:v>
                </c:pt>
                <c:pt idx="48">
                  <c:v>2.509480198733411</c:v>
                </c:pt>
                <c:pt idx="49">
                  <c:v>2.4638858724377517</c:v>
                </c:pt>
                <c:pt idx="50">
                  <c:v>2.4505136509095804</c:v>
                </c:pt>
                <c:pt idx="51">
                  <c:v>2.3867373317060512</c:v>
                </c:pt>
                <c:pt idx="52">
                  <c:v>2.4617812971487329</c:v>
                </c:pt>
                <c:pt idx="53">
                  <c:v>2.5006678903314468</c:v>
                </c:pt>
                <c:pt idx="54">
                  <c:v>2.524697527364284</c:v>
                </c:pt>
                <c:pt idx="55">
                  <c:v>2.5150059101086888</c:v>
                </c:pt>
                <c:pt idx="56">
                  <c:v>2.4587445583755372</c:v>
                </c:pt>
                <c:pt idx="57">
                  <c:v>2.4619158362083051</c:v>
                </c:pt>
                <c:pt idx="58">
                  <c:v>2.4683496862356935</c:v>
                </c:pt>
                <c:pt idx="59">
                  <c:v>2.4451513083923548</c:v>
                </c:pt>
                <c:pt idx="60">
                  <c:v>2.4051595729345854</c:v>
                </c:pt>
                <c:pt idx="61">
                  <c:v>2.4152692222681362</c:v>
                </c:pt>
                <c:pt idx="62">
                  <c:v>2.3825954506577998</c:v>
                </c:pt>
                <c:pt idx="63">
                  <c:v>2.3500946578383419</c:v>
                </c:pt>
                <c:pt idx="64">
                  <c:v>2.3255124496679773</c:v>
                </c:pt>
                <c:pt idx="65">
                  <c:v>2.2986142476864089</c:v>
                </c:pt>
                <c:pt idx="66">
                  <c:v>2.257008043513776</c:v>
                </c:pt>
                <c:pt idx="67">
                  <c:v>2.2918872947078102</c:v>
                </c:pt>
                <c:pt idx="68">
                  <c:v>2.2845837457596172</c:v>
                </c:pt>
                <c:pt idx="69">
                  <c:v>2.2675549447909358</c:v>
                </c:pt>
                <c:pt idx="70">
                  <c:v>2.2123843204336002</c:v>
                </c:pt>
                <c:pt idx="71">
                  <c:v>2.207704283147061</c:v>
                </c:pt>
                <c:pt idx="72">
                  <c:v>2.1907475566745789</c:v>
                </c:pt>
                <c:pt idx="73">
                  <c:v>2.1689714488895726</c:v>
                </c:pt>
                <c:pt idx="74">
                  <c:v>2.1215079906591452</c:v>
                </c:pt>
                <c:pt idx="75">
                  <c:v>2.0941677317675551</c:v>
                </c:pt>
                <c:pt idx="76">
                  <c:v>1.9783824561066319</c:v>
                </c:pt>
                <c:pt idx="77">
                  <c:v>2.0296946924340999</c:v>
                </c:pt>
                <c:pt idx="78">
                  <c:v>2.0794837544085567</c:v>
                </c:pt>
                <c:pt idx="79">
                  <c:v>2.070219779163744</c:v>
                </c:pt>
                <c:pt idx="80">
                  <c:v>2.0603936228485766</c:v>
                </c:pt>
                <c:pt idx="81">
                  <c:v>2.075774320337501</c:v>
                </c:pt>
                <c:pt idx="82">
                  <c:v>2.1383638128369484</c:v>
                </c:pt>
                <c:pt idx="83">
                  <c:v>2.1418089737552735</c:v>
                </c:pt>
                <c:pt idx="84">
                  <c:v>2.1698123180118976</c:v>
                </c:pt>
                <c:pt idx="85">
                  <c:v>2.1169288576672849</c:v>
                </c:pt>
                <c:pt idx="86">
                  <c:v>2.09963097857946</c:v>
                </c:pt>
                <c:pt idx="87">
                  <c:v>2.1449610317223886</c:v>
                </c:pt>
                <c:pt idx="88">
                  <c:v>2.1516783747681605</c:v>
                </c:pt>
                <c:pt idx="89">
                  <c:v>2.2017461247945875</c:v>
                </c:pt>
                <c:pt idx="90">
                  <c:v>2.1796961339240242</c:v>
                </c:pt>
                <c:pt idx="91">
                  <c:v>2.1648391777741476</c:v>
                </c:pt>
                <c:pt idx="92">
                  <c:v>2.1136807003719045</c:v>
                </c:pt>
                <c:pt idx="93">
                  <c:v>2.1383926426354281</c:v>
                </c:pt>
                <c:pt idx="94">
                  <c:v>2.0893579603878569</c:v>
                </c:pt>
                <c:pt idx="95">
                  <c:v>2.1187931846356398</c:v>
                </c:pt>
                <c:pt idx="96">
                  <c:v>2.0655877915413372</c:v>
                </c:pt>
                <c:pt idx="97">
                  <c:v>2.0576644019258308</c:v>
                </c:pt>
                <c:pt idx="98">
                  <c:v>2.0207046002748443</c:v>
                </c:pt>
                <c:pt idx="99">
                  <c:v>2.0142323105161495</c:v>
                </c:pt>
                <c:pt idx="100">
                  <c:v>1.9816065885699461</c:v>
                </c:pt>
                <c:pt idx="101">
                  <c:v>1.9874542326949136</c:v>
                </c:pt>
                <c:pt idx="102">
                  <c:v>2.0034211360862586</c:v>
                </c:pt>
                <c:pt idx="103">
                  <c:v>1.9861424768640872</c:v>
                </c:pt>
                <c:pt idx="104">
                  <c:v>1.9881221230263604</c:v>
                </c:pt>
                <c:pt idx="105">
                  <c:v>1.9724483225862255</c:v>
                </c:pt>
                <c:pt idx="106">
                  <c:v>1.9745096531775246</c:v>
                </c:pt>
                <c:pt idx="107">
                  <c:v>1.9080473577489694</c:v>
                </c:pt>
                <c:pt idx="108">
                  <c:v>1.8819323652927666</c:v>
                </c:pt>
                <c:pt idx="109">
                  <c:v>1.8554810251876341</c:v>
                </c:pt>
                <c:pt idx="110">
                  <c:v>1.9439164320241402</c:v>
                </c:pt>
                <c:pt idx="111">
                  <c:v>1.9075908859397075</c:v>
                </c:pt>
                <c:pt idx="112">
                  <c:v>1.959989044676578</c:v>
                </c:pt>
                <c:pt idx="113">
                  <c:v>1.9654522914884827</c:v>
                </c:pt>
                <c:pt idx="114">
                  <c:v>1.9875647469224189</c:v>
                </c:pt>
                <c:pt idx="115">
                  <c:v>1.955890408326046</c:v>
                </c:pt>
                <c:pt idx="116">
                  <c:v>1.9088257623079217</c:v>
                </c:pt>
                <c:pt idx="117">
                  <c:v>1.9215493133702997</c:v>
                </c:pt>
                <c:pt idx="118">
                  <c:v>1.8715728577057247</c:v>
                </c:pt>
                <c:pt idx="119">
                  <c:v>1.8448668543806881</c:v>
                </c:pt>
                <c:pt idx="120">
                  <c:v>1.8474230965125555</c:v>
                </c:pt>
                <c:pt idx="121">
                  <c:v>1.8510460411881724</c:v>
                </c:pt>
                <c:pt idx="122">
                  <c:v>1.890456375709934</c:v>
                </c:pt>
                <c:pt idx="123">
                  <c:v>1.9564381744971604</c:v>
                </c:pt>
                <c:pt idx="124">
                  <c:v>1.9345371375854084</c:v>
                </c:pt>
                <c:pt idx="125">
                  <c:v>1.9053325517254636</c:v>
                </c:pt>
                <c:pt idx="126">
                  <c:v>1.9185894540597161</c:v>
                </c:pt>
                <c:pt idx="127">
                  <c:v>1.8117366109610895</c:v>
                </c:pt>
                <c:pt idx="128">
                  <c:v>1.8744462276208691</c:v>
                </c:pt>
                <c:pt idx="129">
                  <c:v>1.8031837707454426</c:v>
                </c:pt>
                <c:pt idx="130">
                  <c:v>1.7216531006448268</c:v>
                </c:pt>
                <c:pt idx="131">
                  <c:v>1.7488444055776051</c:v>
                </c:pt>
                <c:pt idx="132">
                  <c:v>1.7228783670802141</c:v>
                </c:pt>
                <c:pt idx="133">
                  <c:v>1.7745846106535716</c:v>
                </c:pt>
                <c:pt idx="134">
                  <c:v>1.8611220557568304</c:v>
                </c:pt>
                <c:pt idx="135">
                  <c:v>1.9543528190737949</c:v>
                </c:pt>
                <c:pt idx="136">
                  <c:v>1.88559374969969</c:v>
                </c:pt>
                <c:pt idx="137">
                  <c:v>1.9496920016529085</c:v>
                </c:pt>
                <c:pt idx="138">
                  <c:v>2.0317704379246391</c:v>
                </c:pt>
                <c:pt idx="139">
                  <c:v>2.0565976993820811</c:v>
                </c:pt>
                <c:pt idx="140">
                  <c:v>1.99174987266839</c:v>
                </c:pt>
                <c:pt idx="141">
                  <c:v>1.9845904727125958</c:v>
                </c:pt>
                <c:pt idx="142">
                  <c:v>1.903549909186135</c:v>
                </c:pt>
                <c:pt idx="143">
                  <c:v>1.8562354049145198</c:v>
                </c:pt>
                <c:pt idx="144">
                  <c:v>1.8736389932634372</c:v>
                </c:pt>
                <c:pt idx="145">
                  <c:v>1.8380582169730635</c:v>
                </c:pt>
                <c:pt idx="146">
                  <c:v>1.879577931750257</c:v>
                </c:pt>
                <c:pt idx="147">
                  <c:v>1.765748277419541</c:v>
                </c:pt>
                <c:pt idx="148">
                  <c:v>1.8743501282926034</c:v>
                </c:pt>
                <c:pt idx="149">
                  <c:v>1.9741396707637016</c:v>
                </c:pt>
                <c:pt idx="150">
                  <c:v>1.9980203538377268</c:v>
                </c:pt>
                <c:pt idx="151">
                  <c:v>1.8745903766132677</c:v>
                </c:pt>
                <c:pt idx="152">
                  <c:v>1.933465630075246</c:v>
                </c:pt>
                <c:pt idx="153">
                  <c:v>1.9812510210553631</c:v>
                </c:pt>
                <c:pt idx="154">
                  <c:v>1.9853784872043747</c:v>
                </c:pt>
                <c:pt idx="155">
                  <c:v>2.0525759424941619</c:v>
                </c:pt>
                <c:pt idx="156">
                  <c:v>2.1106247417330555</c:v>
                </c:pt>
                <c:pt idx="157">
                  <c:v>2.1566034653417772</c:v>
                </c:pt>
                <c:pt idx="158">
                  <c:v>2.1842704619494708</c:v>
                </c:pt>
                <c:pt idx="159">
                  <c:v>2.1829250713537518</c:v>
                </c:pt>
                <c:pt idx="160">
                  <c:v>2.1445141698459529</c:v>
                </c:pt>
                <c:pt idx="161">
                  <c:v>2.0201568341037301</c:v>
                </c:pt>
                <c:pt idx="162">
                  <c:v>2.0800074957476049</c:v>
                </c:pt>
                <c:pt idx="163">
                  <c:v>2.1068095984009072</c:v>
                </c:pt>
                <c:pt idx="164">
                  <c:v>2.0896174285741744</c:v>
                </c:pt>
                <c:pt idx="165">
                  <c:v>2.1231416792396622</c:v>
                </c:pt>
                <c:pt idx="166">
                  <c:v>2.1624895491980514</c:v>
                </c:pt>
                <c:pt idx="167">
                  <c:v>2.1294890398716118</c:v>
                </c:pt>
                <c:pt idx="168">
                  <c:v>2.1131953987641627</c:v>
                </c:pt>
                <c:pt idx="169">
                  <c:v>2.24048376401849</c:v>
                </c:pt>
                <c:pt idx="170">
                  <c:v>2.2472972063925272</c:v>
                </c:pt>
                <c:pt idx="171">
                  <c:v>2.2901334819669614</c:v>
                </c:pt>
                <c:pt idx="172">
                  <c:v>2.2707262226237042</c:v>
                </c:pt>
                <c:pt idx="173">
                  <c:v>2.220202000788015</c:v>
                </c:pt>
                <c:pt idx="174">
                  <c:v>2.2641097838726112</c:v>
                </c:pt>
                <c:pt idx="175">
                  <c:v>2.1807003719044009</c:v>
                </c:pt>
                <c:pt idx="176">
                  <c:v>2.2076994781806478</c:v>
                </c:pt>
                <c:pt idx="177">
                  <c:v>2.2573540010955324</c:v>
                </c:pt>
                <c:pt idx="178">
                  <c:v>2.2500936968450596</c:v>
                </c:pt>
                <c:pt idx="179">
                  <c:v>2.257147387539761</c:v>
                </c:pt>
                <c:pt idx="180">
                  <c:v>2.212869622041342</c:v>
                </c:pt>
                <c:pt idx="181">
                  <c:v>2.1838091851737955</c:v>
                </c:pt>
                <c:pt idx="182">
                  <c:v>2.1484782671369129</c:v>
                </c:pt>
                <c:pt idx="183">
                  <c:v>2.1100241209313948</c:v>
                </c:pt>
                <c:pt idx="184">
                  <c:v>2.093543086133828</c:v>
                </c:pt>
                <c:pt idx="185">
                  <c:v>2.1408431755062032</c:v>
                </c:pt>
                <c:pt idx="186">
                  <c:v>2.1300368060427259</c:v>
                </c:pt>
                <c:pt idx="187">
                  <c:v>2.1423327150943217</c:v>
                </c:pt>
                <c:pt idx="188">
                  <c:v>2.1792588819804153</c:v>
                </c:pt>
                <c:pt idx="189">
                  <c:v>2.1667371395073949</c:v>
                </c:pt>
                <c:pt idx="190">
                  <c:v>2.134207516889457</c:v>
                </c:pt>
                <c:pt idx="191">
                  <c:v>2.1468589934556359</c:v>
                </c:pt>
                <c:pt idx="192">
                  <c:v>2.1317329591866159</c:v>
                </c:pt>
                <c:pt idx="193">
                  <c:v>2.1119076677654025</c:v>
                </c:pt>
                <c:pt idx="194">
                  <c:v>2.1198502772465622</c:v>
                </c:pt>
                <c:pt idx="195">
                  <c:v>2.0791858464909332</c:v>
                </c:pt>
                <c:pt idx="196">
                  <c:v>2.0995540991168475</c:v>
                </c:pt>
                <c:pt idx="197">
                  <c:v>2.0912847519195843</c:v>
                </c:pt>
                <c:pt idx="198">
                  <c:v>2.0568619725348118</c:v>
                </c:pt>
                <c:pt idx="199">
                  <c:v>2.0019652312630334</c:v>
                </c:pt>
                <c:pt idx="200">
                  <c:v>2.0408806542442268</c:v>
                </c:pt>
                <c:pt idx="201">
                  <c:v>2.0324479381889122</c:v>
                </c:pt>
                <c:pt idx="202">
                  <c:v>2.020060734775464</c:v>
                </c:pt>
                <c:pt idx="203">
                  <c:v>1.9968767718313649</c:v>
                </c:pt>
                <c:pt idx="204">
                  <c:v>2.0055209064088646</c:v>
                </c:pt>
                <c:pt idx="205">
                  <c:v>2.0337500840869125</c:v>
                </c:pt>
                <c:pt idx="206">
                  <c:v>2.0090381418233889</c:v>
                </c:pt>
                <c:pt idx="207">
                  <c:v>2.0085576451820604</c:v>
                </c:pt>
                <c:pt idx="208">
                  <c:v>2.0111042773811012</c:v>
                </c:pt>
                <c:pt idx="209">
                  <c:v>1.9838745327170166</c:v>
                </c:pt>
                <c:pt idx="210">
                  <c:v>1.9315340335771054</c:v>
                </c:pt>
                <c:pt idx="211">
                  <c:v>1.9097531208256855</c:v>
                </c:pt>
                <c:pt idx="212">
                  <c:v>1.880231407182464</c:v>
                </c:pt>
                <c:pt idx="213">
                  <c:v>1.8947616256162372</c:v>
                </c:pt>
                <c:pt idx="214">
                  <c:v>1.8460392661855296</c:v>
                </c:pt>
                <c:pt idx="215">
                  <c:v>1.8312447745990257</c:v>
                </c:pt>
                <c:pt idx="216">
                  <c:v>1.8771610336443749</c:v>
                </c:pt>
                <c:pt idx="217">
                  <c:v>1.8906725991985318</c:v>
                </c:pt>
                <c:pt idx="218">
                  <c:v>1.8676087604147649</c:v>
                </c:pt>
                <c:pt idx="219">
                  <c:v>1.7846798450878829</c:v>
                </c:pt>
                <c:pt idx="220">
                  <c:v>1.8458134327641049</c:v>
                </c:pt>
                <c:pt idx="221">
                  <c:v>1.8106314686860341</c:v>
                </c:pt>
                <c:pt idx="222">
                  <c:v>1.8377458941561999</c:v>
                </c:pt>
                <c:pt idx="223">
                  <c:v>1.8047790195946531</c:v>
                </c:pt>
                <c:pt idx="224">
                  <c:v>1.7793078926378305</c:v>
                </c:pt>
                <c:pt idx="225">
                  <c:v>1.7823590463102663</c:v>
                </c:pt>
                <c:pt idx="226">
                  <c:v>1.7602802256412229</c:v>
                </c:pt>
                <c:pt idx="227">
                  <c:v>1.7774147358709964</c:v>
                </c:pt>
                <c:pt idx="228">
                  <c:v>1.7482149549774648</c:v>
                </c:pt>
                <c:pt idx="229">
                  <c:v>1.7093860213917107</c:v>
                </c:pt>
                <c:pt idx="230">
                  <c:v>1.7226525336587899</c:v>
                </c:pt>
                <c:pt idx="231">
                  <c:v>1.6862741329438109</c:v>
                </c:pt>
                <c:pt idx="232">
                  <c:v>1.5712047972784671</c:v>
                </c:pt>
                <c:pt idx="233">
                  <c:v>1.6651082558932915</c:v>
                </c:pt>
                <c:pt idx="234">
                  <c:v>1.6739590040265619</c:v>
                </c:pt>
                <c:pt idx="235">
                  <c:v>1.6707492864624878</c:v>
                </c:pt>
                <c:pt idx="236">
                  <c:v>1.608914173689926</c:v>
                </c:pt>
                <c:pt idx="237">
                  <c:v>1.5848989515563288</c:v>
                </c:pt>
                <c:pt idx="238">
                  <c:v>1.59499418599064</c:v>
                </c:pt>
                <c:pt idx="239">
                  <c:v>1.6053248637792021</c:v>
                </c:pt>
                <c:pt idx="240">
                  <c:v>1.6466427699670381</c:v>
                </c:pt>
                <c:pt idx="241">
                  <c:v>1.6855870227467111</c:v>
                </c:pt>
                <c:pt idx="242">
                  <c:v>1.6323239700554493</c:v>
                </c:pt>
                <c:pt idx="243">
                  <c:v>1.620643096704754</c:v>
                </c:pt>
                <c:pt idx="244">
                  <c:v>1.6102787841512991</c:v>
                </c:pt>
                <c:pt idx="245">
                  <c:v>1.5717621733824081</c:v>
                </c:pt>
                <c:pt idx="246">
                  <c:v>1.5450994147550909</c:v>
                </c:pt>
                <c:pt idx="247">
                  <c:v>1.5494719341911802</c:v>
                </c:pt>
                <c:pt idx="248">
                  <c:v>1.5304010224968529</c:v>
                </c:pt>
                <c:pt idx="249">
                  <c:v>1.5039592923245468</c:v>
                </c:pt>
                <c:pt idx="250">
                  <c:v>1.4458384185894542</c:v>
                </c:pt>
                <c:pt idx="251">
                  <c:v>1.4884536657088767</c:v>
                </c:pt>
                <c:pt idx="252">
                  <c:v>1.4613392402387109</c:v>
                </c:pt>
                <c:pt idx="253">
                  <c:v>1.5346726376382629</c:v>
                </c:pt>
                <c:pt idx="254">
                  <c:v>1.4627807301626963</c:v>
                </c:pt>
                <c:pt idx="255">
                  <c:v>1.4200837986142476</c:v>
                </c:pt>
                <c:pt idx="256">
                  <c:v>1.37599823177236</c:v>
                </c:pt>
                <c:pt idx="257">
                  <c:v>1.4077590597641725</c:v>
                </c:pt>
                <c:pt idx="258">
                  <c:v>1.3601466475749335</c:v>
                </c:pt>
                <c:pt idx="259">
                  <c:v>1.3630440423221442</c:v>
                </c:pt>
                <c:pt idx="260">
                  <c:v>1.3812164252971872</c:v>
                </c:pt>
                <c:pt idx="261">
                  <c:v>1.3404991399110122</c:v>
                </c:pt>
                <c:pt idx="262">
                  <c:v>1.1957879664421147</c:v>
                </c:pt>
                <c:pt idx="263">
                  <c:v>1.2211677990370848</c:v>
                </c:pt>
                <c:pt idx="264">
                  <c:v>1.1075063185308336</c:v>
                </c:pt>
                <c:pt idx="265">
                  <c:v>1.3026360045743282</c:v>
                </c:pt>
                <c:pt idx="266">
                  <c:v>1.4282138017855255</c:v>
                </c:pt>
                <c:pt idx="267">
                  <c:v>1.4194927877454138</c:v>
                </c:pt>
                <c:pt idx="268">
                  <c:v>1.6037776645941246</c:v>
                </c:pt>
                <c:pt idx="269">
                  <c:v>1.6241555271528652</c:v>
                </c:pt>
                <c:pt idx="270">
                  <c:v>1.5989534783151866</c:v>
                </c:pt>
                <c:pt idx="271">
                  <c:v>1.5498515265378296</c:v>
                </c:pt>
                <c:pt idx="272">
                  <c:v>1.5834622665987566</c:v>
                </c:pt>
                <c:pt idx="273">
                  <c:v>1.5998712269001241</c:v>
                </c:pt>
                <c:pt idx="274">
                  <c:v>1.5689897077619428</c:v>
                </c:pt>
                <c:pt idx="275">
                  <c:v>1.5543345602014242</c:v>
                </c:pt>
                <c:pt idx="276">
                  <c:v>1.5568187278370926</c:v>
                </c:pt>
                <c:pt idx="277">
                  <c:v>1.5477853909801171</c:v>
                </c:pt>
                <c:pt idx="278">
                  <c:v>1.5225977570416784</c:v>
                </c:pt>
                <c:pt idx="279">
                  <c:v>1.5115991889216696</c:v>
                </c:pt>
                <c:pt idx="280">
                  <c:v>1.5092303404799201</c:v>
                </c:pt>
                <c:pt idx="281">
                  <c:v>1.4944838985575493</c:v>
                </c:pt>
                <c:pt idx="282">
                  <c:v>1.4993705493998599</c:v>
                </c:pt>
                <c:pt idx="283">
                  <c:v>1.486214551360286</c:v>
                </c:pt>
                <c:pt idx="284">
                  <c:v>1.4736399542567198</c:v>
                </c:pt>
                <c:pt idx="285">
                  <c:v>1.4523251232473886</c:v>
                </c:pt>
                <c:pt idx="286">
                  <c:v>1.4348590703350983</c:v>
                </c:pt>
                <c:pt idx="287">
                  <c:v>1.4272047588387358</c:v>
                </c:pt>
                <c:pt idx="288">
                  <c:v>1.418430890168078</c:v>
                </c:pt>
                <c:pt idx="289">
                  <c:v>1.4231301473202704</c:v>
                </c:pt>
                <c:pt idx="290">
                  <c:v>1.4376795856196967</c:v>
                </c:pt>
                <c:pt idx="291">
                  <c:v>1.4450407941648489</c:v>
                </c:pt>
                <c:pt idx="292">
                  <c:v>1.4312601504915481</c:v>
                </c:pt>
                <c:pt idx="293">
                  <c:v>1.4061542009821353</c:v>
                </c:pt>
                <c:pt idx="294">
                  <c:v>1.3680267924927207</c:v>
                </c:pt>
                <c:pt idx="295">
                  <c:v>1.3880010378727452</c:v>
                </c:pt>
                <c:pt idx="296">
                  <c:v>1.4024015222133599</c:v>
                </c:pt>
                <c:pt idx="297">
                  <c:v>1.4088401772071615</c:v>
                </c:pt>
                <c:pt idx="298">
                  <c:v>1.453915567130186</c:v>
                </c:pt>
                <c:pt idx="299">
                  <c:v>1.4302511075447584</c:v>
                </c:pt>
                <c:pt idx="300">
                  <c:v>1.4481063627365245</c:v>
                </c:pt>
                <c:pt idx="301">
                  <c:v>1.4368819611950914</c:v>
                </c:pt>
                <c:pt idx="302">
                  <c:v>1.4135057995944611</c:v>
                </c:pt>
                <c:pt idx="303">
                  <c:v>1.4176861203740188</c:v>
                </c:pt>
                <c:pt idx="304">
                  <c:v>1.3871841935824869</c:v>
                </c:pt>
                <c:pt idx="305">
                  <c:v>1.3806302193947666</c:v>
                </c:pt>
                <c:pt idx="306">
                  <c:v>1.3223555867344488</c:v>
                </c:pt>
                <c:pt idx="307">
                  <c:v>1.357912338192756</c:v>
                </c:pt>
                <c:pt idx="308">
                  <c:v>1.3739945607780204</c:v>
                </c:pt>
                <c:pt idx="309">
                  <c:v>1.3845030223238741</c:v>
                </c:pt>
                <c:pt idx="310">
                  <c:v>1.4153701265628154</c:v>
                </c:pt>
                <c:pt idx="311">
                  <c:v>1.4126024659087635</c:v>
                </c:pt>
                <c:pt idx="312">
                  <c:v>1.395857157958466</c:v>
                </c:pt>
                <c:pt idx="313">
                  <c:v>1.3970007399648277</c:v>
                </c:pt>
                <c:pt idx="314">
                  <c:v>1.389951854236539</c:v>
                </c:pt>
                <c:pt idx="315">
                  <c:v>1.3619196801814357</c:v>
                </c:pt>
                <c:pt idx="316">
                  <c:v>1.3457317483350792</c:v>
                </c:pt>
                <c:pt idx="317">
                  <c:v>1.3561921602168001</c:v>
                </c:pt>
                <c:pt idx="318">
                  <c:v>1.318035921928906</c:v>
                </c:pt>
                <c:pt idx="319">
                  <c:v>1.347163628326238</c:v>
                </c:pt>
                <c:pt idx="320">
                  <c:v>1.3418685553387983</c:v>
                </c:pt>
                <c:pt idx="321">
                  <c:v>1.3336664776713212</c:v>
                </c:pt>
                <c:pt idx="322">
                  <c:v>1.3011272451205567</c:v>
                </c:pt>
                <c:pt idx="323">
                  <c:v>1.3004785746547634</c:v>
                </c:pt>
                <c:pt idx="324">
                  <c:v>1.280408229946473</c:v>
                </c:pt>
                <c:pt idx="325">
                  <c:v>1.2832671849623771</c:v>
                </c:pt>
                <c:pt idx="326">
                  <c:v>1.2474942100154722</c:v>
                </c:pt>
                <c:pt idx="327">
                  <c:v>1.2165886660452245</c:v>
                </c:pt>
                <c:pt idx="328">
                  <c:v>1.1943897212158487</c:v>
                </c:pt>
                <c:pt idx="329">
                  <c:v>1.1611777933672245</c:v>
                </c:pt>
                <c:pt idx="330">
                  <c:v>1.249267242621974</c:v>
                </c:pt>
                <c:pt idx="331">
                  <c:v>1.2651860963491866</c:v>
                </c:pt>
                <c:pt idx="332">
                  <c:v>1.3262524144956229</c:v>
                </c:pt>
                <c:pt idx="333">
                  <c:v>1.2649362380956959</c:v>
                </c:pt>
                <c:pt idx="334">
                  <c:v>1.3147685447678721</c:v>
                </c:pt>
                <c:pt idx="335">
                  <c:v>1.3362659645009083</c:v>
                </c:pt>
                <c:pt idx="336">
                  <c:v>1.308421184135923</c:v>
                </c:pt>
                <c:pt idx="337">
                  <c:v>1.2774916153336089</c:v>
                </c:pt>
                <c:pt idx="338">
                  <c:v>1.3299089939361326</c:v>
                </c:pt>
                <c:pt idx="339">
                  <c:v>1.329596671119269</c:v>
                </c:pt>
                <c:pt idx="340">
                  <c:v>1.386506693318214</c:v>
                </c:pt>
                <c:pt idx="341">
                  <c:v>1.4001576028983558</c:v>
                </c:pt>
                <c:pt idx="342">
                  <c:v>1.4076965952007996</c:v>
                </c:pt>
                <c:pt idx="343">
                  <c:v>1.3958331331263996</c:v>
                </c:pt>
                <c:pt idx="344">
                  <c:v>1.3798325949701611</c:v>
                </c:pt>
                <c:pt idx="345">
                  <c:v>1.3941706147474031</c:v>
                </c:pt>
                <c:pt idx="346">
                  <c:v>1.3812788898605599</c:v>
                </c:pt>
                <c:pt idx="347">
                  <c:v>1.3694778923495325</c:v>
                </c:pt>
                <c:pt idx="348">
                  <c:v>1.3613815239431479</c:v>
                </c:pt>
                <c:pt idx="349">
                  <c:v>1.3647786351973401</c:v>
                </c:pt>
                <c:pt idx="350">
                  <c:v>1.354433542509538</c:v>
                </c:pt>
                <c:pt idx="351">
                  <c:v>1.346269904573367</c:v>
                </c:pt>
                <c:pt idx="352">
                  <c:v>1.3460200463198764</c:v>
                </c:pt>
                <c:pt idx="353">
                  <c:v>1.3260842406711579</c:v>
                </c:pt>
                <c:pt idx="354">
                  <c:v>1.3061676548880923</c:v>
                </c:pt>
                <c:pt idx="355">
                  <c:v>1.3237105872629953</c:v>
                </c:pt>
                <c:pt idx="356">
                  <c:v>1.3356172940351148</c:v>
                </c:pt>
                <c:pt idx="357">
                  <c:v>1.335314581151078</c:v>
                </c:pt>
                <c:pt idx="358">
                  <c:v>1.3139757253096802</c:v>
                </c:pt>
                <c:pt idx="359">
                  <c:v>1.3075899249464247</c:v>
                </c:pt>
                <c:pt idx="360">
                  <c:v>1.3035729730249186</c:v>
                </c:pt>
                <c:pt idx="361">
                  <c:v>1.3106602984845137</c:v>
                </c:pt>
                <c:pt idx="362">
                  <c:v>1.2797643644470926</c:v>
                </c:pt>
                <c:pt idx="363">
                  <c:v>1.2828827876493143</c:v>
                </c:pt>
                <c:pt idx="364">
                  <c:v>1.2829933018768198</c:v>
                </c:pt>
                <c:pt idx="365">
                  <c:v>1.276343228360834</c:v>
                </c:pt>
                <c:pt idx="366">
                  <c:v>1.2514390874407788</c:v>
                </c:pt>
                <c:pt idx="367">
                  <c:v>1.2689291651851353</c:v>
                </c:pt>
                <c:pt idx="368">
                  <c:v>1.2436502368848443</c:v>
                </c:pt>
                <c:pt idx="369">
                  <c:v>1.3223315619023825</c:v>
                </c:pt>
                <c:pt idx="370">
                  <c:v>1.3389375258266947</c:v>
                </c:pt>
                <c:pt idx="371">
                  <c:v>1.2931365859752642</c:v>
                </c:pt>
                <c:pt idx="372">
                  <c:v>1.3200684227217254</c:v>
                </c:pt>
                <c:pt idx="373">
                  <c:v>1.3128225333704917</c:v>
                </c:pt>
                <c:pt idx="374">
                  <c:v>1.2586849767920123</c:v>
                </c:pt>
                <c:pt idx="375">
                  <c:v>1.3271941879126266</c:v>
                </c:pt>
                <c:pt idx="376">
                  <c:v>1.3804043859733421</c:v>
                </c:pt>
                <c:pt idx="377">
                  <c:v>1.3503397111254194</c:v>
                </c:pt>
                <c:pt idx="378">
                  <c:v>1.3387789619350561</c:v>
                </c:pt>
                <c:pt idx="379">
                  <c:v>1.3180743616602122</c:v>
                </c:pt>
                <c:pt idx="380">
                  <c:v>1.2846606252222299</c:v>
                </c:pt>
                <c:pt idx="381">
                  <c:v>1.2893358575423559</c:v>
                </c:pt>
                <c:pt idx="382">
                  <c:v>1.2857177178331525</c:v>
                </c:pt>
                <c:pt idx="383">
                  <c:v>1.2740368444824572</c:v>
                </c:pt>
                <c:pt idx="384">
                  <c:v>1.2695778356509289</c:v>
                </c:pt>
                <c:pt idx="385">
                  <c:v>1.2504540693260555</c:v>
                </c:pt>
                <c:pt idx="386">
                  <c:v>1.2391287634899433</c:v>
                </c:pt>
                <c:pt idx="387">
                  <c:v>1.2407864769025267</c:v>
                </c:pt>
                <c:pt idx="388">
                  <c:v>1.2434484282954863</c:v>
                </c:pt>
                <c:pt idx="389">
                  <c:v>1.2401954660336927</c:v>
                </c:pt>
                <c:pt idx="390">
                  <c:v>1.2373797557155077</c:v>
                </c:pt>
                <c:pt idx="391">
                  <c:v>1.2267896097406281</c:v>
                </c:pt>
                <c:pt idx="392">
                  <c:v>1.2249445026379266</c:v>
                </c:pt>
                <c:pt idx="393">
                  <c:v>1.2105440182973122</c:v>
                </c:pt>
                <c:pt idx="394">
                  <c:v>1.202308305864942</c:v>
                </c:pt>
                <c:pt idx="395">
                  <c:v>1.2013521175486985</c:v>
                </c:pt>
                <c:pt idx="396">
                  <c:v>1.1827088478651535</c:v>
                </c:pt>
                <c:pt idx="397">
                  <c:v>1.1899739570820402</c:v>
                </c:pt>
                <c:pt idx="398">
                  <c:v>1.1738773195975363</c:v>
                </c:pt>
                <c:pt idx="399">
                  <c:v>1.1654686283742879</c:v>
                </c:pt>
                <c:pt idx="400">
                  <c:v>1.1730460604080379</c:v>
                </c:pt>
                <c:pt idx="401">
                  <c:v>1.190108496141612</c:v>
                </c:pt>
                <c:pt idx="402">
                  <c:v>1.1878357470281282</c:v>
                </c:pt>
                <c:pt idx="403">
                  <c:v>1.1880471655503129</c:v>
                </c:pt>
                <c:pt idx="404">
                  <c:v>1.1816709751198839</c:v>
                </c:pt>
                <c:pt idx="405">
                  <c:v>1.1652908446169961</c:v>
                </c:pt>
                <c:pt idx="406">
                  <c:v>1.1644403655618447</c:v>
                </c:pt>
                <c:pt idx="407">
                  <c:v>1.1715949605512259</c:v>
                </c:pt>
                <c:pt idx="408">
                  <c:v>1.1691204028483841</c:v>
                </c:pt>
                <c:pt idx="409">
                  <c:v>1.1684573174833508</c:v>
                </c:pt>
                <c:pt idx="410">
                  <c:v>1.1719649429650489</c:v>
                </c:pt>
                <c:pt idx="411">
                  <c:v>1.1607933960541617</c:v>
                </c:pt>
                <c:pt idx="412">
                  <c:v>1.144413265551274</c:v>
                </c:pt>
                <c:pt idx="413">
                  <c:v>1.1488194197522561</c:v>
                </c:pt>
                <c:pt idx="414">
                  <c:v>1.152850786573002</c:v>
                </c:pt>
                <c:pt idx="415">
                  <c:v>1.1456000922553551</c:v>
                </c:pt>
                <c:pt idx="416">
                  <c:v>1.1285376565217811</c:v>
                </c:pt>
                <c:pt idx="417">
                  <c:v>1.1190526528219569</c:v>
                </c:pt>
                <c:pt idx="418">
                  <c:v>1.1318290585148811</c:v>
                </c:pt>
                <c:pt idx="419">
                  <c:v>1.1352790243996194</c:v>
                </c:pt>
                <c:pt idx="420">
                  <c:v>1.1262745173411239</c:v>
                </c:pt>
                <c:pt idx="421">
                  <c:v>1.1427411372394507</c:v>
                </c:pt>
                <c:pt idx="422">
                  <c:v>1.1400263312159449</c:v>
                </c:pt>
                <c:pt idx="423">
                  <c:v>1.1450811558827205</c:v>
                </c:pt>
                <c:pt idx="424">
                  <c:v>1.1374989188825573</c:v>
                </c:pt>
                <c:pt idx="425">
                  <c:v>1.1297244832258622</c:v>
                </c:pt>
                <c:pt idx="426">
                  <c:v>1.112878270980886</c:v>
                </c:pt>
                <c:pt idx="427">
                  <c:v>1.10390259372087</c:v>
                </c:pt>
                <c:pt idx="428">
                  <c:v>1.1025908378900433</c:v>
                </c:pt>
                <c:pt idx="429">
                  <c:v>1.0913568264157834</c:v>
                </c:pt>
                <c:pt idx="430">
                  <c:v>1.0929568802314071</c:v>
                </c:pt>
                <c:pt idx="431">
                  <c:v>1.094081242372116</c:v>
                </c:pt>
                <c:pt idx="432">
                  <c:v>1.0757502955054346</c:v>
                </c:pt>
                <c:pt idx="433">
                  <c:v>1.0877434916729933</c:v>
                </c:pt>
                <c:pt idx="434">
                  <c:v>1.0849950508845945</c:v>
                </c:pt>
                <c:pt idx="435">
                  <c:v>1.0856965759809341</c:v>
                </c:pt>
                <c:pt idx="436">
                  <c:v>1.0532246129599554</c:v>
                </c:pt>
                <c:pt idx="437">
                  <c:v>1.0635072410843849</c:v>
                </c:pt>
                <c:pt idx="438">
                  <c:v>1.0483956217146044</c:v>
                </c:pt>
                <c:pt idx="439">
                  <c:v>1.0400109553234222</c:v>
                </c:pt>
                <c:pt idx="440">
                  <c:v>1.0019219865653139</c:v>
                </c:pt>
                <c:pt idx="441">
                  <c:v>1.0217328630872871</c:v>
                </c:pt>
                <c:pt idx="442">
                  <c:v>1.0288201885468822</c:v>
                </c:pt>
                <c:pt idx="443">
                  <c:v>1.0248897260208152</c:v>
                </c:pt>
                <c:pt idx="444">
                  <c:v>1.0348648362947943</c:v>
                </c:pt>
                <c:pt idx="445">
                  <c:v>1.0418464524932971</c:v>
                </c:pt>
                <c:pt idx="446">
                  <c:v>1.0401262745173412</c:v>
                </c:pt>
                <c:pt idx="447">
                  <c:v>1.0278591952642251</c:v>
                </c:pt>
                <c:pt idx="448">
                  <c:v>1.022405558385147</c:v>
                </c:pt>
                <c:pt idx="449">
                  <c:v>1.0474730681632536</c:v>
                </c:pt>
                <c:pt idx="450">
                  <c:v>1.0422164349071201</c:v>
                </c:pt>
                <c:pt idx="451">
                  <c:v>1.0493422000980213</c:v>
                </c:pt>
                <c:pt idx="452">
                  <c:v>1.0494286894934606</c:v>
                </c:pt>
                <c:pt idx="453">
                  <c:v>1.0488617034566929</c:v>
                </c:pt>
                <c:pt idx="454">
                  <c:v>1.044407499591578</c:v>
                </c:pt>
                <c:pt idx="455">
                  <c:v>1.0450946097886777</c:v>
                </c:pt>
                <c:pt idx="456">
                  <c:v>1.038708809425422</c:v>
                </c:pt>
                <c:pt idx="457">
                  <c:v>1.0234097963655235</c:v>
                </c:pt>
                <c:pt idx="458">
                  <c:v>1.0104604118817209</c:v>
                </c:pt>
                <c:pt idx="459">
                  <c:v>0.97896866200905264</c:v>
                </c:pt>
                <c:pt idx="460">
                  <c:v>0.99521425345236836</c:v>
                </c:pt>
                <c:pt idx="461">
                  <c:v>1.0071545949893812</c:v>
                </c:pt>
                <c:pt idx="462">
                  <c:v>1.0086249147118462</c:v>
                </c:pt>
                <c:pt idx="463">
                  <c:v>1.0085912799469532</c:v>
                </c:pt>
                <c:pt idx="464">
                  <c:v>0.98613286693126034</c:v>
                </c:pt>
                <c:pt idx="465">
                  <c:v>0.98338923110927456</c:v>
                </c:pt>
                <c:pt idx="466">
                  <c:v>0.98844886074246341</c:v>
                </c:pt>
                <c:pt idx="467">
                  <c:v>0.9923697133357039</c:v>
                </c:pt>
                <c:pt idx="468">
                  <c:v>1.0049971650698162</c:v>
                </c:pt>
                <c:pt idx="469">
                  <c:v>0.99978377651140227</c:v>
                </c:pt>
                <c:pt idx="470">
                  <c:v>0.9838649227841898</c:v>
                </c:pt>
                <c:pt idx="471">
                  <c:v>0.99596382821284102</c:v>
                </c:pt>
                <c:pt idx="472">
                  <c:v>0.97826233194629975</c:v>
                </c:pt>
                <c:pt idx="473">
                  <c:v>0.98481630613402016</c:v>
                </c:pt>
                <c:pt idx="474">
                  <c:v>0.97165550312803328</c:v>
                </c:pt>
                <c:pt idx="475">
                  <c:v>0.96098847769054108</c:v>
                </c:pt>
                <c:pt idx="476">
                  <c:v>0.93603148213993992</c:v>
                </c:pt>
                <c:pt idx="477">
                  <c:v>0.92148684880692688</c:v>
                </c:pt>
                <c:pt idx="478">
                  <c:v>0.89602052681651756</c:v>
                </c:pt>
                <c:pt idx="479">
                  <c:v>0.90335771052960345</c:v>
                </c:pt>
                <c:pt idx="480">
                  <c:v>0.93227880337116453</c:v>
                </c:pt>
                <c:pt idx="481">
                  <c:v>0.91625904534927316</c:v>
                </c:pt>
                <c:pt idx="482">
                  <c:v>0.9034922495891754</c:v>
                </c:pt>
                <c:pt idx="483">
                  <c:v>0.92352895953257297</c:v>
                </c:pt>
                <c:pt idx="484">
                  <c:v>0.98210630507692764</c:v>
                </c:pt>
                <c:pt idx="485">
                  <c:v>0.99029877281157797</c:v>
                </c:pt>
                <c:pt idx="486">
                  <c:v>0.96366003901632735</c:v>
                </c:pt>
                <c:pt idx="487">
                  <c:v>0.9669370261101875</c:v>
                </c:pt>
                <c:pt idx="488">
                  <c:v>1.0050500197003625</c:v>
                </c:pt>
                <c:pt idx="489">
                  <c:v>1.0042908350070634</c:v>
                </c:pt>
                <c:pt idx="490">
                  <c:v>1.0038391681642147</c:v>
                </c:pt>
                <c:pt idx="491">
                  <c:v>0.97206392527316243</c:v>
                </c:pt>
                <c:pt idx="492">
                  <c:v>1.0086585494767391</c:v>
                </c:pt>
                <c:pt idx="493">
                  <c:v>0.99912549611278234</c:v>
                </c:pt>
                <c:pt idx="494">
                  <c:v>0.99710260525278938</c:v>
                </c:pt>
                <c:pt idx="495">
                  <c:v>0.97690252645134013</c:v>
                </c:pt>
                <c:pt idx="496">
                  <c:v>0.96814787764633536</c:v>
                </c:pt>
                <c:pt idx="497">
                  <c:v>0.93762192602273708</c:v>
                </c:pt>
                <c:pt idx="498">
                  <c:v>0.92800238326334106</c:v>
                </c:pt>
                <c:pt idx="499">
                  <c:v>0.94082683862039806</c:v>
                </c:pt>
                <c:pt idx="500">
                  <c:v>0.94227793847721009</c:v>
                </c:pt>
                <c:pt idx="501">
                  <c:v>0.92313975725309694</c:v>
                </c:pt>
                <c:pt idx="502">
                  <c:v>0.9556453550389683</c:v>
                </c:pt>
                <c:pt idx="503">
                  <c:v>0.94700602542788237</c:v>
                </c:pt>
                <c:pt idx="504">
                  <c:v>1.0049779452041632</c:v>
                </c:pt>
                <c:pt idx="505">
                  <c:v>0.99826540712480438</c:v>
                </c:pt>
                <c:pt idx="506">
                  <c:v>1.0108880538925034</c:v>
                </c:pt>
                <c:pt idx="507">
                  <c:v>0.9992648401387676</c:v>
                </c:pt>
                <c:pt idx="508">
                  <c:v>1.0218433773147926</c:v>
                </c:pt>
                <c:pt idx="509">
                  <c:v>0.99780893531554216</c:v>
                </c:pt>
                <c:pt idx="510">
                  <c:v>0.99788581477815486</c:v>
                </c:pt>
                <c:pt idx="511">
                  <c:v>1.0097588867853813</c:v>
                </c:pt>
                <c:pt idx="512">
                  <c:v>1.0138431082366735</c:v>
                </c:pt>
                <c:pt idx="513">
                  <c:v>1.0062128215723773</c:v>
                </c:pt>
                <c:pt idx="514">
                  <c:v>1.0055977858714769</c:v>
                </c:pt>
                <c:pt idx="515">
                  <c:v>1.0125938169692195</c:v>
                </c:pt>
                <c:pt idx="516">
                  <c:v>1.0215646892628221</c:v>
                </c:pt>
                <c:pt idx="517">
                  <c:v>1.0199646354471983</c:v>
                </c:pt>
                <c:pt idx="518">
                  <c:v>1.0167789427151905</c:v>
                </c:pt>
                <c:pt idx="519">
                  <c:v>1.0130262639464152</c:v>
                </c:pt>
                <c:pt idx="520">
                  <c:v>1.0175429323749028</c:v>
                </c:pt>
                <c:pt idx="521">
                  <c:v>1</c:v>
                </c:pt>
              </c:numCache>
            </c:numRef>
          </c:val>
          <c:smooth val="0"/>
          <c:extLst>
            <c:ext xmlns:c16="http://schemas.microsoft.com/office/drawing/2014/chart" uri="{C3380CC4-5D6E-409C-BE32-E72D297353CC}">
              <c16:uniqueId val="{00000000-2DD7-4182-A76F-801DF18DFDE3}"/>
            </c:ext>
          </c:extLst>
        </c:ser>
        <c:ser>
          <c:idx val="1"/>
          <c:order val="1"/>
          <c:tx>
            <c:strRef>
              <c:f>CORRELATION!$BX$2</c:f>
              <c:strCache>
                <c:ptCount val="1"/>
                <c:pt idx="0">
                  <c:v>SOX</c:v>
                </c:pt>
              </c:strCache>
            </c:strRef>
          </c:tx>
          <c:spPr>
            <a:ln w="28575" cap="rnd">
              <a:solidFill>
                <a:schemeClr val="accent2"/>
              </a:solidFill>
              <a:round/>
            </a:ln>
            <a:effectLst/>
          </c:spPr>
          <c:marker>
            <c:symbol val="none"/>
          </c:marker>
          <c:cat>
            <c:numRef>
              <c:f>CORRELATION!$BV$3:$BV$524</c:f>
              <c:numCache>
                <c:formatCode>m/d/yyyy</c:formatCode>
                <c:ptCount val="522"/>
                <c:pt idx="0">
                  <c:v>45757</c:v>
                </c:pt>
                <c:pt idx="1">
                  <c:v>45751</c:v>
                </c:pt>
                <c:pt idx="2">
                  <c:v>45744</c:v>
                </c:pt>
                <c:pt idx="3">
                  <c:v>45737</c:v>
                </c:pt>
                <c:pt idx="4">
                  <c:v>45730</c:v>
                </c:pt>
                <c:pt idx="5">
                  <c:v>45723</c:v>
                </c:pt>
                <c:pt idx="6">
                  <c:v>45716</c:v>
                </c:pt>
                <c:pt idx="7">
                  <c:v>45709</c:v>
                </c:pt>
                <c:pt idx="8">
                  <c:v>45702</c:v>
                </c:pt>
                <c:pt idx="9">
                  <c:v>45695</c:v>
                </c:pt>
                <c:pt idx="10">
                  <c:v>45688</c:v>
                </c:pt>
                <c:pt idx="11">
                  <c:v>45681</c:v>
                </c:pt>
                <c:pt idx="12">
                  <c:v>45674</c:v>
                </c:pt>
                <c:pt idx="13">
                  <c:v>45667</c:v>
                </c:pt>
                <c:pt idx="14">
                  <c:v>45660</c:v>
                </c:pt>
                <c:pt idx="15">
                  <c:v>45653</c:v>
                </c:pt>
                <c:pt idx="16">
                  <c:v>45646</c:v>
                </c:pt>
                <c:pt idx="17">
                  <c:v>45639</c:v>
                </c:pt>
                <c:pt idx="18">
                  <c:v>45632</c:v>
                </c:pt>
                <c:pt idx="19">
                  <c:v>45625</c:v>
                </c:pt>
                <c:pt idx="20">
                  <c:v>45618</c:v>
                </c:pt>
                <c:pt idx="21">
                  <c:v>45611</c:v>
                </c:pt>
                <c:pt idx="22">
                  <c:v>45604</c:v>
                </c:pt>
                <c:pt idx="23">
                  <c:v>45597</c:v>
                </c:pt>
                <c:pt idx="24">
                  <c:v>45590</c:v>
                </c:pt>
                <c:pt idx="25">
                  <c:v>45583</c:v>
                </c:pt>
                <c:pt idx="26">
                  <c:v>45576</c:v>
                </c:pt>
                <c:pt idx="27">
                  <c:v>45569</c:v>
                </c:pt>
                <c:pt idx="28">
                  <c:v>45562</c:v>
                </c:pt>
                <c:pt idx="29">
                  <c:v>45555</c:v>
                </c:pt>
                <c:pt idx="30">
                  <c:v>45548</c:v>
                </c:pt>
                <c:pt idx="31">
                  <c:v>45541</c:v>
                </c:pt>
                <c:pt idx="32">
                  <c:v>45534</c:v>
                </c:pt>
                <c:pt idx="33">
                  <c:v>45527</c:v>
                </c:pt>
                <c:pt idx="34">
                  <c:v>45520</c:v>
                </c:pt>
                <c:pt idx="35">
                  <c:v>45513</c:v>
                </c:pt>
                <c:pt idx="36">
                  <c:v>45506</c:v>
                </c:pt>
                <c:pt idx="37">
                  <c:v>45499</c:v>
                </c:pt>
                <c:pt idx="38">
                  <c:v>45492</c:v>
                </c:pt>
                <c:pt idx="39">
                  <c:v>45485</c:v>
                </c:pt>
                <c:pt idx="40">
                  <c:v>45478</c:v>
                </c:pt>
                <c:pt idx="41">
                  <c:v>45471</c:v>
                </c:pt>
                <c:pt idx="42">
                  <c:v>45464</c:v>
                </c:pt>
                <c:pt idx="43">
                  <c:v>45457</c:v>
                </c:pt>
                <c:pt idx="44">
                  <c:v>45450</c:v>
                </c:pt>
                <c:pt idx="45">
                  <c:v>45443</c:v>
                </c:pt>
                <c:pt idx="46">
                  <c:v>45436</c:v>
                </c:pt>
                <c:pt idx="47">
                  <c:v>45429</c:v>
                </c:pt>
                <c:pt idx="48">
                  <c:v>45422</c:v>
                </c:pt>
                <c:pt idx="49">
                  <c:v>45415</c:v>
                </c:pt>
                <c:pt idx="50">
                  <c:v>45408</c:v>
                </c:pt>
                <c:pt idx="51">
                  <c:v>45401</c:v>
                </c:pt>
                <c:pt idx="52">
                  <c:v>45394</c:v>
                </c:pt>
                <c:pt idx="53">
                  <c:v>45387</c:v>
                </c:pt>
                <c:pt idx="54">
                  <c:v>45380</c:v>
                </c:pt>
                <c:pt idx="55">
                  <c:v>45373</c:v>
                </c:pt>
                <c:pt idx="56">
                  <c:v>45366</c:v>
                </c:pt>
                <c:pt idx="57">
                  <c:v>45359</c:v>
                </c:pt>
                <c:pt idx="58">
                  <c:v>45352</c:v>
                </c:pt>
                <c:pt idx="59">
                  <c:v>45345</c:v>
                </c:pt>
                <c:pt idx="60">
                  <c:v>45338</c:v>
                </c:pt>
                <c:pt idx="61">
                  <c:v>45331</c:v>
                </c:pt>
                <c:pt idx="62">
                  <c:v>45324</c:v>
                </c:pt>
                <c:pt idx="63">
                  <c:v>45317</c:v>
                </c:pt>
                <c:pt idx="64">
                  <c:v>45310</c:v>
                </c:pt>
                <c:pt idx="65">
                  <c:v>45303</c:v>
                </c:pt>
                <c:pt idx="66">
                  <c:v>45296</c:v>
                </c:pt>
                <c:pt idx="67">
                  <c:v>45289</c:v>
                </c:pt>
                <c:pt idx="68">
                  <c:v>45282</c:v>
                </c:pt>
                <c:pt idx="69">
                  <c:v>45275</c:v>
                </c:pt>
                <c:pt idx="70">
                  <c:v>45268</c:v>
                </c:pt>
                <c:pt idx="71">
                  <c:v>45261</c:v>
                </c:pt>
                <c:pt idx="72">
                  <c:v>45254</c:v>
                </c:pt>
                <c:pt idx="73">
                  <c:v>45247</c:v>
                </c:pt>
                <c:pt idx="74">
                  <c:v>45240</c:v>
                </c:pt>
                <c:pt idx="75">
                  <c:v>45233</c:v>
                </c:pt>
                <c:pt idx="76">
                  <c:v>45226</c:v>
                </c:pt>
                <c:pt idx="77">
                  <c:v>45219</c:v>
                </c:pt>
                <c:pt idx="78">
                  <c:v>45212</c:v>
                </c:pt>
                <c:pt idx="79">
                  <c:v>45205</c:v>
                </c:pt>
                <c:pt idx="80">
                  <c:v>45198</c:v>
                </c:pt>
                <c:pt idx="81">
                  <c:v>45191</c:v>
                </c:pt>
                <c:pt idx="82">
                  <c:v>45184</c:v>
                </c:pt>
                <c:pt idx="83">
                  <c:v>45177</c:v>
                </c:pt>
                <c:pt idx="84">
                  <c:v>45170</c:v>
                </c:pt>
                <c:pt idx="85">
                  <c:v>45163</c:v>
                </c:pt>
                <c:pt idx="86">
                  <c:v>45156</c:v>
                </c:pt>
                <c:pt idx="87">
                  <c:v>45149</c:v>
                </c:pt>
                <c:pt idx="88">
                  <c:v>45142</c:v>
                </c:pt>
                <c:pt idx="89">
                  <c:v>45135</c:v>
                </c:pt>
                <c:pt idx="90">
                  <c:v>45128</c:v>
                </c:pt>
                <c:pt idx="91">
                  <c:v>45121</c:v>
                </c:pt>
                <c:pt idx="92">
                  <c:v>45114</c:v>
                </c:pt>
                <c:pt idx="93">
                  <c:v>45107</c:v>
                </c:pt>
                <c:pt idx="94">
                  <c:v>45100</c:v>
                </c:pt>
                <c:pt idx="95">
                  <c:v>45093</c:v>
                </c:pt>
                <c:pt idx="96">
                  <c:v>45086</c:v>
                </c:pt>
                <c:pt idx="97">
                  <c:v>45079</c:v>
                </c:pt>
                <c:pt idx="98">
                  <c:v>45072</c:v>
                </c:pt>
                <c:pt idx="99">
                  <c:v>45065</c:v>
                </c:pt>
                <c:pt idx="100">
                  <c:v>45058</c:v>
                </c:pt>
                <c:pt idx="101">
                  <c:v>45051</c:v>
                </c:pt>
                <c:pt idx="102">
                  <c:v>45044</c:v>
                </c:pt>
                <c:pt idx="103">
                  <c:v>45037</c:v>
                </c:pt>
                <c:pt idx="104">
                  <c:v>45030</c:v>
                </c:pt>
                <c:pt idx="105">
                  <c:v>45023</c:v>
                </c:pt>
                <c:pt idx="106">
                  <c:v>45016</c:v>
                </c:pt>
                <c:pt idx="107">
                  <c:v>45009</c:v>
                </c:pt>
                <c:pt idx="108">
                  <c:v>45002</c:v>
                </c:pt>
                <c:pt idx="109">
                  <c:v>44995</c:v>
                </c:pt>
                <c:pt idx="110">
                  <c:v>44988</c:v>
                </c:pt>
                <c:pt idx="111">
                  <c:v>44981</c:v>
                </c:pt>
                <c:pt idx="112">
                  <c:v>44974</c:v>
                </c:pt>
                <c:pt idx="113">
                  <c:v>44967</c:v>
                </c:pt>
                <c:pt idx="114">
                  <c:v>44960</c:v>
                </c:pt>
                <c:pt idx="115">
                  <c:v>44953</c:v>
                </c:pt>
                <c:pt idx="116">
                  <c:v>44946</c:v>
                </c:pt>
                <c:pt idx="117">
                  <c:v>44939</c:v>
                </c:pt>
                <c:pt idx="118">
                  <c:v>44932</c:v>
                </c:pt>
                <c:pt idx="119">
                  <c:v>44925</c:v>
                </c:pt>
                <c:pt idx="120">
                  <c:v>44918</c:v>
                </c:pt>
                <c:pt idx="121">
                  <c:v>44911</c:v>
                </c:pt>
                <c:pt idx="122">
                  <c:v>44904</c:v>
                </c:pt>
                <c:pt idx="123">
                  <c:v>44897</c:v>
                </c:pt>
                <c:pt idx="124">
                  <c:v>44890</c:v>
                </c:pt>
                <c:pt idx="125">
                  <c:v>44883</c:v>
                </c:pt>
                <c:pt idx="126">
                  <c:v>44876</c:v>
                </c:pt>
                <c:pt idx="127">
                  <c:v>44869</c:v>
                </c:pt>
                <c:pt idx="128">
                  <c:v>44862</c:v>
                </c:pt>
                <c:pt idx="129">
                  <c:v>44855</c:v>
                </c:pt>
                <c:pt idx="130">
                  <c:v>44848</c:v>
                </c:pt>
                <c:pt idx="131">
                  <c:v>44841</c:v>
                </c:pt>
                <c:pt idx="132">
                  <c:v>44834</c:v>
                </c:pt>
                <c:pt idx="133">
                  <c:v>44827</c:v>
                </c:pt>
                <c:pt idx="134">
                  <c:v>44820</c:v>
                </c:pt>
                <c:pt idx="135">
                  <c:v>44813</c:v>
                </c:pt>
                <c:pt idx="136">
                  <c:v>44806</c:v>
                </c:pt>
                <c:pt idx="137">
                  <c:v>44799</c:v>
                </c:pt>
                <c:pt idx="138">
                  <c:v>44792</c:v>
                </c:pt>
                <c:pt idx="139">
                  <c:v>44785</c:v>
                </c:pt>
                <c:pt idx="140">
                  <c:v>44778</c:v>
                </c:pt>
                <c:pt idx="141">
                  <c:v>44771</c:v>
                </c:pt>
                <c:pt idx="142">
                  <c:v>44764</c:v>
                </c:pt>
                <c:pt idx="143">
                  <c:v>44757</c:v>
                </c:pt>
                <c:pt idx="144">
                  <c:v>44750</c:v>
                </c:pt>
                <c:pt idx="145">
                  <c:v>44743</c:v>
                </c:pt>
                <c:pt idx="146">
                  <c:v>44736</c:v>
                </c:pt>
                <c:pt idx="147">
                  <c:v>44729</c:v>
                </c:pt>
                <c:pt idx="148">
                  <c:v>44722</c:v>
                </c:pt>
                <c:pt idx="149">
                  <c:v>44715</c:v>
                </c:pt>
                <c:pt idx="150">
                  <c:v>44708</c:v>
                </c:pt>
                <c:pt idx="151">
                  <c:v>44701</c:v>
                </c:pt>
                <c:pt idx="152">
                  <c:v>44694</c:v>
                </c:pt>
                <c:pt idx="153">
                  <c:v>44687</c:v>
                </c:pt>
                <c:pt idx="154">
                  <c:v>44680</c:v>
                </c:pt>
                <c:pt idx="155">
                  <c:v>44673</c:v>
                </c:pt>
                <c:pt idx="156">
                  <c:v>44666</c:v>
                </c:pt>
                <c:pt idx="157">
                  <c:v>44659</c:v>
                </c:pt>
                <c:pt idx="158">
                  <c:v>44652</c:v>
                </c:pt>
                <c:pt idx="159">
                  <c:v>44645</c:v>
                </c:pt>
                <c:pt idx="160">
                  <c:v>44638</c:v>
                </c:pt>
                <c:pt idx="161">
                  <c:v>44631</c:v>
                </c:pt>
                <c:pt idx="162">
                  <c:v>44624</c:v>
                </c:pt>
                <c:pt idx="163">
                  <c:v>44617</c:v>
                </c:pt>
                <c:pt idx="164">
                  <c:v>44610</c:v>
                </c:pt>
                <c:pt idx="165">
                  <c:v>44603</c:v>
                </c:pt>
                <c:pt idx="166">
                  <c:v>44596</c:v>
                </c:pt>
                <c:pt idx="167">
                  <c:v>44589</c:v>
                </c:pt>
                <c:pt idx="168">
                  <c:v>44582</c:v>
                </c:pt>
                <c:pt idx="169">
                  <c:v>44575</c:v>
                </c:pt>
                <c:pt idx="170">
                  <c:v>44568</c:v>
                </c:pt>
                <c:pt idx="171">
                  <c:v>44561</c:v>
                </c:pt>
                <c:pt idx="172">
                  <c:v>44554</c:v>
                </c:pt>
                <c:pt idx="173">
                  <c:v>44547</c:v>
                </c:pt>
                <c:pt idx="174">
                  <c:v>44540</c:v>
                </c:pt>
                <c:pt idx="175">
                  <c:v>44533</c:v>
                </c:pt>
                <c:pt idx="176">
                  <c:v>44526</c:v>
                </c:pt>
                <c:pt idx="177">
                  <c:v>44519</c:v>
                </c:pt>
                <c:pt idx="178">
                  <c:v>44512</c:v>
                </c:pt>
                <c:pt idx="179">
                  <c:v>44505</c:v>
                </c:pt>
                <c:pt idx="180">
                  <c:v>44498</c:v>
                </c:pt>
                <c:pt idx="181">
                  <c:v>44491</c:v>
                </c:pt>
                <c:pt idx="182">
                  <c:v>44484</c:v>
                </c:pt>
                <c:pt idx="183">
                  <c:v>44477</c:v>
                </c:pt>
                <c:pt idx="184">
                  <c:v>44470</c:v>
                </c:pt>
                <c:pt idx="185">
                  <c:v>44463</c:v>
                </c:pt>
                <c:pt idx="186">
                  <c:v>44456</c:v>
                </c:pt>
                <c:pt idx="187">
                  <c:v>44449</c:v>
                </c:pt>
                <c:pt idx="188">
                  <c:v>44442</c:v>
                </c:pt>
                <c:pt idx="189">
                  <c:v>44435</c:v>
                </c:pt>
                <c:pt idx="190">
                  <c:v>44428</c:v>
                </c:pt>
                <c:pt idx="191">
                  <c:v>44421</c:v>
                </c:pt>
                <c:pt idx="192">
                  <c:v>44414</c:v>
                </c:pt>
                <c:pt idx="193">
                  <c:v>44407</c:v>
                </c:pt>
                <c:pt idx="194">
                  <c:v>44400</c:v>
                </c:pt>
                <c:pt idx="195">
                  <c:v>44393</c:v>
                </c:pt>
                <c:pt idx="196">
                  <c:v>44386</c:v>
                </c:pt>
                <c:pt idx="197">
                  <c:v>44379</c:v>
                </c:pt>
                <c:pt idx="198">
                  <c:v>44372</c:v>
                </c:pt>
                <c:pt idx="199">
                  <c:v>44365</c:v>
                </c:pt>
                <c:pt idx="200">
                  <c:v>44358</c:v>
                </c:pt>
                <c:pt idx="201">
                  <c:v>44351</c:v>
                </c:pt>
                <c:pt idx="202">
                  <c:v>44344</c:v>
                </c:pt>
                <c:pt idx="203">
                  <c:v>44337</c:v>
                </c:pt>
                <c:pt idx="204">
                  <c:v>44330</c:v>
                </c:pt>
                <c:pt idx="205">
                  <c:v>44323</c:v>
                </c:pt>
                <c:pt idx="206">
                  <c:v>44316</c:v>
                </c:pt>
                <c:pt idx="207">
                  <c:v>44309</c:v>
                </c:pt>
                <c:pt idx="208">
                  <c:v>44302</c:v>
                </c:pt>
                <c:pt idx="209">
                  <c:v>44295</c:v>
                </c:pt>
                <c:pt idx="210">
                  <c:v>44288</c:v>
                </c:pt>
                <c:pt idx="211">
                  <c:v>44281</c:v>
                </c:pt>
                <c:pt idx="212">
                  <c:v>44274</c:v>
                </c:pt>
                <c:pt idx="213">
                  <c:v>44267</c:v>
                </c:pt>
                <c:pt idx="214">
                  <c:v>44260</c:v>
                </c:pt>
                <c:pt idx="215">
                  <c:v>44253</c:v>
                </c:pt>
                <c:pt idx="216">
                  <c:v>44246</c:v>
                </c:pt>
                <c:pt idx="217">
                  <c:v>44239</c:v>
                </c:pt>
                <c:pt idx="218">
                  <c:v>44232</c:v>
                </c:pt>
                <c:pt idx="219">
                  <c:v>44225</c:v>
                </c:pt>
                <c:pt idx="220">
                  <c:v>44218</c:v>
                </c:pt>
                <c:pt idx="221">
                  <c:v>44211</c:v>
                </c:pt>
                <c:pt idx="222">
                  <c:v>44204</c:v>
                </c:pt>
                <c:pt idx="223">
                  <c:v>44197</c:v>
                </c:pt>
                <c:pt idx="224">
                  <c:v>44190</c:v>
                </c:pt>
                <c:pt idx="225">
                  <c:v>44183</c:v>
                </c:pt>
                <c:pt idx="226">
                  <c:v>44176</c:v>
                </c:pt>
                <c:pt idx="227">
                  <c:v>44169</c:v>
                </c:pt>
                <c:pt idx="228">
                  <c:v>44162</c:v>
                </c:pt>
                <c:pt idx="229">
                  <c:v>44155</c:v>
                </c:pt>
                <c:pt idx="230">
                  <c:v>44148</c:v>
                </c:pt>
                <c:pt idx="231">
                  <c:v>44141</c:v>
                </c:pt>
                <c:pt idx="232">
                  <c:v>44134</c:v>
                </c:pt>
                <c:pt idx="233">
                  <c:v>44127</c:v>
                </c:pt>
                <c:pt idx="234">
                  <c:v>44120</c:v>
                </c:pt>
                <c:pt idx="235">
                  <c:v>44113</c:v>
                </c:pt>
                <c:pt idx="236">
                  <c:v>44106</c:v>
                </c:pt>
                <c:pt idx="237">
                  <c:v>44099</c:v>
                </c:pt>
                <c:pt idx="238">
                  <c:v>44092</c:v>
                </c:pt>
                <c:pt idx="239">
                  <c:v>44085</c:v>
                </c:pt>
                <c:pt idx="240">
                  <c:v>44078</c:v>
                </c:pt>
                <c:pt idx="241">
                  <c:v>44071</c:v>
                </c:pt>
                <c:pt idx="242">
                  <c:v>44064</c:v>
                </c:pt>
                <c:pt idx="243">
                  <c:v>44057</c:v>
                </c:pt>
                <c:pt idx="244">
                  <c:v>44050</c:v>
                </c:pt>
                <c:pt idx="245">
                  <c:v>44043</c:v>
                </c:pt>
                <c:pt idx="246">
                  <c:v>44036</c:v>
                </c:pt>
                <c:pt idx="247">
                  <c:v>44029</c:v>
                </c:pt>
                <c:pt idx="248">
                  <c:v>44022</c:v>
                </c:pt>
                <c:pt idx="249">
                  <c:v>44015</c:v>
                </c:pt>
                <c:pt idx="250">
                  <c:v>44008</c:v>
                </c:pt>
                <c:pt idx="251">
                  <c:v>44001</c:v>
                </c:pt>
                <c:pt idx="252">
                  <c:v>43994</c:v>
                </c:pt>
                <c:pt idx="253">
                  <c:v>43987</c:v>
                </c:pt>
                <c:pt idx="254">
                  <c:v>43980</c:v>
                </c:pt>
                <c:pt idx="255">
                  <c:v>43973</c:v>
                </c:pt>
                <c:pt idx="256">
                  <c:v>43966</c:v>
                </c:pt>
                <c:pt idx="257">
                  <c:v>43959</c:v>
                </c:pt>
                <c:pt idx="258">
                  <c:v>43952</c:v>
                </c:pt>
                <c:pt idx="259">
                  <c:v>43945</c:v>
                </c:pt>
                <c:pt idx="260">
                  <c:v>43938</c:v>
                </c:pt>
                <c:pt idx="261">
                  <c:v>43931</c:v>
                </c:pt>
                <c:pt idx="262">
                  <c:v>43924</c:v>
                </c:pt>
                <c:pt idx="263">
                  <c:v>43917</c:v>
                </c:pt>
                <c:pt idx="264">
                  <c:v>43910</c:v>
                </c:pt>
                <c:pt idx="265">
                  <c:v>43903</c:v>
                </c:pt>
                <c:pt idx="266">
                  <c:v>43896</c:v>
                </c:pt>
                <c:pt idx="267">
                  <c:v>43889</c:v>
                </c:pt>
                <c:pt idx="268">
                  <c:v>43882</c:v>
                </c:pt>
                <c:pt idx="269">
                  <c:v>43875</c:v>
                </c:pt>
                <c:pt idx="270">
                  <c:v>43868</c:v>
                </c:pt>
                <c:pt idx="271">
                  <c:v>43861</c:v>
                </c:pt>
                <c:pt idx="272">
                  <c:v>43854</c:v>
                </c:pt>
                <c:pt idx="273">
                  <c:v>43847</c:v>
                </c:pt>
                <c:pt idx="274">
                  <c:v>43840</c:v>
                </c:pt>
                <c:pt idx="275">
                  <c:v>43833</c:v>
                </c:pt>
                <c:pt idx="276">
                  <c:v>43826</c:v>
                </c:pt>
                <c:pt idx="277">
                  <c:v>43819</c:v>
                </c:pt>
                <c:pt idx="278">
                  <c:v>43812</c:v>
                </c:pt>
                <c:pt idx="279">
                  <c:v>43805</c:v>
                </c:pt>
                <c:pt idx="280">
                  <c:v>43798</c:v>
                </c:pt>
                <c:pt idx="281">
                  <c:v>43791</c:v>
                </c:pt>
                <c:pt idx="282">
                  <c:v>43784</c:v>
                </c:pt>
                <c:pt idx="283">
                  <c:v>43777</c:v>
                </c:pt>
                <c:pt idx="284">
                  <c:v>43770</c:v>
                </c:pt>
                <c:pt idx="285">
                  <c:v>43763</c:v>
                </c:pt>
                <c:pt idx="286">
                  <c:v>43756</c:v>
                </c:pt>
                <c:pt idx="287">
                  <c:v>43749</c:v>
                </c:pt>
                <c:pt idx="288">
                  <c:v>43742</c:v>
                </c:pt>
                <c:pt idx="289">
                  <c:v>43735</c:v>
                </c:pt>
                <c:pt idx="290">
                  <c:v>43728</c:v>
                </c:pt>
                <c:pt idx="291">
                  <c:v>43721</c:v>
                </c:pt>
                <c:pt idx="292">
                  <c:v>43714</c:v>
                </c:pt>
                <c:pt idx="293">
                  <c:v>43707</c:v>
                </c:pt>
                <c:pt idx="294">
                  <c:v>43700</c:v>
                </c:pt>
                <c:pt idx="295">
                  <c:v>43693</c:v>
                </c:pt>
                <c:pt idx="296">
                  <c:v>43686</c:v>
                </c:pt>
                <c:pt idx="297">
                  <c:v>43679</c:v>
                </c:pt>
                <c:pt idx="298">
                  <c:v>43672</c:v>
                </c:pt>
                <c:pt idx="299">
                  <c:v>43665</c:v>
                </c:pt>
                <c:pt idx="300">
                  <c:v>43658</c:v>
                </c:pt>
                <c:pt idx="301">
                  <c:v>43651</c:v>
                </c:pt>
                <c:pt idx="302">
                  <c:v>43644</c:v>
                </c:pt>
                <c:pt idx="303">
                  <c:v>43637</c:v>
                </c:pt>
                <c:pt idx="304">
                  <c:v>43630</c:v>
                </c:pt>
                <c:pt idx="305">
                  <c:v>43623</c:v>
                </c:pt>
                <c:pt idx="306">
                  <c:v>43616</c:v>
                </c:pt>
                <c:pt idx="307">
                  <c:v>43609</c:v>
                </c:pt>
                <c:pt idx="308">
                  <c:v>43602</c:v>
                </c:pt>
                <c:pt idx="309">
                  <c:v>43595</c:v>
                </c:pt>
                <c:pt idx="310">
                  <c:v>43588</c:v>
                </c:pt>
                <c:pt idx="311">
                  <c:v>43581</c:v>
                </c:pt>
                <c:pt idx="312">
                  <c:v>43574</c:v>
                </c:pt>
                <c:pt idx="313">
                  <c:v>43567</c:v>
                </c:pt>
                <c:pt idx="314">
                  <c:v>43560</c:v>
                </c:pt>
                <c:pt idx="315">
                  <c:v>43553</c:v>
                </c:pt>
                <c:pt idx="316">
                  <c:v>43546</c:v>
                </c:pt>
                <c:pt idx="317">
                  <c:v>43539</c:v>
                </c:pt>
                <c:pt idx="318">
                  <c:v>43532</c:v>
                </c:pt>
                <c:pt idx="319">
                  <c:v>43525</c:v>
                </c:pt>
                <c:pt idx="320">
                  <c:v>43518</c:v>
                </c:pt>
                <c:pt idx="321">
                  <c:v>43511</c:v>
                </c:pt>
                <c:pt idx="322">
                  <c:v>43504</c:v>
                </c:pt>
                <c:pt idx="323">
                  <c:v>43497</c:v>
                </c:pt>
                <c:pt idx="324">
                  <c:v>43490</c:v>
                </c:pt>
                <c:pt idx="325">
                  <c:v>43483</c:v>
                </c:pt>
                <c:pt idx="326">
                  <c:v>43476</c:v>
                </c:pt>
                <c:pt idx="327">
                  <c:v>43469</c:v>
                </c:pt>
                <c:pt idx="328">
                  <c:v>43462</c:v>
                </c:pt>
                <c:pt idx="329">
                  <c:v>43455</c:v>
                </c:pt>
                <c:pt idx="330">
                  <c:v>43448</c:v>
                </c:pt>
                <c:pt idx="331">
                  <c:v>43441</c:v>
                </c:pt>
                <c:pt idx="332">
                  <c:v>43434</c:v>
                </c:pt>
                <c:pt idx="333">
                  <c:v>43427</c:v>
                </c:pt>
                <c:pt idx="334">
                  <c:v>43420</c:v>
                </c:pt>
                <c:pt idx="335">
                  <c:v>43413</c:v>
                </c:pt>
                <c:pt idx="336">
                  <c:v>43406</c:v>
                </c:pt>
                <c:pt idx="337">
                  <c:v>43399</c:v>
                </c:pt>
                <c:pt idx="338">
                  <c:v>43392</c:v>
                </c:pt>
                <c:pt idx="339">
                  <c:v>43385</c:v>
                </c:pt>
                <c:pt idx="340">
                  <c:v>43378</c:v>
                </c:pt>
                <c:pt idx="341">
                  <c:v>43371</c:v>
                </c:pt>
                <c:pt idx="342">
                  <c:v>43364</c:v>
                </c:pt>
                <c:pt idx="343">
                  <c:v>43357</c:v>
                </c:pt>
                <c:pt idx="344">
                  <c:v>43350</c:v>
                </c:pt>
                <c:pt idx="345">
                  <c:v>43343</c:v>
                </c:pt>
                <c:pt idx="346">
                  <c:v>43336</c:v>
                </c:pt>
                <c:pt idx="347">
                  <c:v>43329</c:v>
                </c:pt>
                <c:pt idx="348">
                  <c:v>43322</c:v>
                </c:pt>
                <c:pt idx="349">
                  <c:v>43315</c:v>
                </c:pt>
                <c:pt idx="350">
                  <c:v>43308</c:v>
                </c:pt>
                <c:pt idx="351">
                  <c:v>43301</c:v>
                </c:pt>
                <c:pt idx="352">
                  <c:v>43294</c:v>
                </c:pt>
                <c:pt idx="353">
                  <c:v>43287</c:v>
                </c:pt>
                <c:pt idx="354">
                  <c:v>43280</c:v>
                </c:pt>
                <c:pt idx="355">
                  <c:v>43273</c:v>
                </c:pt>
                <c:pt idx="356">
                  <c:v>43266</c:v>
                </c:pt>
                <c:pt idx="357">
                  <c:v>43259</c:v>
                </c:pt>
                <c:pt idx="358">
                  <c:v>43252</c:v>
                </c:pt>
                <c:pt idx="359">
                  <c:v>43245</c:v>
                </c:pt>
                <c:pt idx="360">
                  <c:v>43238</c:v>
                </c:pt>
                <c:pt idx="361">
                  <c:v>43231</c:v>
                </c:pt>
                <c:pt idx="362">
                  <c:v>43224</c:v>
                </c:pt>
                <c:pt idx="363">
                  <c:v>43217</c:v>
                </c:pt>
                <c:pt idx="364">
                  <c:v>43210</c:v>
                </c:pt>
                <c:pt idx="365">
                  <c:v>43203</c:v>
                </c:pt>
                <c:pt idx="366">
                  <c:v>43196</c:v>
                </c:pt>
                <c:pt idx="367">
                  <c:v>43189</c:v>
                </c:pt>
                <c:pt idx="368">
                  <c:v>43182</c:v>
                </c:pt>
                <c:pt idx="369">
                  <c:v>43175</c:v>
                </c:pt>
                <c:pt idx="370">
                  <c:v>43168</c:v>
                </c:pt>
                <c:pt idx="371">
                  <c:v>43161</c:v>
                </c:pt>
                <c:pt idx="372">
                  <c:v>43154</c:v>
                </c:pt>
                <c:pt idx="373">
                  <c:v>43147</c:v>
                </c:pt>
                <c:pt idx="374">
                  <c:v>43140</c:v>
                </c:pt>
                <c:pt idx="375">
                  <c:v>43133</c:v>
                </c:pt>
                <c:pt idx="376">
                  <c:v>43126</c:v>
                </c:pt>
                <c:pt idx="377">
                  <c:v>43119</c:v>
                </c:pt>
                <c:pt idx="378">
                  <c:v>43112</c:v>
                </c:pt>
                <c:pt idx="379">
                  <c:v>43105</c:v>
                </c:pt>
                <c:pt idx="380">
                  <c:v>43098</c:v>
                </c:pt>
                <c:pt idx="381">
                  <c:v>43091</c:v>
                </c:pt>
                <c:pt idx="382">
                  <c:v>43084</c:v>
                </c:pt>
                <c:pt idx="383">
                  <c:v>43077</c:v>
                </c:pt>
                <c:pt idx="384">
                  <c:v>43070</c:v>
                </c:pt>
                <c:pt idx="385">
                  <c:v>43063</c:v>
                </c:pt>
                <c:pt idx="386">
                  <c:v>43056</c:v>
                </c:pt>
                <c:pt idx="387">
                  <c:v>43049</c:v>
                </c:pt>
                <c:pt idx="388">
                  <c:v>43042</c:v>
                </c:pt>
                <c:pt idx="389">
                  <c:v>43035</c:v>
                </c:pt>
                <c:pt idx="390">
                  <c:v>43028</c:v>
                </c:pt>
                <c:pt idx="391">
                  <c:v>43021</c:v>
                </c:pt>
                <c:pt idx="392">
                  <c:v>43014</c:v>
                </c:pt>
                <c:pt idx="393">
                  <c:v>43007</c:v>
                </c:pt>
                <c:pt idx="394">
                  <c:v>43000</c:v>
                </c:pt>
                <c:pt idx="395">
                  <c:v>42993</c:v>
                </c:pt>
                <c:pt idx="396">
                  <c:v>42986</c:v>
                </c:pt>
                <c:pt idx="397">
                  <c:v>42979</c:v>
                </c:pt>
                <c:pt idx="398">
                  <c:v>42972</c:v>
                </c:pt>
                <c:pt idx="399">
                  <c:v>42965</c:v>
                </c:pt>
                <c:pt idx="400">
                  <c:v>42958</c:v>
                </c:pt>
                <c:pt idx="401">
                  <c:v>42951</c:v>
                </c:pt>
                <c:pt idx="402">
                  <c:v>42944</c:v>
                </c:pt>
                <c:pt idx="403">
                  <c:v>42937</c:v>
                </c:pt>
                <c:pt idx="404">
                  <c:v>42930</c:v>
                </c:pt>
                <c:pt idx="405">
                  <c:v>42923</c:v>
                </c:pt>
                <c:pt idx="406">
                  <c:v>42916</c:v>
                </c:pt>
                <c:pt idx="407">
                  <c:v>42909</c:v>
                </c:pt>
                <c:pt idx="408">
                  <c:v>42902</c:v>
                </c:pt>
                <c:pt idx="409">
                  <c:v>42895</c:v>
                </c:pt>
                <c:pt idx="410">
                  <c:v>42888</c:v>
                </c:pt>
                <c:pt idx="411">
                  <c:v>42881</c:v>
                </c:pt>
                <c:pt idx="412">
                  <c:v>42874</c:v>
                </c:pt>
                <c:pt idx="413">
                  <c:v>42867</c:v>
                </c:pt>
                <c:pt idx="414">
                  <c:v>42860</c:v>
                </c:pt>
                <c:pt idx="415">
                  <c:v>42853</c:v>
                </c:pt>
                <c:pt idx="416">
                  <c:v>42846</c:v>
                </c:pt>
                <c:pt idx="417">
                  <c:v>42839</c:v>
                </c:pt>
                <c:pt idx="418">
                  <c:v>42832</c:v>
                </c:pt>
                <c:pt idx="419">
                  <c:v>42825</c:v>
                </c:pt>
                <c:pt idx="420">
                  <c:v>42818</c:v>
                </c:pt>
                <c:pt idx="421">
                  <c:v>42811</c:v>
                </c:pt>
                <c:pt idx="422">
                  <c:v>42804</c:v>
                </c:pt>
                <c:pt idx="423">
                  <c:v>42797</c:v>
                </c:pt>
                <c:pt idx="424">
                  <c:v>42790</c:v>
                </c:pt>
                <c:pt idx="425">
                  <c:v>42783</c:v>
                </c:pt>
                <c:pt idx="426">
                  <c:v>42776</c:v>
                </c:pt>
                <c:pt idx="427">
                  <c:v>42769</c:v>
                </c:pt>
                <c:pt idx="428">
                  <c:v>42762</c:v>
                </c:pt>
                <c:pt idx="429">
                  <c:v>42755</c:v>
                </c:pt>
                <c:pt idx="430">
                  <c:v>42748</c:v>
                </c:pt>
                <c:pt idx="431">
                  <c:v>42741</c:v>
                </c:pt>
                <c:pt idx="432">
                  <c:v>42734</c:v>
                </c:pt>
                <c:pt idx="433">
                  <c:v>42727</c:v>
                </c:pt>
                <c:pt idx="434">
                  <c:v>42720</c:v>
                </c:pt>
                <c:pt idx="435">
                  <c:v>42713</c:v>
                </c:pt>
                <c:pt idx="436">
                  <c:v>42706</c:v>
                </c:pt>
                <c:pt idx="437">
                  <c:v>42699</c:v>
                </c:pt>
                <c:pt idx="438">
                  <c:v>42692</c:v>
                </c:pt>
                <c:pt idx="439">
                  <c:v>42685</c:v>
                </c:pt>
                <c:pt idx="440">
                  <c:v>42678</c:v>
                </c:pt>
                <c:pt idx="441">
                  <c:v>42671</c:v>
                </c:pt>
                <c:pt idx="442">
                  <c:v>42664</c:v>
                </c:pt>
                <c:pt idx="443">
                  <c:v>42657</c:v>
                </c:pt>
                <c:pt idx="444">
                  <c:v>42650</c:v>
                </c:pt>
                <c:pt idx="445">
                  <c:v>42643</c:v>
                </c:pt>
                <c:pt idx="446">
                  <c:v>42636</c:v>
                </c:pt>
                <c:pt idx="447">
                  <c:v>42629</c:v>
                </c:pt>
                <c:pt idx="448">
                  <c:v>42622</c:v>
                </c:pt>
                <c:pt idx="449">
                  <c:v>42615</c:v>
                </c:pt>
                <c:pt idx="450">
                  <c:v>42608</c:v>
                </c:pt>
                <c:pt idx="451">
                  <c:v>42601</c:v>
                </c:pt>
                <c:pt idx="452">
                  <c:v>42594</c:v>
                </c:pt>
                <c:pt idx="453">
                  <c:v>42587</c:v>
                </c:pt>
                <c:pt idx="454">
                  <c:v>42580</c:v>
                </c:pt>
                <c:pt idx="455">
                  <c:v>42573</c:v>
                </c:pt>
                <c:pt idx="456">
                  <c:v>42566</c:v>
                </c:pt>
                <c:pt idx="457">
                  <c:v>42559</c:v>
                </c:pt>
                <c:pt idx="458">
                  <c:v>42552</c:v>
                </c:pt>
                <c:pt idx="459">
                  <c:v>42545</c:v>
                </c:pt>
                <c:pt idx="460">
                  <c:v>42538</c:v>
                </c:pt>
                <c:pt idx="461">
                  <c:v>42531</c:v>
                </c:pt>
                <c:pt idx="462">
                  <c:v>42524</c:v>
                </c:pt>
                <c:pt idx="463">
                  <c:v>42517</c:v>
                </c:pt>
                <c:pt idx="464">
                  <c:v>42510</c:v>
                </c:pt>
                <c:pt idx="465">
                  <c:v>42503</c:v>
                </c:pt>
                <c:pt idx="466">
                  <c:v>42496</c:v>
                </c:pt>
                <c:pt idx="467">
                  <c:v>42489</c:v>
                </c:pt>
                <c:pt idx="468">
                  <c:v>42482</c:v>
                </c:pt>
                <c:pt idx="469">
                  <c:v>42475</c:v>
                </c:pt>
                <c:pt idx="470">
                  <c:v>42468</c:v>
                </c:pt>
                <c:pt idx="471">
                  <c:v>42461</c:v>
                </c:pt>
                <c:pt idx="472">
                  <c:v>42454</c:v>
                </c:pt>
                <c:pt idx="473">
                  <c:v>42447</c:v>
                </c:pt>
                <c:pt idx="474">
                  <c:v>42440</c:v>
                </c:pt>
                <c:pt idx="475">
                  <c:v>42433</c:v>
                </c:pt>
                <c:pt idx="476">
                  <c:v>42426</c:v>
                </c:pt>
                <c:pt idx="477">
                  <c:v>42419</c:v>
                </c:pt>
                <c:pt idx="478">
                  <c:v>42412</c:v>
                </c:pt>
                <c:pt idx="479">
                  <c:v>42405</c:v>
                </c:pt>
                <c:pt idx="480">
                  <c:v>42398</c:v>
                </c:pt>
                <c:pt idx="481">
                  <c:v>42391</c:v>
                </c:pt>
                <c:pt idx="482">
                  <c:v>42384</c:v>
                </c:pt>
                <c:pt idx="483">
                  <c:v>42377</c:v>
                </c:pt>
                <c:pt idx="484">
                  <c:v>42370</c:v>
                </c:pt>
                <c:pt idx="485">
                  <c:v>42363</c:v>
                </c:pt>
                <c:pt idx="486">
                  <c:v>42356</c:v>
                </c:pt>
                <c:pt idx="487">
                  <c:v>42349</c:v>
                </c:pt>
                <c:pt idx="488">
                  <c:v>42342</c:v>
                </c:pt>
                <c:pt idx="489">
                  <c:v>42335</c:v>
                </c:pt>
                <c:pt idx="490">
                  <c:v>42328</c:v>
                </c:pt>
                <c:pt idx="491">
                  <c:v>42321</c:v>
                </c:pt>
                <c:pt idx="492">
                  <c:v>42314</c:v>
                </c:pt>
                <c:pt idx="493">
                  <c:v>42307</c:v>
                </c:pt>
                <c:pt idx="494">
                  <c:v>42300</c:v>
                </c:pt>
                <c:pt idx="495">
                  <c:v>42293</c:v>
                </c:pt>
                <c:pt idx="496">
                  <c:v>42286</c:v>
                </c:pt>
                <c:pt idx="497">
                  <c:v>42279</c:v>
                </c:pt>
                <c:pt idx="498">
                  <c:v>42272</c:v>
                </c:pt>
                <c:pt idx="499">
                  <c:v>42265</c:v>
                </c:pt>
                <c:pt idx="500">
                  <c:v>42258</c:v>
                </c:pt>
                <c:pt idx="501">
                  <c:v>42251</c:v>
                </c:pt>
                <c:pt idx="502">
                  <c:v>42244</c:v>
                </c:pt>
                <c:pt idx="503">
                  <c:v>42237</c:v>
                </c:pt>
                <c:pt idx="504">
                  <c:v>42230</c:v>
                </c:pt>
                <c:pt idx="505">
                  <c:v>42223</c:v>
                </c:pt>
                <c:pt idx="506">
                  <c:v>42216</c:v>
                </c:pt>
                <c:pt idx="507">
                  <c:v>42209</c:v>
                </c:pt>
                <c:pt idx="508">
                  <c:v>42202</c:v>
                </c:pt>
                <c:pt idx="509">
                  <c:v>42195</c:v>
                </c:pt>
                <c:pt idx="510">
                  <c:v>42188</c:v>
                </c:pt>
                <c:pt idx="511">
                  <c:v>42181</c:v>
                </c:pt>
                <c:pt idx="512">
                  <c:v>42174</c:v>
                </c:pt>
                <c:pt idx="513">
                  <c:v>42167</c:v>
                </c:pt>
                <c:pt idx="514">
                  <c:v>42160</c:v>
                </c:pt>
                <c:pt idx="515">
                  <c:v>42153</c:v>
                </c:pt>
                <c:pt idx="516">
                  <c:v>42146</c:v>
                </c:pt>
                <c:pt idx="517">
                  <c:v>42139</c:v>
                </c:pt>
                <c:pt idx="518">
                  <c:v>42132</c:v>
                </c:pt>
                <c:pt idx="519">
                  <c:v>42125</c:v>
                </c:pt>
                <c:pt idx="520">
                  <c:v>42118</c:v>
                </c:pt>
                <c:pt idx="521">
                  <c:v>42111</c:v>
                </c:pt>
              </c:numCache>
            </c:numRef>
          </c:cat>
          <c:val>
            <c:numRef>
              <c:f>CORRELATION!$BX$3:$BX$524</c:f>
              <c:numCache>
                <c:formatCode>General</c:formatCode>
                <c:ptCount val="522"/>
                <c:pt idx="0">
                  <c:v>5.5490096079806008</c:v>
                </c:pt>
                <c:pt idx="1">
                  <c:v>5.1683910654974667</c:v>
                </c:pt>
                <c:pt idx="2">
                  <c:v>6.1557001413614367</c:v>
                </c:pt>
                <c:pt idx="3">
                  <c:v>6.5479493972026521</c:v>
                </c:pt>
                <c:pt idx="4">
                  <c:v>6.6066258863821812</c:v>
                </c:pt>
                <c:pt idx="5">
                  <c:v>6.650868855661928</c:v>
                </c:pt>
                <c:pt idx="6">
                  <c:v>6.8479071611635316</c:v>
                </c:pt>
                <c:pt idx="7">
                  <c:v>7.3792293503120296</c:v>
                </c:pt>
                <c:pt idx="8">
                  <c:v>7.4142105595844212</c:v>
                </c:pt>
                <c:pt idx="9">
                  <c:v>7.1964205675144521</c:v>
                </c:pt>
                <c:pt idx="10">
                  <c:v>7.2057699601199854</c:v>
                </c:pt>
                <c:pt idx="11">
                  <c:v>7.6742308443759981</c:v>
                </c:pt>
                <c:pt idx="12">
                  <c:v>7.6279680155382659</c:v>
                </c:pt>
                <c:pt idx="13">
                  <c:v>7.2368292514739521</c:v>
                </c:pt>
                <c:pt idx="14">
                  <c:v>7.4180936893036513</c:v>
                </c:pt>
                <c:pt idx="15">
                  <c:v>7.3596556757191625</c:v>
                </c:pt>
                <c:pt idx="16">
                  <c:v>7.1325924308420783</c:v>
                </c:pt>
                <c:pt idx="17">
                  <c:v>7.3981737941179855</c:v>
                </c:pt>
                <c:pt idx="18">
                  <c:v>7.2710562457620309</c:v>
                </c:pt>
                <c:pt idx="19">
                  <c:v>7.0774959487880853</c:v>
                </c:pt>
                <c:pt idx="20">
                  <c:v>7.1194963855144762</c:v>
                </c:pt>
                <c:pt idx="21">
                  <c:v>6.9439381227660872</c:v>
                </c:pt>
                <c:pt idx="22">
                  <c:v>7.6003580007125544</c:v>
                </c:pt>
                <c:pt idx="23">
                  <c:v>7.1850470055510227</c:v>
                </c:pt>
                <c:pt idx="24">
                  <c:v>7.4887557320338809</c:v>
                </c:pt>
                <c:pt idx="25">
                  <c:v>7.4827004631598317</c:v>
                </c:pt>
                <c:pt idx="26">
                  <c:v>7.6656169909551677</c:v>
                </c:pt>
                <c:pt idx="27">
                  <c:v>7.4801404420130799</c:v>
                </c:pt>
                <c:pt idx="28">
                  <c:v>7.4950695889025534</c:v>
                </c:pt>
                <c:pt idx="29">
                  <c:v>7.1830917929916911</c:v>
                </c:pt>
                <c:pt idx="30">
                  <c:v>7.1549660387767062</c:v>
                </c:pt>
                <c:pt idx="31">
                  <c:v>6.5052335336911433</c:v>
                </c:pt>
                <c:pt idx="32">
                  <c:v>7.4111606578478586</c:v>
                </c:pt>
                <c:pt idx="33">
                  <c:v>7.5114827435611593</c:v>
                </c:pt>
                <c:pt idx="34">
                  <c:v>7.4275752491064351</c:v>
                </c:pt>
                <c:pt idx="35">
                  <c:v>6.7655986024755501</c:v>
                </c:pt>
                <c:pt idx="36">
                  <c:v>6.6195050051142958</c:v>
                </c:pt>
                <c:pt idx="37">
                  <c:v>7.3311535323120065</c:v>
                </c:pt>
                <c:pt idx="38">
                  <c:v>7.5668033352104906</c:v>
                </c:pt>
                <c:pt idx="39">
                  <c:v>8.2966420912298453</c:v>
                </c:pt>
                <c:pt idx="40">
                  <c:v>8.1258533403822515</c:v>
                </c:pt>
                <c:pt idx="41">
                  <c:v>7.8614471158819006</c:v>
                </c:pt>
                <c:pt idx="42">
                  <c:v>7.9566606521014593</c:v>
                </c:pt>
                <c:pt idx="43">
                  <c:v>8.042534851915276</c:v>
                </c:pt>
                <c:pt idx="44">
                  <c:v>7.5956545724103846</c:v>
                </c:pt>
                <c:pt idx="45">
                  <c:v>7.3602145131075387</c:v>
                </c:pt>
                <c:pt idx="46">
                  <c:v>7.5003663329923809</c:v>
                </c:pt>
                <c:pt idx="47">
                  <c:v>7.1586135661008381</c:v>
                </c:pt>
                <c:pt idx="48">
                  <c:v>6.9072128811299729</c:v>
                </c:pt>
                <c:pt idx="49">
                  <c:v>6.7752755398742694</c:v>
                </c:pt>
                <c:pt idx="50">
                  <c:v>6.8027160359035062</c:v>
                </c:pt>
                <c:pt idx="51">
                  <c:v>6.1872493133052142</c:v>
                </c:pt>
                <c:pt idx="52">
                  <c:v>6.8167372516118654</c:v>
                </c:pt>
                <c:pt idx="53">
                  <c:v>6.9231577041983208</c:v>
                </c:pt>
                <c:pt idx="54">
                  <c:v>7.0468216662261094</c:v>
                </c:pt>
                <c:pt idx="55">
                  <c:v>7.0512090425348521</c:v>
                </c:pt>
                <c:pt idx="56">
                  <c:v>6.834921734033629</c:v>
                </c:pt>
                <c:pt idx="57">
                  <c:v>7.1223451632552219</c:v>
                </c:pt>
                <c:pt idx="58">
                  <c:v>7.0818387904977529</c:v>
                </c:pt>
                <c:pt idx="59">
                  <c:v>6.6299577064968798</c:v>
                </c:pt>
                <c:pt idx="60">
                  <c:v>6.5044635161071591</c:v>
                </c:pt>
                <c:pt idx="61">
                  <c:v>6.5613844801232037</c:v>
                </c:pt>
                <c:pt idx="62">
                  <c:v>6.230140442013079</c:v>
                </c:pt>
                <c:pt idx="63">
                  <c:v>6.2378636034524373</c:v>
                </c:pt>
                <c:pt idx="64">
                  <c:v>6.2860644056498609</c:v>
                </c:pt>
                <c:pt idx="65">
                  <c:v>5.8217136339083568</c:v>
                </c:pt>
                <c:pt idx="66">
                  <c:v>5.6508458700624056</c:v>
                </c:pt>
                <c:pt idx="67">
                  <c:v>5.9984858236314951</c:v>
                </c:pt>
                <c:pt idx="68">
                  <c:v>5.9372593695050044</c:v>
                </c:pt>
                <c:pt idx="69">
                  <c:v>5.914486386778683</c:v>
                </c:pt>
                <c:pt idx="70">
                  <c:v>5.4219768190228823</c:v>
                </c:pt>
                <c:pt idx="71">
                  <c:v>5.3703913872958591</c:v>
                </c:pt>
                <c:pt idx="72">
                  <c:v>5.3842689430072062</c:v>
                </c:pt>
                <c:pt idx="73">
                  <c:v>5.3853104779855423</c:v>
                </c:pt>
                <c:pt idx="74">
                  <c:v>5.1598907034742734</c:v>
                </c:pt>
                <c:pt idx="75">
                  <c:v>4.9628294123731482</c:v>
                </c:pt>
                <c:pt idx="76">
                  <c:v>4.6360417073703326</c:v>
                </c:pt>
                <c:pt idx="77">
                  <c:v>4.7639680615094644</c:v>
                </c:pt>
                <c:pt idx="78">
                  <c:v>4.9605365988208385</c:v>
                </c:pt>
                <c:pt idx="79">
                  <c:v>4.9924908919561899</c:v>
                </c:pt>
                <c:pt idx="80">
                  <c:v>4.9337066577789015</c:v>
                </c:pt>
                <c:pt idx="81">
                  <c:v>4.8345740768408598</c:v>
                </c:pt>
                <c:pt idx="82">
                  <c:v>4.9941875165209</c:v>
                </c:pt>
                <c:pt idx="83">
                  <c:v>5.122905437243567</c:v>
                </c:pt>
                <c:pt idx="84">
                  <c:v>5.2907620875521486</c:v>
                </c:pt>
                <c:pt idx="85">
                  <c:v>5.0218492489455357</c:v>
                </c:pt>
                <c:pt idx="86">
                  <c:v>4.9745664341290183</c:v>
                </c:pt>
                <c:pt idx="87">
                  <c:v>5.0489966785808686</c:v>
                </c:pt>
                <c:pt idx="88">
                  <c:v>5.3142749192630818</c:v>
                </c:pt>
                <c:pt idx="89">
                  <c:v>5.533441174104424</c:v>
                </c:pt>
                <c:pt idx="90">
                  <c:v>5.3137663628736602</c:v>
                </c:pt>
                <c:pt idx="91">
                  <c:v>5.3878446403328324</c:v>
                </c:pt>
                <c:pt idx="92">
                  <c:v>5.1397625012929398</c:v>
                </c:pt>
                <c:pt idx="93">
                  <c:v>5.2767164496442982</c:v>
                </c:pt>
                <c:pt idx="94">
                  <c:v>5.0377337348151388</c:v>
                </c:pt>
                <c:pt idx="95">
                  <c:v>5.2768385606417576</c:v>
                </c:pt>
                <c:pt idx="96">
                  <c:v>5.0639732332693574</c:v>
                </c:pt>
                <c:pt idx="97">
                  <c:v>5.0301168817735693</c:v>
                </c:pt>
                <c:pt idx="98">
                  <c:v>5.0937079794508744</c:v>
                </c:pt>
                <c:pt idx="99">
                  <c:v>4.6021278918757398</c:v>
                </c:pt>
                <c:pt idx="100">
                  <c:v>4.2707933479674987</c:v>
                </c:pt>
                <c:pt idx="101">
                  <c:v>4.3208488007263446</c:v>
                </c:pt>
                <c:pt idx="102">
                  <c:v>4.3025738125064645</c:v>
                </c:pt>
                <c:pt idx="103">
                  <c:v>4.3405963039155973</c:v>
                </c:pt>
                <c:pt idx="104">
                  <c:v>4.4110126880509366</c:v>
                </c:pt>
                <c:pt idx="105">
                  <c:v>4.4128975072117322</c:v>
                </c:pt>
                <c:pt idx="106">
                  <c:v>4.6414591258576507</c:v>
                </c:pt>
                <c:pt idx="107">
                  <c:v>4.484006332532668</c:v>
                </c:pt>
                <c:pt idx="108">
                  <c:v>4.429783303260507</c:v>
                </c:pt>
                <c:pt idx="109">
                  <c:v>4.2005163140292607</c:v>
                </c:pt>
                <c:pt idx="110">
                  <c:v>4.3505088437094166</c:v>
                </c:pt>
                <c:pt idx="111">
                  <c:v>4.216583248095068</c:v>
                </c:pt>
                <c:pt idx="112">
                  <c:v>4.3182298789808184</c:v>
                </c:pt>
                <c:pt idx="113">
                  <c:v>4.3258194366229556</c:v>
                </c:pt>
                <c:pt idx="114">
                  <c:v>4.4277533875027304</c:v>
                </c:pt>
                <c:pt idx="115">
                  <c:v>4.2311719207916241</c:v>
                </c:pt>
                <c:pt idx="116">
                  <c:v>4.0148558802909982</c:v>
                </c:pt>
                <c:pt idx="117">
                  <c:v>4.023432382112607</c:v>
                </c:pt>
                <c:pt idx="118">
                  <c:v>3.7870226178299298</c:v>
                </c:pt>
                <c:pt idx="119">
                  <c:v>3.637633460137224</c:v>
                </c:pt>
                <c:pt idx="120">
                  <c:v>3.6424834216363449</c:v>
                </c:pt>
                <c:pt idx="121">
                  <c:v>3.7870168714300494</c:v>
                </c:pt>
                <c:pt idx="122">
                  <c:v>3.9090115042925611</c:v>
                </c:pt>
                <c:pt idx="123">
                  <c:v>3.981156118191953</c:v>
                </c:pt>
                <c:pt idx="124">
                  <c:v>3.9524758363885031</c:v>
                </c:pt>
                <c:pt idx="125">
                  <c:v>3.9133399800025286</c:v>
                </c:pt>
                <c:pt idx="126">
                  <c:v>3.9576835112801834</c:v>
                </c:pt>
                <c:pt idx="127">
                  <c:v>3.4453057659376403</c:v>
                </c:pt>
                <c:pt idx="128">
                  <c:v>3.4961901368792452</c:v>
                </c:pt>
                <c:pt idx="129">
                  <c:v>3.356881601176863</c:v>
                </c:pt>
                <c:pt idx="130">
                  <c:v>3.1063931571870222</c:v>
                </c:pt>
                <c:pt idx="131">
                  <c:v>3.3857069795772952</c:v>
                </c:pt>
                <c:pt idx="132">
                  <c:v>3.3138008412729429</c:v>
                </c:pt>
                <c:pt idx="133">
                  <c:v>3.4606184850191357</c:v>
                </c:pt>
                <c:pt idx="134">
                  <c:v>3.6822097206100377</c:v>
                </c:pt>
                <c:pt idx="135">
                  <c:v>3.9101004470699108</c:v>
                </c:pt>
                <c:pt idx="136">
                  <c:v>3.7341025847306666</c:v>
                </c:pt>
                <c:pt idx="137">
                  <c:v>4.0202416935789733</c:v>
                </c:pt>
                <c:pt idx="138">
                  <c:v>4.2427667191504526</c:v>
                </c:pt>
                <c:pt idx="139">
                  <c:v>4.4072617255289561</c:v>
                </c:pt>
                <c:pt idx="140">
                  <c:v>4.3865057291606808</c:v>
                </c:pt>
                <c:pt idx="141">
                  <c:v>4.2625874889381805</c:v>
                </c:pt>
                <c:pt idx="142">
                  <c:v>4.0834075576651232</c:v>
                </c:pt>
                <c:pt idx="143">
                  <c:v>3.8698655917067954</c:v>
                </c:pt>
                <c:pt idx="144">
                  <c:v>3.7610445805702728</c:v>
                </c:pt>
                <c:pt idx="145">
                  <c:v>3.5318178161381897</c:v>
                </c:pt>
                <c:pt idx="146">
                  <c:v>3.9053539207686385</c:v>
                </c:pt>
                <c:pt idx="147">
                  <c:v>3.7043362333498062</c:v>
                </c:pt>
                <c:pt idx="148">
                  <c:v>4.0684166369769343</c:v>
                </c:pt>
                <c:pt idx="149">
                  <c:v>4.3997123926859825</c:v>
                </c:pt>
                <c:pt idx="150">
                  <c:v>4.475514590109297</c:v>
                </c:pt>
                <c:pt idx="151">
                  <c:v>4.1412177770626704</c:v>
                </c:pt>
                <c:pt idx="152">
                  <c:v>4.2672291434416341</c:v>
                </c:pt>
                <c:pt idx="153">
                  <c:v>4.2840330532921129</c:v>
                </c:pt>
                <c:pt idx="154">
                  <c:v>4.1944969601544635</c:v>
                </c:pt>
                <c:pt idx="155">
                  <c:v>4.2951896886600549</c:v>
                </c:pt>
                <c:pt idx="156">
                  <c:v>4.3503450713128231</c:v>
                </c:pt>
                <c:pt idx="157">
                  <c:v>4.4824231993655976</c:v>
                </c:pt>
                <c:pt idx="158">
                  <c:v>4.8365106136005798</c:v>
                </c:pt>
                <c:pt idx="159">
                  <c:v>5.0644990288584202</c:v>
                </c:pt>
                <c:pt idx="160">
                  <c:v>4.930839204238544</c:v>
                </c:pt>
                <c:pt idx="161">
                  <c:v>4.5168800496488952</c:v>
                </c:pt>
                <c:pt idx="162">
                  <c:v>4.6817672478192414</c:v>
                </c:pt>
                <c:pt idx="163">
                  <c:v>4.9601113652296842</c:v>
                </c:pt>
                <c:pt idx="164">
                  <c:v>4.8618809690728764</c:v>
                </c:pt>
                <c:pt idx="165">
                  <c:v>4.8345123030421444</c:v>
                </c:pt>
                <c:pt idx="166">
                  <c:v>4.9606860052177311</c:v>
                </c:pt>
                <c:pt idx="167">
                  <c:v>4.7456571582903315</c:v>
                </c:pt>
                <c:pt idx="168">
                  <c:v>4.9344120283642301</c:v>
                </c:pt>
                <c:pt idx="169">
                  <c:v>5.603616209444783</c:v>
                </c:pt>
                <c:pt idx="170">
                  <c:v>5.4537989449609823</c:v>
                </c:pt>
                <c:pt idx="171">
                  <c:v>5.6690605210835416</c:v>
                </c:pt>
                <c:pt idx="172">
                  <c:v>5.6492684832952156</c:v>
                </c:pt>
                <c:pt idx="173">
                  <c:v>5.4031113882152839</c:v>
                </c:pt>
                <c:pt idx="174">
                  <c:v>5.6238148050246526</c:v>
                </c:pt>
                <c:pt idx="175">
                  <c:v>5.4655963039155973</c:v>
                </c:pt>
                <c:pt idx="176">
                  <c:v>5.3974928457321489</c:v>
                </c:pt>
                <c:pt idx="177">
                  <c:v>5.6200106883037781</c:v>
                </c:pt>
                <c:pt idx="178">
                  <c:v>5.4511828964153963</c:v>
                </c:pt>
                <c:pt idx="179">
                  <c:v>5.3966596177494806</c:v>
                </c:pt>
                <c:pt idx="180">
                  <c:v>4.9580900690717264</c:v>
                </c:pt>
                <c:pt idx="181">
                  <c:v>4.8417441472917222</c:v>
                </c:pt>
                <c:pt idx="182">
                  <c:v>4.7614769971612789</c:v>
                </c:pt>
                <c:pt idx="183">
                  <c:v>4.6635971313971796</c:v>
                </c:pt>
                <c:pt idx="184">
                  <c:v>4.6850139637517092</c:v>
                </c:pt>
                <c:pt idx="185">
                  <c:v>4.9619071151923322</c:v>
                </c:pt>
                <c:pt idx="186">
                  <c:v>4.9148326073714816</c:v>
                </c:pt>
                <c:pt idx="187">
                  <c:v>4.9083679075059479</c:v>
                </c:pt>
                <c:pt idx="188">
                  <c:v>4.9288135982806773</c:v>
                </c:pt>
                <c:pt idx="189">
                  <c:v>4.9368039673144777</c:v>
                </c:pt>
                <c:pt idx="190">
                  <c:v>4.6782849294916735</c:v>
                </c:pt>
                <c:pt idx="191">
                  <c:v>4.7911183643447384</c:v>
                </c:pt>
                <c:pt idx="192">
                  <c:v>4.9017494914436108</c:v>
                </c:pt>
                <c:pt idx="193">
                  <c:v>4.8219851513027088</c:v>
                </c:pt>
                <c:pt idx="194">
                  <c:v>4.7121369711875509</c:v>
                </c:pt>
                <c:pt idx="195">
                  <c:v>4.5187505028099899</c:v>
                </c:pt>
                <c:pt idx="196">
                  <c:v>4.7097349760375122</c:v>
                </c:pt>
                <c:pt idx="197">
                  <c:v>4.763525588718668</c:v>
                </c:pt>
                <c:pt idx="198">
                  <c:v>4.6567158175403112</c:v>
                </c:pt>
                <c:pt idx="199">
                  <c:v>4.5293281883899743</c:v>
                </c:pt>
                <c:pt idx="200">
                  <c:v>4.6115735366792707</c:v>
                </c:pt>
                <c:pt idx="201">
                  <c:v>4.6174363011573245</c:v>
                </c:pt>
                <c:pt idx="202">
                  <c:v>4.577810564181541</c:v>
                </c:pt>
                <c:pt idx="203">
                  <c:v>4.3846467687993469</c:v>
                </c:pt>
                <c:pt idx="204">
                  <c:v>4.2831064463113862</c:v>
                </c:pt>
                <c:pt idx="205">
                  <c:v>4.4707422050085626</c:v>
                </c:pt>
                <c:pt idx="206">
                  <c:v>4.4663821240992521</c:v>
                </c:pt>
                <c:pt idx="207">
                  <c:v>4.5927856822700583</c:v>
                </c:pt>
                <c:pt idx="208">
                  <c:v>4.6733674477939573</c:v>
                </c:pt>
                <c:pt idx="209">
                  <c:v>4.7329202629552585</c:v>
                </c:pt>
                <c:pt idx="210">
                  <c:v>4.6548353081794263</c:v>
                </c:pt>
                <c:pt idx="211">
                  <c:v>4.4624788819804388</c:v>
                </c:pt>
                <c:pt idx="212">
                  <c:v>4.3261297422165015</c:v>
                </c:pt>
                <c:pt idx="213">
                  <c:v>4.2596410223994674</c:v>
                </c:pt>
                <c:pt idx="214">
                  <c:v>4.1959536725241637</c:v>
                </c:pt>
                <c:pt idx="215">
                  <c:v>4.4069499833354406</c:v>
                </c:pt>
                <c:pt idx="216">
                  <c:v>4.6308268494788019</c:v>
                </c:pt>
                <c:pt idx="217">
                  <c:v>4.6256637091861954</c:v>
                </c:pt>
                <c:pt idx="218">
                  <c:v>4.2882624036041417</c:v>
                </c:pt>
                <c:pt idx="219">
                  <c:v>4.1475847881302368</c:v>
                </c:pt>
                <c:pt idx="220">
                  <c:v>4.4166886945328754</c:v>
                </c:pt>
                <c:pt idx="221">
                  <c:v>4.2994118559722336</c:v>
                </c:pt>
                <c:pt idx="222">
                  <c:v>4.2185312776545496</c:v>
                </c:pt>
                <c:pt idx="223">
                  <c:v>4.0160137798669133</c:v>
                </c:pt>
                <c:pt idx="224">
                  <c:v>3.9509918286193697</c:v>
                </c:pt>
                <c:pt idx="225">
                  <c:v>3.9718254013860315</c:v>
                </c:pt>
                <c:pt idx="226">
                  <c:v>3.8846855569985408</c:v>
                </c:pt>
                <c:pt idx="227">
                  <c:v>4.0124682511406604</c:v>
                </c:pt>
                <c:pt idx="228">
                  <c:v>3.7804975807656507</c:v>
                </c:pt>
                <c:pt idx="229">
                  <c:v>3.6712254772385102</c:v>
                </c:pt>
                <c:pt idx="230">
                  <c:v>3.6041693004332789</c:v>
                </c:pt>
                <c:pt idx="231">
                  <c:v>3.6335448966222659</c:v>
                </c:pt>
                <c:pt idx="232">
                  <c:v>3.2268233326820743</c:v>
                </c:pt>
                <c:pt idx="233">
                  <c:v>3.3907034742733679</c:v>
                </c:pt>
                <c:pt idx="234">
                  <c:v>3.4474879612922509</c:v>
                </c:pt>
                <c:pt idx="235">
                  <c:v>3.445027065543437</c:v>
                </c:pt>
                <c:pt idx="236">
                  <c:v>3.1908652354300031</c:v>
                </c:pt>
                <c:pt idx="237">
                  <c:v>3.1286776959235043</c:v>
                </c:pt>
                <c:pt idx="238">
                  <c:v>3.1044523106273925</c:v>
                </c:pt>
                <c:pt idx="239">
                  <c:v>3.0691133879624419</c:v>
                </c:pt>
                <c:pt idx="240">
                  <c:v>3.1788035420808862</c:v>
                </c:pt>
                <c:pt idx="241">
                  <c:v>3.2526591465446901</c:v>
                </c:pt>
                <c:pt idx="242">
                  <c:v>3.1581222489110576</c:v>
                </c:pt>
                <c:pt idx="243">
                  <c:v>3.1616778338371012</c:v>
                </c:pt>
                <c:pt idx="244">
                  <c:v>3.1301559572927564</c:v>
                </c:pt>
                <c:pt idx="245">
                  <c:v>3.0691694153612761</c:v>
                </c:pt>
                <c:pt idx="246">
                  <c:v>2.9288135982806773</c:v>
                </c:pt>
                <c:pt idx="247">
                  <c:v>2.9723109721759315</c:v>
                </c:pt>
                <c:pt idx="248">
                  <c:v>2.9734530691521761</c:v>
                </c:pt>
                <c:pt idx="249">
                  <c:v>2.8640243762282931</c:v>
                </c:pt>
                <c:pt idx="250">
                  <c:v>2.761033087770512</c:v>
                </c:pt>
                <c:pt idx="251">
                  <c:v>2.8254904552297986</c:v>
                </c:pt>
                <c:pt idx="252">
                  <c:v>2.7350636701106756</c:v>
                </c:pt>
                <c:pt idx="253">
                  <c:v>2.8785972463251777</c:v>
                </c:pt>
                <c:pt idx="254">
                  <c:v>2.6612928250451091</c:v>
                </c:pt>
                <c:pt idx="255">
                  <c:v>2.589192745744791</c:v>
                </c:pt>
                <c:pt idx="256">
                  <c:v>2.4435042695751115</c:v>
                </c:pt>
                <c:pt idx="257">
                  <c:v>2.5508355265426212</c:v>
                </c:pt>
                <c:pt idx="258">
                  <c:v>2.3623478640631648</c:v>
                </c:pt>
                <c:pt idx="259">
                  <c:v>2.4459005183252693</c:v>
                </c:pt>
                <c:pt idx="260">
                  <c:v>2.450325246233235</c:v>
                </c:pt>
                <c:pt idx="261">
                  <c:v>2.3010467067382288</c:v>
                </c:pt>
                <c:pt idx="262">
                  <c:v>2.073075530680029</c:v>
                </c:pt>
                <c:pt idx="263">
                  <c:v>2.1387353323143055</c:v>
                </c:pt>
                <c:pt idx="264">
                  <c:v>1.8654853983979036</c:v>
                </c:pt>
                <c:pt idx="265">
                  <c:v>2.218489616255416</c:v>
                </c:pt>
                <c:pt idx="266">
                  <c:v>2.4420633598050823</c:v>
                </c:pt>
                <c:pt idx="267">
                  <c:v>2.4501729666364027</c:v>
                </c:pt>
                <c:pt idx="268">
                  <c:v>2.7166895564928573</c:v>
                </c:pt>
                <c:pt idx="269">
                  <c:v>2.8107911643355439</c:v>
                </c:pt>
                <c:pt idx="270">
                  <c:v>2.6783423934904786</c:v>
                </c:pt>
                <c:pt idx="271">
                  <c:v>2.5714090747146914</c:v>
                </c:pt>
                <c:pt idx="272">
                  <c:v>2.7640571307076121</c:v>
                </c:pt>
                <c:pt idx="273">
                  <c:v>2.7534147981289721</c:v>
                </c:pt>
                <c:pt idx="274">
                  <c:v>2.6811983542310744</c:v>
                </c:pt>
                <c:pt idx="275">
                  <c:v>2.6634218662008253</c:v>
                </c:pt>
                <c:pt idx="276">
                  <c:v>2.670050338462953</c:v>
                </c:pt>
                <c:pt idx="277">
                  <c:v>2.6632681500040225</c:v>
                </c:pt>
                <c:pt idx="278">
                  <c:v>2.5801895737320568</c:v>
                </c:pt>
                <c:pt idx="279">
                  <c:v>2.4770014710783697</c:v>
                </c:pt>
                <c:pt idx="280">
                  <c:v>2.466419475698475</c:v>
                </c:pt>
                <c:pt idx="281">
                  <c:v>2.4289816804771811</c:v>
                </c:pt>
                <c:pt idx="282">
                  <c:v>2.5038974957189324</c:v>
                </c:pt>
                <c:pt idx="283">
                  <c:v>2.495062405902702</c:v>
                </c:pt>
                <c:pt idx="284">
                  <c:v>2.4277548241027</c:v>
                </c:pt>
                <c:pt idx="285">
                  <c:v>2.3684807093356013</c:v>
                </c:pt>
                <c:pt idx="286">
                  <c:v>2.2843275562859873</c:v>
                </c:pt>
                <c:pt idx="287">
                  <c:v>2.2858130006550894</c:v>
                </c:pt>
                <c:pt idx="288">
                  <c:v>2.2617729367551229</c:v>
                </c:pt>
                <c:pt idx="289">
                  <c:v>2.2164841226971301</c:v>
                </c:pt>
                <c:pt idx="290">
                  <c:v>2.2454129362954114</c:v>
                </c:pt>
                <c:pt idx="291">
                  <c:v>2.3066709956212432</c:v>
                </c:pt>
                <c:pt idx="292">
                  <c:v>2.2530743239360542</c:v>
                </c:pt>
                <c:pt idx="293">
                  <c:v>2.1619752100309158</c:v>
                </c:pt>
                <c:pt idx="294">
                  <c:v>2.0778680281803448</c:v>
                </c:pt>
                <c:pt idx="295">
                  <c:v>2.1250905057981178</c:v>
                </c:pt>
                <c:pt idx="296">
                  <c:v>2.1036693636436774</c:v>
                </c:pt>
                <c:pt idx="297">
                  <c:v>2.1382813667237479</c:v>
                </c:pt>
                <c:pt idx="298">
                  <c:v>2.2897449747733045</c:v>
                </c:pt>
                <c:pt idx="299">
                  <c:v>2.1892490604636197</c:v>
                </c:pt>
                <c:pt idx="300">
                  <c:v>2.1610529128500993</c:v>
                </c:pt>
                <c:pt idx="301">
                  <c:v>2.0998781763225343</c:v>
                </c:pt>
                <c:pt idx="302">
                  <c:v>2.0959404558044388</c:v>
                </c:pt>
                <c:pt idx="303">
                  <c:v>2.0263199480525453</c:v>
                </c:pt>
                <c:pt idx="304">
                  <c:v>1.9488239992644611</c:v>
                </c:pt>
                <c:pt idx="305">
                  <c:v>1.980795531599453</c:v>
                </c:pt>
                <c:pt idx="306">
                  <c:v>1.8620993322683339</c:v>
                </c:pt>
                <c:pt idx="307">
                  <c:v>1.8847731895967179</c:v>
                </c:pt>
                <c:pt idx="308">
                  <c:v>2.0141275241061476</c:v>
                </c:pt>
                <c:pt idx="309">
                  <c:v>2.1245402880095621</c:v>
                </c:pt>
                <c:pt idx="310">
                  <c:v>2.2564733194653548</c:v>
                </c:pt>
                <c:pt idx="311">
                  <c:v>2.2230019767615588</c:v>
                </c:pt>
                <c:pt idx="312">
                  <c:v>2.2384095114410822</c:v>
                </c:pt>
                <c:pt idx="313">
                  <c:v>2.150759674064199</c:v>
                </c:pt>
                <c:pt idx="314">
                  <c:v>2.1227861994460473</c:v>
                </c:pt>
                <c:pt idx="315">
                  <c:v>2.0047910609003461</c:v>
                </c:pt>
                <c:pt idx="316">
                  <c:v>2.0117715001551528</c:v>
                </c:pt>
                <c:pt idx="317">
                  <c:v>2.0002571513946514</c:v>
                </c:pt>
                <c:pt idx="318">
                  <c:v>1.8937347002103182</c:v>
                </c:pt>
                <c:pt idx="319">
                  <c:v>1.9582782636678122</c:v>
                </c:pt>
                <c:pt idx="320">
                  <c:v>1.9606385974187173</c:v>
                </c:pt>
                <c:pt idx="321">
                  <c:v>1.9411051476250132</c:v>
                </c:pt>
                <c:pt idx="322">
                  <c:v>1.8710594062819645</c:v>
                </c:pt>
                <c:pt idx="323">
                  <c:v>1.8494816747307814</c:v>
                </c:pt>
                <c:pt idx="324">
                  <c:v>1.8405158543172704</c:v>
                </c:pt>
                <c:pt idx="325">
                  <c:v>1.7646159680959879</c:v>
                </c:pt>
                <c:pt idx="326">
                  <c:v>1.7426575375527231</c:v>
                </c:pt>
                <c:pt idx="327">
                  <c:v>1.6434186482168922</c:v>
                </c:pt>
                <c:pt idx="328">
                  <c:v>1.648305961315236</c:v>
                </c:pt>
                <c:pt idx="329">
                  <c:v>1.5821203640918966</c:v>
                </c:pt>
                <c:pt idx="330">
                  <c:v>1.6916898438128514</c:v>
                </c:pt>
                <c:pt idx="331">
                  <c:v>1.6633845146016022</c:v>
                </c:pt>
                <c:pt idx="332">
                  <c:v>1.7808121961591066</c:v>
                </c:pt>
                <c:pt idx="333">
                  <c:v>1.6940961487628001</c:v>
                </c:pt>
                <c:pt idx="334">
                  <c:v>1.7528602705405065</c:v>
                </c:pt>
                <c:pt idx="335">
                  <c:v>1.7656603762742644</c:v>
                </c:pt>
                <c:pt idx="336">
                  <c:v>1.780177218972314</c:v>
                </c:pt>
                <c:pt idx="337">
                  <c:v>1.6563983289469149</c:v>
                </c:pt>
                <c:pt idx="338">
                  <c:v>1.7611868039673146</c:v>
                </c:pt>
                <c:pt idx="339">
                  <c:v>1.8008886807415154</c:v>
                </c:pt>
                <c:pt idx="340">
                  <c:v>1.8903371412809875</c:v>
                </c:pt>
                <c:pt idx="341">
                  <c:v>1.9634615163600004</c:v>
                </c:pt>
                <c:pt idx="342">
                  <c:v>1.9869427428715911</c:v>
                </c:pt>
                <c:pt idx="343">
                  <c:v>1.9786377584443349</c:v>
                </c:pt>
                <c:pt idx="344">
                  <c:v>1.9548792681385114</c:v>
                </c:pt>
                <c:pt idx="345">
                  <c:v>2.0129681879302619</c:v>
                </c:pt>
                <c:pt idx="346">
                  <c:v>1.9765920400868857</c:v>
                </c:pt>
                <c:pt idx="347">
                  <c:v>1.9012179494546666</c:v>
                </c:pt>
                <c:pt idx="348">
                  <c:v>1.9463056395168428</c:v>
                </c:pt>
                <c:pt idx="349">
                  <c:v>1.9848582363149487</c:v>
                </c:pt>
                <c:pt idx="350">
                  <c:v>1.971354196595833</c:v>
                </c:pt>
                <c:pt idx="351">
                  <c:v>1.9526051303858134</c:v>
                </c:pt>
                <c:pt idx="352">
                  <c:v>1.9262420843341648</c:v>
                </c:pt>
                <c:pt idx="353">
                  <c:v>1.9382448770845067</c:v>
                </c:pt>
                <c:pt idx="354">
                  <c:v>1.8872671271448438</c:v>
                </c:pt>
                <c:pt idx="355">
                  <c:v>1.9695799956327362</c:v>
                </c:pt>
                <c:pt idx="356">
                  <c:v>2.0428983117077153</c:v>
                </c:pt>
                <c:pt idx="357">
                  <c:v>2.0288914619990579</c:v>
                </c:pt>
                <c:pt idx="358">
                  <c:v>2.0274821574283712</c:v>
                </c:pt>
                <c:pt idx="359">
                  <c:v>1.998074956040041</c:v>
                </c:pt>
                <c:pt idx="360">
                  <c:v>1.9325085334038226</c:v>
                </c:pt>
                <c:pt idx="361">
                  <c:v>1.9400765420464079</c:v>
                </c:pt>
                <c:pt idx="362">
                  <c:v>1.8628808426520787</c:v>
                </c:pt>
                <c:pt idx="363">
                  <c:v>1.8073936054062132</c:v>
                </c:pt>
                <c:pt idx="364">
                  <c:v>1.8256714668260337</c:v>
                </c:pt>
                <c:pt idx="365">
                  <c:v>1.9098116904759168</c:v>
                </c:pt>
                <c:pt idx="366">
                  <c:v>1.8176624219926216</c:v>
                </c:pt>
                <c:pt idx="367">
                  <c:v>1.9091005734907083</c:v>
                </c:pt>
                <c:pt idx="368">
                  <c:v>1.9019491788394571</c:v>
                </c:pt>
                <c:pt idx="369">
                  <c:v>2.0436252312925953</c:v>
                </c:pt>
                <c:pt idx="370">
                  <c:v>2.0560058498350786</c:v>
                </c:pt>
                <c:pt idx="371">
                  <c:v>1.959207743848479</c:v>
                </c:pt>
                <c:pt idx="372">
                  <c:v>1.9409787268276426</c:v>
                </c:pt>
                <c:pt idx="373">
                  <c:v>1.8938999092068818</c:v>
                </c:pt>
                <c:pt idx="374">
                  <c:v>1.8040994816747307</c:v>
                </c:pt>
                <c:pt idx="375">
                  <c:v>1.8934143384169817</c:v>
                </c:pt>
                <c:pt idx="376">
                  <c:v>1.9843367505257956</c:v>
                </c:pt>
                <c:pt idx="377">
                  <c:v>1.9710611302019285</c:v>
                </c:pt>
                <c:pt idx="378">
                  <c:v>1.8993360034938112</c:v>
                </c:pt>
                <c:pt idx="379">
                  <c:v>1.9045120731861491</c:v>
                </c:pt>
                <c:pt idx="380">
                  <c:v>1.8001287193573228</c:v>
                </c:pt>
                <c:pt idx="381">
                  <c:v>1.8261584742159036</c:v>
                </c:pt>
                <c:pt idx="382">
                  <c:v>1.7970242268218961</c:v>
                </c:pt>
                <c:pt idx="383">
                  <c:v>1.7788627299996551</c:v>
                </c:pt>
                <c:pt idx="384">
                  <c:v>1.8081808621898381</c:v>
                </c:pt>
                <c:pt idx="385">
                  <c:v>1.9274746871085267</c:v>
                </c:pt>
                <c:pt idx="386">
                  <c:v>1.8775341623472896</c:v>
                </c:pt>
                <c:pt idx="387">
                  <c:v>1.8719817034627808</c:v>
                </c:pt>
                <c:pt idx="388">
                  <c:v>1.8675368631552334</c:v>
                </c:pt>
                <c:pt idx="389">
                  <c:v>1.8152216386433901</c:v>
                </c:pt>
                <c:pt idx="390">
                  <c:v>1.7689444438059556</c:v>
                </c:pt>
                <c:pt idx="391">
                  <c:v>1.7515227959683259</c:v>
                </c:pt>
                <c:pt idx="392">
                  <c:v>1.7116355977979798</c:v>
                </c:pt>
                <c:pt idx="393">
                  <c:v>1.6833187757869696</c:v>
                </c:pt>
                <c:pt idx="394">
                  <c:v>1.6514966498488697</c:v>
                </c:pt>
                <c:pt idx="395">
                  <c:v>1.6473276367355851</c:v>
                </c:pt>
                <c:pt idx="396">
                  <c:v>1.5709062647251497</c:v>
                </c:pt>
                <c:pt idx="397">
                  <c:v>1.6080423739527185</c:v>
                </c:pt>
                <c:pt idx="398">
                  <c:v>1.5522433945133376</c:v>
                </c:pt>
                <c:pt idx="399">
                  <c:v>1.5398828883704361</c:v>
                </c:pt>
                <c:pt idx="400">
                  <c:v>1.5317344933399226</c:v>
                </c:pt>
                <c:pt idx="401">
                  <c:v>1.5507320913447724</c:v>
                </c:pt>
                <c:pt idx="402">
                  <c:v>1.5701922745400008</c:v>
                </c:pt>
                <c:pt idx="403">
                  <c:v>1.5910933675052579</c:v>
                </c:pt>
                <c:pt idx="404">
                  <c:v>1.586458896001655</c:v>
                </c:pt>
                <c:pt idx="405">
                  <c:v>1.5154721816781787</c:v>
                </c:pt>
                <c:pt idx="406">
                  <c:v>1.4867473652756549</c:v>
                </c:pt>
                <c:pt idx="407">
                  <c:v>1.5637160818747056</c:v>
                </c:pt>
                <c:pt idx="408">
                  <c:v>1.5331854593097425</c:v>
                </c:pt>
                <c:pt idx="409">
                  <c:v>1.5659643608279414</c:v>
                </c:pt>
                <c:pt idx="410">
                  <c:v>1.585141533829056</c:v>
                </c:pt>
                <c:pt idx="411">
                  <c:v>1.5584882945834435</c:v>
                </c:pt>
                <c:pt idx="412">
                  <c:v>1.5238978405029251</c:v>
                </c:pt>
                <c:pt idx="413">
                  <c:v>1.5015960625668019</c:v>
                </c:pt>
                <c:pt idx="414">
                  <c:v>1.4524499775890405</c:v>
                </c:pt>
                <c:pt idx="415">
                  <c:v>1.444540058153567</c:v>
                </c:pt>
                <c:pt idx="416">
                  <c:v>1.4264604475296228</c:v>
                </c:pt>
                <c:pt idx="417">
                  <c:v>1.3791575203135236</c:v>
                </c:pt>
                <c:pt idx="418">
                  <c:v>1.4356633069382032</c:v>
                </c:pt>
                <c:pt idx="419">
                  <c:v>1.4529815195779845</c:v>
                </c:pt>
                <c:pt idx="420">
                  <c:v>1.4428506165887072</c:v>
                </c:pt>
                <c:pt idx="421">
                  <c:v>1.4432083299812668</c:v>
                </c:pt>
                <c:pt idx="422">
                  <c:v>1.4250137913597132</c:v>
                </c:pt>
                <c:pt idx="423">
                  <c:v>1.3991995264966499</c:v>
                </c:pt>
                <c:pt idx="424">
                  <c:v>1.3984467481123077</c:v>
                </c:pt>
                <c:pt idx="425">
                  <c:v>1.4032651044120861</c:v>
                </c:pt>
                <c:pt idx="426">
                  <c:v>1.3835190378228042</c:v>
                </c:pt>
                <c:pt idx="427">
                  <c:v>1.384911103193849</c:v>
                </c:pt>
                <c:pt idx="428">
                  <c:v>1.3823798140465</c:v>
                </c:pt>
                <c:pt idx="429">
                  <c:v>1.3360566480100218</c:v>
                </c:pt>
                <c:pt idx="430">
                  <c:v>1.3283866407695579</c:v>
                </c:pt>
                <c:pt idx="431">
                  <c:v>1.3053723092482561</c:v>
                </c:pt>
                <c:pt idx="432">
                  <c:v>1.3022362115134869</c:v>
                </c:pt>
                <c:pt idx="433">
                  <c:v>1.3330469710726232</c:v>
                </c:pt>
                <c:pt idx="434">
                  <c:v>1.294155336681569</c:v>
                </c:pt>
                <c:pt idx="435">
                  <c:v>1.2821798393306594</c:v>
                </c:pt>
                <c:pt idx="436">
                  <c:v>1.2178043580696694</c:v>
                </c:pt>
                <c:pt idx="437">
                  <c:v>1.2799703485766167</c:v>
                </c:pt>
                <c:pt idx="438">
                  <c:v>1.2536216685246693</c:v>
                </c:pt>
                <c:pt idx="439">
                  <c:v>1.202781832182138</c:v>
                </c:pt>
                <c:pt idx="440">
                  <c:v>1.153411637609038</c:v>
                </c:pt>
                <c:pt idx="441">
                  <c:v>1.1764029835308181</c:v>
                </c:pt>
                <c:pt idx="442">
                  <c:v>1.170148027260921</c:v>
                </c:pt>
                <c:pt idx="443">
                  <c:v>1.1627725230143318</c:v>
                </c:pt>
                <c:pt idx="444">
                  <c:v>1.2024686533886522</c:v>
                </c:pt>
                <c:pt idx="445">
                  <c:v>1.200422935031203</c:v>
                </c:pt>
                <c:pt idx="446">
                  <c:v>1.1558782797577318</c:v>
                </c:pt>
                <c:pt idx="447">
                  <c:v>1.1515023962487503</c:v>
                </c:pt>
                <c:pt idx="448">
                  <c:v>1.1038446288400319</c:v>
                </c:pt>
                <c:pt idx="449">
                  <c:v>1.1592715288871522</c:v>
                </c:pt>
                <c:pt idx="450">
                  <c:v>1.1512912160531428</c:v>
                </c:pt>
                <c:pt idx="451">
                  <c:v>1.1450534989828873</c:v>
                </c:pt>
                <c:pt idx="452">
                  <c:v>1.1203238670972637</c:v>
                </c:pt>
                <c:pt idx="453">
                  <c:v>1.1116123248784637</c:v>
                </c:pt>
                <c:pt idx="454">
                  <c:v>1.1015503786877521</c:v>
                </c:pt>
                <c:pt idx="455">
                  <c:v>1.0664829734171541</c:v>
                </c:pt>
                <c:pt idx="456">
                  <c:v>1.0395869487765916</c:v>
                </c:pt>
                <c:pt idx="457">
                  <c:v>1.0071513946512511</c:v>
                </c:pt>
                <c:pt idx="458">
                  <c:v>0.98408534553102489</c:v>
                </c:pt>
                <c:pt idx="459">
                  <c:v>0.9702767466182437</c:v>
                </c:pt>
                <c:pt idx="460">
                  <c:v>0.98994667340910925</c:v>
                </c:pt>
                <c:pt idx="461">
                  <c:v>1.0042451529117009</c:v>
                </c:pt>
                <c:pt idx="462">
                  <c:v>1.0136706853156499</c:v>
                </c:pt>
                <c:pt idx="463">
                  <c:v>0.99945409201135493</c:v>
                </c:pt>
                <c:pt idx="464">
                  <c:v>0.95546109112640942</c:v>
                </c:pt>
                <c:pt idx="465">
                  <c:v>0.90974560687729145</c:v>
                </c:pt>
                <c:pt idx="466">
                  <c:v>0.91582817115077397</c:v>
                </c:pt>
                <c:pt idx="467">
                  <c:v>0.92709255151647496</c:v>
                </c:pt>
                <c:pt idx="468">
                  <c:v>0.96112416820861746</c:v>
                </c:pt>
                <c:pt idx="469">
                  <c:v>0.96754002367516767</c:v>
                </c:pt>
                <c:pt idx="470">
                  <c:v>0.96440536254036857</c:v>
                </c:pt>
                <c:pt idx="471">
                  <c:v>0.97917792003309934</c:v>
                </c:pt>
                <c:pt idx="472">
                  <c:v>0.95697095769500407</c:v>
                </c:pt>
                <c:pt idx="473">
                  <c:v>0.96974807782924</c:v>
                </c:pt>
                <c:pt idx="474">
                  <c:v>0.94692625070393399</c:v>
                </c:pt>
                <c:pt idx="475">
                  <c:v>0.93467779935870188</c:v>
                </c:pt>
                <c:pt idx="476">
                  <c:v>0.89737073473468876</c:v>
                </c:pt>
                <c:pt idx="477">
                  <c:v>0.86979950810817031</c:v>
                </c:pt>
                <c:pt idx="478">
                  <c:v>0.82159152291089632</c:v>
                </c:pt>
                <c:pt idx="479">
                  <c:v>0.84220816908207008</c:v>
                </c:pt>
                <c:pt idx="480">
                  <c:v>0.88161410626242664</c:v>
                </c:pt>
                <c:pt idx="481">
                  <c:v>0.85969733711829532</c:v>
                </c:pt>
                <c:pt idx="482">
                  <c:v>0.82503074323936054</c:v>
                </c:pt>
                <c:pt idx="483">
                  <c:v>0.86265098665685946</c:v>
                </c:pt>
                <c:pt idx="484">
                  <c:v>0.95315678477433896</c:v>
                </c:pt>
                <c:pt idx="485">
                  <c:v>0.96883440024824452</c:v>
                </c:pt>
                <c:pt idx="486">
                  <c:v>0.93913269586604009</c:v>
                </c:pt>
                <c:pt idx="487">
                  <c:v>0.94927365505510808</c:v>
                </c:pt>
                <c:pt idx="488">
                  <c:v>0.99338876693751366</c:v>
                </c:pt>
                <c:pt idx="489">
                  <c:v>0.96325320936433334</c:v>
                </c:pt>
                <c:pt idx="490">
                  <c:v>0.956425049706359</c:v>
                </c:pt>
                <c:pt idx="491">
                  <c:v>0.92475376676512178</c:v>
                </c:pt>
                <c:pt idx="492">
                  <c:v>0.97181534518624091</c:v>
                </c:pt>
                <c:pt idx="493">
                  <c:v>0.95177190240314458</c:v>
                </c:pt>
                <c:pt idx="494">
                  <c:v>0.98222063876981069</c:v>
                </c:pt>
                <c:pt idx="495">
                  <c:v>0.93757398489846122</c:v>
                </c:pt>
                <c:pt idx="496">
                  <c:v>0.9043483007895553</c:v>
                </c:pt>
                <c:pt idx="497">
                  <c:v>0.87410930801852638</c:v>
                </c:pt>
                <c:pt idx="498">
                  <c:v>0.85172564388410665</c:v>
                </c:pt>
                <c:pt idx="499">
                  <c:v>0.87739912195009828</c:v>
                </c:pt>
                <c:pt idx="500">
                  <c:v>0.88467550079874968</c:v>
                </c:pt>
                <c:pt idx="501">
                  <c:v>0.85854374734229</c:v>
                </c:pt>
                <c:pt idx="502">
                  <c:v>0.88193877785567354</c:v>
                </c:pt>
                <c:pt idx="503">
                  <c:v>0.83120812311087111</c:v>
                </c:pt>
                <c:pt idx="504">
                  <c:v>0.90655491834365776</c:v>
                </c:pt>
                <c:pt idx="505">
                  <c:v>0.914859902770914</c:v>
                </c:pt>
                <c:pt idx="506">
                  <c:v>0.9284558848881177</c:v>
                </c:pt>
                <c:pt idx="507">
                  <c:v>0.9229824390019653</c:v>
                </c:pt>
                <c:pt idx="508">
                  <c:v>0.95829119306754318</c:v>
                </c:pt>
                <c:pt idx="509">
                  <c:v>0.94654555171185262</c:v>
                </c:pt>
                <c:pt idx="510">
                  <c:v>0.98480651871602443</c:v>
                </c:pt>
                <c:pt idx="511">
                  <c:v>1.0032596453321994</c:v>
                </c:pt>
                <c:pt idx="512">
                  <c:v>1.0391918837848089</c:v>
                </c:pt>
                <c:pt idx="513">
                  <c:v>1.0259148268609717</c:v>
                </c:pt>
                <c:pt idx="514">
                  <c:v>1.0433867556975556</c:v>
                </c:pt>
                <c:pt idx="515">
                  <c:v>1.0708531105262553</c:v>
                </c:pt>
                <c:pt idx="516">
                  <c:v>1.0346364252795623</c:v>
                </c:pt>
                <c:pt idx="517">
                  <c:v>1.0192978473986047</c:v>
                </c:pt>
                <c:pt idx="518">
                  <c:v>1.0086799370194575</c:v>
                </c:pt>
                <c:pt idx="519">
                  <c:v>1.0135212789187575</c:v>
                </c:pt>
                <c:pt idx="520">
                  <c:v>0.99660818747054969</c:v>
                </c:pt>
                <c:pt idx="521">
                  <c:v>1</c:v>
                </c:pt>
              </c:numCache>
            </c:numRef>
          </c:val>
          <c:smooth val="0"/>
          <c:extLst>
            <c:ext xmlns:c16="http://schemas.microsoft.com/office/drawing/2014/chart" uri="{C3380CC4-5D6E-409C-BE32-E72D297353CC}">
              <c16:uniqueId val="{00000001-2DD7-4182-A76F-801DF18DFDE3}"/>
            </c:ext>
          </c:extLst>
        </c:ser>
        <c:dLbls>
          <c:showLegendKey val="0"/>
          <c:showVal val="0"/>
          <c:showCatName val="0"/>
          <c:showSerName val="0"/>
          <c:showPercent val="0"/>
          <c:showBubbleSize val="0"/>
        </c:dLbls>
        <c:smooth val="0"/>
        <c:axId val="839276016"/>
        <c:axId val="839277936"/>
      </c:lineChart>
      <c:dateAx>
        <c:axId val="83927601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77936"/>
        <c:crosses val="autoZero"/>
        <c:auto val="1"/>
        <c:lblOffset val="100"/>
        <c:baseTimeUnit val="days"/>
      </c:dateAx>
      <c:valAx>
        <c:axId val="83927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27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52499D5E-E793-41A5-9055-27E298D3683F}">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image" Target="../media/image6.png"/><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179293</xdr:colOff>
      <xdr:row>58</xdr:row>
      <xdr:rowOff>33617</xdr:rowOff>
    </xdr:from>
    <xdr:to>
      <xdr:col>9</xdr:col>
      <xdr:colOff>11205</xdr:colOff>
      <xdr:row>76</xdr:row>
      <xdr:rowOff>168088</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58</xdr:row>
      <xdr:rowOff>0</xdr:rowOff>
    </xdr:from>
    <xdr:to>
      <xdr:col>18</xdr:col>
      <xdr:colOff>4646</xdr:colOff>
      <xdr:row>74</xdr:row>
      <xdr:rowOff>170069</xdr:rowOff>
    </xdr:to>
    <xdr:pic>
      <xdr:nvPicPr>
        <xdr:cNvPr id="3" name="Picture 2">
          <a:extLst>
            <a:ext uri="{FF2B5EF4-FFF2-40B4-BE49-F238E27FC236}">
              <a16:creationId xmlns:a16="http://schemas.microsoft.com/office/drawing/2014/main" id="{9674B298-EF97-5D1E-325A-937CDB898805}"/>
            </a:ext>
            <a:ext uri="{147F2762-F138-4A5C-976F-8EAC2B608ADB}">
              <a16:predDERef xmlns:a16="http://schemas.microsoft.com/office/drawing/2014/main" pred="{00000000-0008-0000-0000-000009000000}"/>
            </a:ext>
          </a:extLst>
        </xdr:cNvPr>
        <xdr:cNvPicPr>
          <a:picLocks noChangeAspect="1"/>
        </xdr:cNvPicPr>
      </xdr:nvPicPr>
      <xdr:blipFill>
        <a:blip xmlns:r="http://schemas.openxmlformats.org/officeDocument/2006/relationships" r:embed="rId4"/>
        <a:stretch>
          <a:fillRect/>
        </a:stretch>
      </xdr:blipFill>
      <xdr:spPr>
        <a:xfrm>
          <a:off x="7192537" y="11220915"/>
          <a:ext cx="7011329" cy="3069386"/>
        </a:xfrm>
        <a:prstGeom prst="rect">
          <a:avLst/>
        </a:prstGeom>
      </xdr:spPr>
    </xdr:pic>
    <xdr:clientData/>
  </xdr:twoCellAnchor>
  <xdr:twoCellAnchor>
    <xdr:from>
      <xdr:col>3</xdr:col>
      <xdr:colOff>0</xdr:colOff>
      <xdr:row>45</xdr:row>
      <xdr:rowOff>0</xdr:rowOff>
    </xdr:from>
    <xdr:to>
      <xdr:col>5</xdr:col>
      <xdr:colOff>884464</xdr:colOff>
      <xdr:row>56</xdr:row>
      <xdr:rowOff>51026</xdr:rowOff>
    </xdr:to>
    <xdr:graphicFrame macro="">
      <xdr:nvGraphicFramePr>
        <xdr:cNvPr id="4" name="Chart 1">
          <a:extLst>
            <a:ext uri="{FF2B5EF4-FFF2-40B4-BE49-F238E27FC236}">
              <a16:creationId xmlns:a16="http://schemas.microsoft.com/office/drawing/2014/main" id="{6D5AD730-2FD8-48EF-87BE-6D5DF5F72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850445</xdr:colOff>
      <xdr:row>45</xdr:row>
      <xdr:rowOff>9526</xdr:rowOff>
    </xdr:from>
    <xdr:to>
      <xdr:col>8</xdr:col>
      <xdr:colOff>943995</xdr:colOff>
      <xdr:row>56</xdr:row>
      <xdr:rowOff>102053</xdr:rowOff>
    </xdr:to>
    <xdr:graphicFrame macro="">
      <xdr:nvGraphicFramePr>
        <xdr:cNvPr id="6" name="Chart 2">
          <a:extLst>
            <a:ext uri="{FF2B5EF4-FFF2-40B4-BE49-F238E27FC236}">
              <a16:creationId xmlns:a16="http://schemas.microsoft.com/office/drawing/2014/main" id="{423BBDDF-AF7A-40A0-A00E-E9D2F9B25EFD}"/>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30</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30</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217714</xdr:colOff>
      <xdr:row>45</xdr:row>
      <xdr:rowOff>97971</xdr:rowOff>
    </xdr:from>
    <xdr:to>
      <xdr:col>10</xdr:col>
      <xdr:colOff>893989</xdr:colOff>
      <xdr:row>75</xdr:row>
      <xdr:rowOff>17008</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28</xdr:row>
      <xdr:rowOff>11794</xdr:rowOff>
    </xdr:from>
    <xdr:to>
      <xdr:col>15</xdr:col>
      <xdr:colOff>54429</xdr:colOff>
      <xdr:row>40</xdr:row>
      <xdr:rowOff>81644</xdr:rowOff>
    </xdr:to>
    <xdr:graphicFrame macro="">
      <xdr:nvGraphicFramePr>
        <xdr:cNvPr id="3"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623887</xdr:colOff>
      <xdr:row>3</xdr:row>
      <xdr:rowOff>123825</xdr:rowOff>
    </xdr:from>
    <xdr:to>
      <xdr:col>28</xdr:col>
      <xdr:colOff>195262</xdr:colOff>
      <xdr:row>33</xdr:row>
      <xdr:rowOff>9525</xdr:rowOff>
    </xdr:to>
    <xdr:pic>
      <xdr:nvPicPr>
        <xdr:cNvPr id="4" name="Imagem 3">
          <a:extLst>
            <a:ext uri="{FF2B5EF4-FFF2-40B4-BE49-F238E27FC236}">
              <a16:creationId xmlns:a16="http://schemas.microsoft.com/office/drawing/2014/main" id="{6B19B970-0AD0-7E68-5746-06DCBE8A64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059650" y="719138"/>
          <a:ext cx="9144000" cy="719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141</xdr:row>
      <xdr:rowOff>66675</xdr:rowOff>
    </xdr:from>
    <xdr:to>
      <xdr:col>7</xdr:col>
      <xdr:colOff>1009650</xdr:colOff>
      <xdr:row>160</xdr:row>
      <xdr:rowOff>171450</xdr:rowOff>
    </xdr:to>
    <xdr:graphicFrame macro="">
      <xdr:nvGraphicFramePr>
        <xdr:cNvPr id="2" name="Chart 1">
          <a:extLst>
            <a:ext uri="{FF2B5EF4-FFF2-40B4-BE49-F238E27FC236}">
              <a16:creationId xmlns:a16="http://schemas.microsoft.com/office/drawing/2014/main" id="{AB3A357C-7166-832B-D0BF-61F7205C8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1095375</xdr:colOff>
      <xdr:row>141</xdr:row>
      <xdr:rowOff>47625</xdr:rowOff>
    </xdr:from>
    <xdr:to>
      <xdr:col>12</xdr:col>
      <xdr:colOff>981075</xdr:colOff>
      <xdr:row>161</xdr:row>
      <xdr:rowOff>38100</xdr:rowOff>
    </xdr:to>
    <xdr:graphicFrame macro="">
      <xdr:nvGraphicFramePr>
        <xdr:cNvPr id="3" name="Chart 2">
          <a:extLst>
            <a:ext uri="{FF2B5EF4-FFF2-40B4-BE49-F238E27FC236}">
              <a16:creationId xmlns:a16="http://schemas.microsoft.com/office/drawing/2014/main" id="{B78B288B-A4B1-F418-7CBD-24F175E48A9F}"/>
            </a:ext>
            <a:ext uri="{147F2762-F138-4A5C-976F-8EAC2B608ADB}">
              <a16:predDERef xmlns:a16="http://schemas.microsoft.com/office/drawing/2014/main" pred="{AB3A357C-7166-832B-D0BF-61F7205C8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1247719</xdr:colOff>
      <xdr:row>141</xdr:row>
      <xdr:rowOff>66842</xdr:rowOff>
    </xdr:from>
    <xdr:to>
      <xdr:col>15</xdr:col>
      <xdr:colOff>1362408</xdr:colOff>
      <xdr:row>161</xdr:row>
      <xdr:rowOff>59443</xdr:rowOff>
    </xdr:to>
    <xdr:pic>
      <xdr:nvPicPr>
        <xdr:cNvPr id="4" name="Picture 3">
          <a:extLst>
            <a:ext uri="{FF2B5EF4-FFF2-40B4-BE49-F238E27FC236}">
              <a16:creationId xmlns:a16="http://schemas.microsoft.com/office/drawing/2014/main" id="{DFD93C50-A84C-01C1-8E3F-53E10243BBE1}"/>
            </a:ext>
          </a:extLst>
        </xdr:cNvPr>
        <xdr:cNvPicPr>
          <a:picLocks noChangeAspect="1"/>
        </xdr:cNvPicPr>
      </xdr:nvPicPr>
      <xdr:blipFill>
        <a:blip xmlns:r="http://schemas.openxmlformats.org/officeDocument/2006/relationships" r:embed="rId3"/>
        <a:stretch>
          <a:fillRect/>
        </a:stretch>
      </xdr:blipFill>
      <xdr:spPr>
        <a:xfrm>
          <a:off x="17780000" y="20932719"/>
          <a:ext cx="4600964" cy="3612101"/>
        </a:xfrm>
        <a:prstGeom prst="rect">
          <a:avLst/>
        </a:prstGeom>
      </xdr:spPr>
    </xdr:pic>
    <xdr:clientData/>
  </xdr:twoCellAnchor>
  <xdr:twoCellAnchor editAs="oneCell">
    <xdr:from>
      <xdr:col>16</xdr:col>
      <xdr:colOff>200525</xdr:colOff>
      <xdr:row>141</xdr:row>
      <xdr:rowOff>31506</xdr:rowOff>
    </xdr:from>
    <xdr:to>
      <xdr:col>22</xdr:col>
      <xdr:colOff>587888</xdr:colOff>
      <xdr:row>161</xdr:row>
      <xdr:rowOff>98783</xdr:rowOff>
    </xdr:to>
    <xdr:pic>
      <xdr:nvPicPr>
        <xdr:cNvPr id="6" name="Picture 5">
          <a:extLst>
            <a:ext uri="{FF2B5EF4-FFF2-40B4-BE49-F238E27FC236}">
              <a16:creationId xmlns:a16="http://schemas.microsoft.com/office/drawing/2014/main" id="{A29697A3-6E42-46E1-ACC4-93235DA4B14A}"/>
            </a:ext>
          </a:extLst>
        </xdr:cNvPr>
        <xdr:cNvPicPr>
          <a:picLocks noChangeAspect="1"/>
        </xdr:cNvPicPr>
      </xdr:nvPicPr>
      <xdr:blipFill>
        <a:blip xmlns:r="http://schemas.openxmlformats.org/officeDocument/2006/relationships" r:embed="rId4"/>
        <a:stretch>
          <a:fillRect/>
        </a:stretch>
      </xdr:blipFill>
      <xdr:spPr>
        <a:xfrm>
          <a:off x="22704034" y="20897383"/>
          <a:ext cx="7150113" cy="36867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95250</xdr:colOff>
      <xdr:row>16</xdr:row>
      <xdr:rowOff>27214</xdr:rowOff>
    </xdr:from>
    <xdr:to>
      <xdr:col>11</xdr:col>
      <xdr:colOff>854981</xdr:colOff>
      <xdr:row>30</xdr:row>
      <xdr:rowOff>95892</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16</xdr:row>
      <xdr:rowOff>40822</xdr:rowOff>
    </xdr:from>
    <xdr:to>
      <xdr:col>15</xdr:col>
      <xdr:colOff>750206</xdr:colOff>
      <xdr:row>30</xdr:row>
      <xdr:rowOff>109500</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12"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4</xdr:row>
      <xdr:rowOff>0</xdr:rowOff>
    </xdr:from>
    <xdr:to>
      <xdr:col>14</xdr:col>
      <xdr:colOff>5986030</xdr:colOff>
      <xdr:row>11</xdr:row>
      <xdr:rowOff>89960</xdr:rowOff>
    </xdr:to>
    <xdr:pic>
      <xdr:nvPicPr>
        <xdr:cNvPr id="2" name="Picture 1">
          <a:extLst>
            <a:ext uri="{FF2B5EF4-FFF2-40B4-BE49-F238E27FC236}">
              <a16:creationId xmlns:a16="http://schemas.microsoft.com/office/drawing/2014/main" id="{4DEB5F8A-B4C7-2B0F-B422-CCCC446163C9}"/>
            </a:ext>
          </a:extLst>
        </xdr:cNvPr>
        <xdr:cNvPicPr>
          <a:picLocks noChangeAspect="1"/>
        </xdr:cNvPicPr>
      </xdr:nvPicPr>
      <xdr:blipFill>
        <a:blip xmlns:r="http://schemas.openxmlformats.org/officeDocument/2006/relationships" r:embed="rId5"/>
        <a:stretch>
          <a:fillRect/>
        </a:stretch>
      </xdr:blipFill>
      <xdr:spPr>
        <a:xfrm>
          <a:off x="20037136" y="813955"/>
          <a:ext cx="6840682" cy="14061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168089</xdr:colOff>
      <xdr:row>5</xdr:row>
      <xdr:rowOff>201705</xdr:rowOff>
    </xdr:from>
    <xdr:to>
      <xdr:col>28</xdr:col>
      <xdr:colOff>659948</xdr:colOff>
      <xdr:row>45</xdr:row>
      <xdr:rowOff>179293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CABA0E2-4AB4-42BB-A7C2-165F9A546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661339" y="1154205"/>
              <a:ext cx="10397859" cy="715308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28</xdr:col>
      <xdr:colOff>542314</xdr:colOff>
      <xdr:row>1</xdr:row>
      <xdr:rowOff>13607</xdr:rowOff>
    </xdr:from>
    <xdr:to>
      <xdr:col>40</xdr:col>
      <xdr:colOff>711511</xdr:colOff>
      <xdr:row>28</xdr:row>
      <xdr:rowOff>151469</xdr:rowOff>
    </xdr:to>
    <xdr:graphicFrame macro="">
      <xdr:nvGraphicFramePr>
        <xdr:cNvPr id="3" name="Chart 2">
          <a:extLst>
            <a:ext uri="{FF2B5EF4-FFF2-40B4-BE49-F238E27FC236}">
              <a16:creationId xmlns:a16="http://schemas.microsoft.com/office/drawing/2014/main" id="{5C79E3D6-49E5-A684-236A-CDDF59FE3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424864</xdr:colOff>
      <xdr:row>1</xdr:row>
      <xdr:rowOff>16042</xdr:rowOff>
    </xdr:from>
    <xdr:to>
      <xdr:col>56</xdr:col>
      <xdr:colOff>361950</xdr:colOff>
      <xdr:row>31</xdr:row>
      <xdr:rowOff>39462</xdr:rowOff>
    </xdr:to>
    <xdr:graphicFrame macro="">
      <xdr:nvGraphicFramePr>
        <xdr:cNvPr id="4" name="Chart 1">
          <a:extLst>
            <a:ext uri="{FF2B5EF4-FFF2-40B4-BE49-F238E27FC236}">
              <a16:creationId xmlns:a16="http://schemas.microsoft.com/office/drawing/2014/main" id="{3EF53929-C335-A8A2-6938-6FB5BD4409A9}"/>
            </a:ext>
            <a:ext uri="{147F2762-F138-4A5C-976F-8EAC2B608ADB}">
              <a16:predDERef xmlns:a16="http://schemas.microsoft.com/office/drawing/2014/main" pred="{5C79E3D6-49E5-A684-236A-CDDF59FE3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72</xdr:col>
      <xdr:colOff>627529</xdr:colOff>
      <xdr:row>494</xdr:row>
      <xdr:rowOff>23532</xdr:rowOff>
    </xdr:from>
    <xdr:to>
      <xdr:col>79</xdr:col>
      <xdr:colOff>414618</xdr:colOff>
      <xdr:row>509</xdr:row>
      <xdr:rowOff>77320</xdr:rowOff>
    </xdr:to>
    <xdr:graphicFrame macro="">
      <xdr:nvGraphicFramePr>
        <xdr:cNvPr id="2" name="Chart 1">
          <a:extLst>
            <a:ext uri="{FF2B5EF4-FFF2-40B4-BE49-F238E27FC236}">
              <a16:creationId xmlns:a16="http://schemas.microsoft.com/office/drawing/2014/main" id="{04B68132-7C98-B643-7DF3-4889122B4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aul Vasconcelos da Silva" id="{8FC7388A-B149-40B4-B48E-70DCA56CA41C}" userId="S::raul.vasconcelos@aln.iseg.ulisboa.pt::f4a05a0d-064a-4000-bf4d-254a683f4a3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6">
  <a r="1">
    <v t="i">0</v>
  </a>
  <a r="1">
    <v>46.7502</v>
  </a>
  <a r="1">
    <v>119.7</v>
  </a>
  <a r="1">
    <v>96.15</v>
  </a>
  <a r="1">
    <v>9.6750000000000007</v>
  </a>
  <a r="1">
    <v>34.6</v>
  </a>
  <a r="1">
    <v>23.4</v>
  </a>
  <a r="1">
    <v>171200</v>
  </a>
  <a r="1">
    <v>47750</v>
  </a>
  <a r="1">
    <v>48050</v>
  </a>
  <a r="1">
    <v>116000</v>
  </a>
  <a r="1">
    <v>44700</v>
  </a>
  <a r="1">
    <v>31200</v>
  </a>
  <a r="1">
    <v>75000</v>
  </a>
  <a r="1">
    <v>127000</v>
  </a>
  <a r="1">
    <v>76500</v>
  </a>
  <a r="1">
    <v>60500</v>
  </a>
  <a r="1">
    <v>94100</v>
  </a>
  <a r="1">
    <v>141500</v>
  </a>
  <a r="1">
    <v>173900</v>
  </a>
  <a r="1">
    <v>307000</v>
  </a>
  <a r="1">
    <v>53400</v>
  </a>
  <a r="1">
    <v>73400</v>
  </a>
  <a r="1">
    <v>87.33</v>
  </a>
  <a r="1">
    <v>128.74</v>
  </a>
  <a r="1">
    <v>165.18</v>
  </a>
</arrayData>
</file>

<file path=xl/richData/rdrichvalue.xml><?xml version="1.0" encoding="utf-8"?>
<rvData xmlns="http://schemas.microsoft.com/office/spreadsheetml/2017/richdata" count="49">
  <rv s="0">
    <v>https://www.bing.com/financeapi/forcetrigger?t=ajmjc7&amp;q=XKRX%3a000660&amp;form=skydnc</v>
    <v>Learn more on Bing</v>
  </rv>
  <rv s="1">
    <v>pt-BR</v>
    <v>ajmjc7</v>
    <v>268435456</v>
    <v>1</v>
    <v>Da plataforma Refinitiv</v>
    <v>0</v>
    <v>1</v>
    <v>SK Hynix (XKRX:000660)</v>
    <v>3</v>
    <v>4</v>
    <v>Finance</v>
    <v>5</v>
    <v>248500</v>
    <v>144700</v>
    <v>XKRX</v>
    <v>728002400</v>
    <v>184900</v>
    <v>1949</v>
    <v>182100</v>
    <v>1.1446000000000001</v>
    <v>Korea Stock Exchange</v>
    <v>129802800000000</v>
    <v>SK Hynix Inc is a Korea-based company mainly engaged in the production and sale of semiconductor memories. The Company’s major products include dynamic random access memory (DRAM), NAND flashes, as well as multi-chip packages (MCP), among others. In addition, the Company manufactures and sells complementary metal oxide semiconductor image sensors (CISs). CISs is used in mobile phones, notebooks, tablets, medical devices, digital single lens reflex (DSLR) cameras, camcorders, automobiles, security equipments, game machines, and home appliances. The Company distributes its products within the domestic market and to overseas markets, including America, Germany, United Kingdom, Japan, Singapore, India, and China.</v>
    <v>XKRX</v>
    <v>178300</v>
    <v>22139</v>
    <v>45772.473263888889</v>
    <v>0</v>
    <v>2650060</v>
    <v>KRW</v>
    <v>SK Hynix</v>
    <v>SK Hynix</v>
    <v>4.8925999999999998</v>
    <v>182500</v>
    <v>184400</v>
    <v>2091, Gyeongchung-Daero, Bubal-Eup, ICHEON, GYEONGGI-DO, 17336 KR</v>
    <v>Semiconductors &amp; Semiconductor Equipment</v>
    <v>000660</v>
    <v>Ações</v>
    <v>SK Hynix (XKRX:000660)</v>
    <v>6100</v>
    <v>3.4211999999999999E-2</v>
    <v>3418910</v>
  </rv>
  <rv s="2">
    <v>1</v>
  </rv>
  <rv s="3">
    <v>en-US</v>
    <v>ajmjc7</v>
    <v>268435456</v>
    <v>1</v>
    <v>Powered by Refinitiv</v>
    <v>6</v>
    <v>7</v>
    <v>SK hynix Inc. (XKRX:000660)</v>
    <v>3</v>
    <v>8</v>
    <v>Finance</v>
    <v>9</v>
    <v>248500</v>
    <v>144700</v>
    <v>1.1446000000000001</v>
    <v>6100</v>
    <v>3.4211999999999999E-2</v>
    <v>KRW</v>
    <v>SK Hynix Inc is a Korea-based company mainly engaged in the production and sale of semiconductor memories. The Company’s major products include dynamic random access memory (DRAM), NAND flashes, as well as multi-chip packages (MCP), among others. In addition, the Company manufactures and sells complementary metal oxide semiconductor image sensors (CISs). CISs is used in mobile phones, notebooks, tablets, medical devices, digital single lens reflex (DSLR) cameras, camcorders, automobiles, security equipments, game machines, and home appliances. The Company distributes its products within the domestic market and to overseas markets, including America, Germany, United Kingdom, Japan, Singapore, India, and China.</v>
    <v>22139</v>
    <v>Korea Stock Exchange</v>
    <v>XKRX</v>
    <v>XKRX</v>
    <v>2091, Gyeongchung-Daero, Bubal-Eup, ICHEON, GYEONGGI-DO, 17336 KR</v>
    <v>184900</v>
    <v>Semiconductors &amp; Semiconductor Equipment</v>
    <v>Stock</v>
    <v>45772.473263888889</v>
    <v>0</v>
    <v>182100</v>
    <v>129802800000000</v>
    <v>SK hynix Inc.</v>
    <v>SK hynix Inc.</v>
    <v>182500</v>
    <v>4.8925999999999998</v>
    <v>178300</v>
    <v>184400</v>
    <v>728002400</v>
    <v>000660</v>
    <v>SK hynix Inc. (XKRX:000660)</v>
    <v>3418910</v>
    <v>2650060</v>
    <v>1949</v>
  </rv>
  <rv s="2">
    <v>3</v>
  </rv>
  <rv s="0">
    <v>https://www.bing.com/financeapi/forcetrigger?t=ajn83m&amp;q=XKRX%3a005930&amp;form=skydnc</v>
    <v>Learn more on Bing</v>
  </rv>
  <rv s="3">
    <v>en-US</v>
    <v>ajn83m</v>
    <v>268435456</v>
    <v>1</v>
    <v>Powered by Refinitiv</v>
    <v>6</v>
    <v>7</v>
    <v>Samsung Electronics Co., Ltd. (XKRX:005930)</v>
    <v>3</v>
    <v>8</v>
    <v>Finance</v>
    <v>9</v>
    <v>88800</v>
    <v>49900</v>
    <v>1.0683</v>
    <v>0</v>
    <v>0</v>
    <v>KRW</v>
    <v>Samsung Electronics Co Ltd is Korea-based company principally engaged in the manufacture and distribution of electronic products. The Company operates its business through four segments. The Information Technology &amp; Mobile Communications (IM) segment manufactures computers, handhold phones (HHPs), network systems, digital cameras and others. The Device Solutions (DS) segment provides semiconductor and display parts, including dynamic random access memories (DRAMs), flashes, thin film transistor-liquid crystal displays (TFT-LCDs) and others. The Consumer Electronics (CE) segment manufactures color televisions (CTVs), monitors, printers, air conditioners, refrigerators, laundry machines and others. The Harman segment manufactures headunits, infotainment, telematics, speaker, among others. The Company distributes its products within domestic market and to overseas markets.</v>
    <v>98557</v>
    <v>Korea Stock Exchange</v>
    <v>XKRX</v>
    <v>XKRX</v>
    <v>129, Samsung-Ro, Yeongtong-Gu, SUWON, GYEONGGI-DO, 16677 KR</v>
    <v>56400</v>
    <v>Computers, Phones &amp; Household Electronics</v>
    <v>Stock</v>
    <v>45772.472997685189</v>
    <v>5</v>
    <v>55600</v>
    <v>367381100000000</v>
    <v>Samsung Electronics Co., Ltd.</v>
    <v>Samsung Electronics Co., Ltd.</v>
    <v>56400</v>
    <v>26.14</v>
    <v>55700</v>
    <v>55700</v>
    <v>6735613000</v>
    <v>005930</v>
    <v>Samsung Electronics Co., Ltd. (XKRX:005930)</v>
    <v>11736610</v>
    <v>10211770</v>
    <v>1969</v>
  </rv>
  <rv s="2">
    <v>6</v>
  </rv>
  <rv s="0">
    <v>https://www.bing.com/financeapi/forcetrigger?t=a1y4oc&amp;q=XNAS%3aMU&amp;form=skydnc</v>
    <v>Learn more on Bing</v>
  </rv>
  <rv s="4">
    <v>en-GB</v>
    <v>a1y4oc</v>
    <v>268435456</v>
    <v>1</v>
    <v>Powered by Refinitiv</v>
    <v>10</v>
    <v>MICRON TECHNOLOGY, INC. (XNAS:MU)</v>
    <v>3</v>
    <v>11</v>
    <v>Finance</v>
    <v>12</v>
    <v>157.535</v>
    <v>61.54</v>
    <v>1.2168000000000001</v>
    <v>2.36</v>
    <v>1.5040000000000001E-3</v>
    <v>3.0482999999999996E-2</v>
    <v>0.12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Compute and Networking Business Unit (CNBU), Mobile Business Unit (MBU), Embedded Business Unit (EBU), and Storage Business Unit (SBU). CNBU segment includes memory products and solutions sold into the data center, PC, graphics, and networking markets. MBU segment includes memory and storage products sold into the smartphone and other mobile-device markets. EBU segment includes memory and storage products and solutions sold into the intelligent edge through the automotive, industrial, and consumer embedded markets. SBU segment includes SSDs and component-level storage solutions sold into the data center, PC, and consumer markets.</v>
    <v>48000</v>
    <v>Nasdaq Stock Market</v>
    <v>XNAS</v>
    <v>XNAS</v>
    <v>PO BOX 6, 8000 S FEDERAL WAY, BOISE, ID, 83716-9632 US</v>
    <v>80.3</v>
    <v>Semiconductors &amp; Semiconductor Equipment</v>
    <v>Stock</v>
    <v>45772.959885878903</v>
    <v>8</v>
    <v>76.900000000000006</v>
    <v>86522390000</v>
    <v>MICRON TECHNOLOGY, INC.</v>
    <v>MICRON TECHNOLOGY, INC.</v>
    <v>77.55</v>
    <v>19.2864</v>
    <v>77.42</v>
    <v>79.78</v>
    <v>79.900000000000006</v>
    <v>1117572000</v>
    <v>MU</v>
    <v>MICRON TECHNOLOGY, INC. (XNAS:MU)</v>
    <v>19732192</v>
    <v>31110767</v>
    <v>1984</v>
  </rv>
  <rv s="2">
    <v>9</v>
  </rv>
  <rv s="5">
    <v>en-US</v>
    <v>avyoyc</v>
    <v>268435456</v>
    <v>1</v>
    <v>Powered by Refinitiv</v>
    <v>13</v>
    <v>14</v>
    <v>USD/KRW</v>
    <v>15</v>
    <v>16</v>
    <v>Finance</v>
    <v>17</v>
    <v>1487.3</v>
    <v>1302.82</v>
    <v>7.94</v>
    <v>5.555E-3</v>
    <v>KRW</v>
    <v>USD</v>
    <v>Currency Pair</v>
    <v>45772.873182870368</v>
    <v>US Dollar/Korean Won FX Spot Rate</v>
    <v>1429.42</v>
    <v>1437.36</v>
    <v>USDKRW</v>
    <v>USD/KRW</v>
  </rv>
  <rv s="2">
    <v>11</v>
  </rv>
  <rv s="6">
    <v>en-US</v>
    <v>cfgjf2</v>
    <v>268435456</v>
    <v>1</v>
    <v>Powered by Refinitiv</v>
    <v>18</v>
    <v>19</v>
    <v>Kioxia Holdings Corporation (XFRA:KI5)</v>
    <v>20</v>
    <v>21</v>
    <v>Finance</v>
    <v>22</v>
    <v>1.698</v>
    <v>-0.1</v>
    <v>-8.6960000000000006E-3</v>
    <v>EUR</v>
    <v>Kioxia Holdings Corp is a Japan-based company mainly engaged in the manufacture, sale, research and development, and other services of memory and related products. The business is classified into solid state drive (SSD) &amp; storage, smart devices, and other by application based on the use of the products. SSD &amp; storage includes SSD products and memory products mainly for personal computers (PCs), data centers, and enterprises. Smart devices include embedded memory products with control functions used in consumer devices such as smartphones, tablets, and televisions, as well as in-vehicle and industrial applications. Others include retail products such as SD memory cards and universal serial bus (USB) memory.</v>
    <v>15161</v>
    <v>Deutsche Boerse AG</v>
    <v>XFRA</v>
    <v>XFRA</v>
    <v>Tamachi Station Tower S, 3-1-21, Shibaura, MINATO-KU, TOKYO-TO, 108-0023 JP</v>
    <v>11.4</v>
    <v>Semiconductors &amp; Semiconductor Equipment</v>
    <v>Stock</v>
    <v>45772.836805555555</v>
    <v>11.4</v>
    <v>977850900000</v>
    <v>Kioxia Holdings Corporation</v>
    <v>Kioxia Holdings Corporation</v>
    <v>11.4</v>
    <v>5.28</v>
    <v>11.5</v>
    <v>11.4</v>
    <v>539355200</v>
    <v>KI5</v>
    <v>Kioxia Holdings Corporation (XFRA:KI5)</v>
    <v>1206</v>
    <v>6946370</v>
    <v>2019</v>
  </rv>
  <rv s="2">
    <v>13</v>
  </rv>
  <rv s="5">
    <v>en-US</v>
    <v>ave39c</v>
    <v>268435456</v>
    <v>1</v>
    <v>Powered by Refinitiv</v>
    <v>13</v>
    <v>14</v>
    <v>JPY/KRW</v>
    <v>15</v>
    <v>16</v>
    <v>Finance</v>
    <v>17</v>
    <v>10.257</v>
    <v>8.5098000000000003</v>
    <v>-2.01E-2</v>
    <v>-2.006E-3</v>
    <v>KRW</v>
    <v>JPY</v>
    <v>Currency Pair</v>
    <v>45772.875</v>
    <v>Japanese Yen/Korean Won FX Cross Rate</v>
    <v>10.0212</v>
    <v>10.001099999999999</v>
    <v>JPYKRW</v>
    <v>JPY/KRW</v>
  </rv>
  <rv s="2">
    <v>15</v>
  </rv>
  <rv s="0">
    <v>http://en.wikipedia.org/wiki/Public_domain</v>
    <v>Public domain</v>
  </rv>
  <rv s="0">
    <v>http://en.wikipedia.org/wiki/Western_Digital</v>
    <v>Wikipedia</v>
  </rv>
  <rv s="7">
    <v>17</v>
    <v>18</v>
  </rv>
  <rv s="8">
    <v>28</v>
    <v>https://www.bing.com/th?id=AMMS_b9efb984265253a027f300c3dcbbcbc0&amp;qlt=95</v>
    <v>19</v>
    <v>0</v>
    <v>https://www.bing.com/images/search?form=xlimg&amp;q=western+digital</v>
    <v>Image of WESTERN DIGITAL CORPORATION</v>
  </rv>
  <rv s="0">
    <v>https://www.bing.com/financeapi/forcetrigger?t=a25rnm&amp;q=XNAS%3aWDC&amp;form=skydnc</v>
    <v>Learn more on Bing</v>
  </rv>
  <rv s="9">
    <v>en-US</v>
    <v>a25rnm</v>
    <v>268435456</v>
    <v>1</v>
    <v>Powered by Refinitiv</v>
    <v>23</v>
    <v>24</v>
    <v>WESTERN DIGITAL CORPORATION (XNAS:WDC)</v>
    <v>26</v>
    <v>27</v>
    <v>Finance</v>
    <v>12</v>
    <v>61.621099999999998</v>
    <v>28.83</v>
    <v>1.4378</v>
    <v>0.61</v>
    <v>5.3949999999999996E-3</v>
    <v>1.5184999999999999E-2</v>
    <v>0.22</v>
    <v>USD</v>
    <v>Western Digital Corporation is a developer, manufacturer and provider of data storage devices and solutions. It delivers hard disk drives (HDD) solutions for everyone from students, gamers, and home offices to enterprises and public clouds. The Company manufactures, markets, and sells data storage devices and solutions in the United States and in foreign countries through its sales personnel, dealers, distributors, retailers, and subsidiaries. Its portfolio of technology and products addresses multiple end markets: Cloud, Client, and Consumer. Cloud is comprised primarily of products for public or private cloud environments and end customers. Through the Client end market, it provides its original equipment manufacturer (OEM) and channel customers a range of hard drive solutions across personal computer, mobile, gaming, automotive, virtual reality headsets, at-home entertainment, and industrial spaces. The Consumer end market offers a range of retail and other end-user products.</v>
    <v>51000</v>
    <v>Nasdaq Stock Market</v>
    <v>XNAS</v>
    <v>XNAS</v>
    <v>5601 Great Oaks Parkway, SAN JOSE, CA, 95119 US</v>
    <v>41.07</v>
    <v>20</v>
    <v>Computers, Phones &amp; Household Electronics</v>
    <v>Stock</v>
    <v>45772.957167928122</v>
    <v>21</v>
    <v>39.9</v>
    <v>14184258642</v>
    <v>WESTERN DIGITAL CORPORATION</v>
    <v>WESTERN DIGITAL CORPORATION</v>
    <v>40.200000000000003</v>
    <v>11.986700000000001</v>
    <v>40.17</v>
    <v>40.78</v>
    <v>41</v>
    <v>347823900</v>
    <v>WDC</v>
    <v>WESTERN DIGITAL CORPORATION (XNAS:WDC)</v>
    <v>4158656</v>
    <v>9465946</v>
    <v>2000</v>
  </rv>
  <rv s="2">
    <v>22</v>
  </rv>
  <rv s="10">
    <v>29</v>
    <v>WDC</v>
    <v>Daily</v>
    <v>45659</v>
    <v>45659</v>
    <v>0</v>
    <v>1</v>
    <v>638713728000000000,638796179906061353,0</v>
    <v>0</v>
    <v>a25rnm</v>
    <v>XNAS:WDC</v>
    <v>1</v>
  </rv>
  <rv s="10">
    <v>29</v>
    <v>WDC</v>
    <v>Daily</v>
    <v>45939</v>
    <v>45939</v>
    <v>0</v>
    <v>1</v>
    <v>638955648000000000,638957085247642344,0</v>
    <v>0</v>
    <v>a25rnm</v>
    <v>XNAS:WDC</v>
    <v>2</v>
  </rv>
  <rv s="10">
    <v>29</v>
    <v>WDC</v>
    <v>Daily</v>
    <v>45911</v>
    <v>45911</v>
    <v>0</v>
    <v>1</v>
    <v>638931456000000000,638957085248626886,0</v>
    <v>0</v>
    <v>a25rnm</v>
    <v>XNAS:WDC</v>
    <v>3</v>
  </rv>
  <rv s="10">
    <v>30</v>
    <v>KI5</v>
    <v>Daily</v>
    <v>45659</v>
    <v>45659</v>
    <v>0</v>
    <v>1</v>
    <v>638713728000000000,638957085249340001,0</v>
    <v>0</v>
    <v>cfgjf2</v>
    <v>XFRA:KI5</v>
    <v>4</v>
  </rv>
  <rv s="10">
    <v>30</v>
    <v>KI5</v>
    <v>Daily</v>
    <v>45939</v>
    <v>45939</v>
    <v>0</v>
    <v>1</v>
    <v>638955648000000000,638957085249586402,0</v>
    <v>0</v>
    <v>cfgjf2</v>
    <v>XFRA:KI5</v>
    <v>5</v>
  </rv>
  <rv s="10">
    <v>30</v>
    <v>KI5</v>
    <v>Daily</v>
    <v>45911</v>
    <v>45911</v>
    <v>0</v>
    <v>1</v>
    <v>638931456000000000,638957085247304990,0</v>
    <v>0</v>
    <v>cfgjf2</v>
    <v>XFRA:KI5</v>
    <v>6</v>
  </rv>
  <rv s="10">
    <v>31</v>
    <v>000660</v>
    <v>Daily</v>
    <v>45659</v>
    <v>45659</v>
    <v>0</v>
    <v>1</v>
    <v>638713728000000000,638781225680993176,0</v>
    <v>0</v>
    <v>ajmjc7</v>
    <v>XKRX:000660</v>
    <v>7</v>
  </rv>
  <rv s="10">
    <v>31</v>
    <v>000660</v>
    <v>Daily</v>
    <v>42004</v>
    <v>42004</v>
    <v>0</v>
    <v>1</v>
    <v>635555808000000000,638803960037800388,0</v>
    <v>0</v>
    <v>ajmjc7</v>
    <v>XKRX:000660</v>
    <v>8</v>
  </rv>
  <rv s="10">
    <v>31</v>
    <v>000660</v>
    <v>Daily</v>
    <v>42002</v>
    <v>42002</v>
    <v>0</v>
    <v>1</v>
    <v>635554080000000000,638803960236596841,0</v>
    <v>0</v>
    <v>ajmjc7</v>
    <v>XKRX:000660</v>
    <v>9</v>
  </rv>
  <rv s="10">
    <v>31</v>
    <v>000660</v>
    <v>Daily</v>
    <v>44194</v>
    <v>44194</v>
    <v>0</v>
    <v>1</v>
    <v>637447968000000000,638803960911243013,0</v>
    <v>0</v>
    <v>ajmjc7</v>
    <v>XKRX:000660</v>
    <v>10</v>
  </rv>
  <rv s="10">
    <v>31</v>
    <v>000660</v>
    <v>Daily</v>
    <v>42733</v>
    <v>42733</v>
    <v>0</v>
    <v>1</v>
    <v>636185664000000000,638803960911730017,0</v>
    <v>0</v>
    <v>ajmjc7</v>
    <v>XKRX:000660</v>
    <v>11</v>
  </rv>
  <rv s="10">
    <v>31</v>
    <v>000660</v>
    <v>Daily</v>
    <v>42367</v>
    <v>42367</v>
    <v>0</v>
    <v>1</v>
    <v>635869440000000000,638803960913163458,0</v>
    <v>0</v>
    <v>ajmjc7</v>
    <v>XKRX:000660</v>
    <v>12</v>
  </rv>
  <rv s="10">
    <v>31</v>
    <v>000660</v>
    <v>Daily</v>
    <v>44924</v>
    <v>44924</v>
    <v>0</v>
    <v>1</v>
    <v>638078688000000000,638803960913640424,0</v>
    <v>0</v>
    <v>ajmjc7</v>
    <v>XKRX:000660</v>
    <v>13</v>
  </rv>
  <rv s="10">
    <v>31</v>
    <v>000660</v>
    <v>Daily</v>
    <v>44559</v>
    <v>44559</v>
    <v>0</v>
    <v>1</v>
    <v>637763328000000000,638803960914593796,0</v>
    <v>0</v>
    <v>ajmjc7</v>
    <v>XKRX:000660</v>
    <v>14</v>
  </rv>
  <rv s="10">
    <v>31</v>
    <v>000660</v>
    <v>Daily</v>
    <v>43097</v>
    <v>43097</v>
    <v>0</v>
    <v>1</v>
    <v>636500160000000000,638803961209751746,0</v>
    <v>0</v>
    <v>ajmjc7</v>
    <v>XKRX:000660</v>
    <v>15</v>
  </rv>
  <rv s="10">
    <v>31</v>
    <v>000660</v>
    <v>Daily</v>
    <v>43462</v>
    <v>43462</v>
    <v>0</v>
    <v>1</v>
    <v>636815520000000000,638803961253313776,0</v>
    <v>0</v>
    <v>ajmjc7</v>
    <v>XKRX:000660</v>
    <v>16</v>
  </rv>
  <rv s="10">
    <v>31</v>
    <v>000660</v>
    <v>Daily</v>
    <v>43829</v>
    <v>43829</v>
    <v>0</v>
    <v>1</v>
    <v>637132608000000000,638803961284508849,0</v>
    <v>0</v>
    <v>ajmjc7</v>
    <v>XKRX:000660</v>
    <v>17</v>
  </rv>
  <rv s="10">
    <v>31</v>
    <v>000660</v>
    <v>Daily</v>
    <v>45288</v>
    <v>45288</v>
    <v>0</v>
    <v>1</v>
    <v>638393184000000000,638803961348774537,0</v>
    <v>0</v>
    <v>ajmjc7</v>
    <v>XKRX:000660</v>
    <v>18</v>
  </rv>
  <rv s="10">
    <v>31</v>
    <v>000660</v>
    <v>Daily</v>
    <v>45656</v>
    <v>45656</v>
    <v>0</v>
    <v>1</v>
    <v>638711136000000000,638803961389357810,0</v>
    <v>0</v>
    <v>ajmjc7</v>
    <v>XKRX:000660</v>
    <v>19</v>
  </rv>
  <rv s="10">
    <v>31</v>
    <v>000660</v>
    <v>Daily</v>
    <v>45911</v>
    <v>45911</v>
    <v>0</v>
    <v>1</v>
    <v>638931456000000000,638957085247007223,0</v>
    <v>0</v>
    <v>ajmjc7</v>
    <v>XKRX:000660</v>
    <v>20</v>
  </rv>
  <rv s="10">
    <v>31</v>
    <v>005930</v>
    <v>Daily</v>
    <v>45659</v>
    <v>45659</v>
    <v>0</v>
    <v>1</v>
    <v>638713728000000000,638790295412593241,0</v>
    <v>0</v>
    <v>ajn83m</v>
    <v>XKRX:005930</v>
    <v>21</v>
  </rv>
  <rv s="10">
    <v>31</v>
    <v>005930</v>
    <v>Daily</v>
    <v>45911</v>
    <v>45911</v>
    <v>0</v>
    <v>1</v>
    <v>638931456000000000,638957085248388460,0</v>
    <v>0</v>
    <v>ajn83m</v>
    <v>XKRX:005930</v>
    <v>22</v>
  </rv>
  <rv s="10">
    <v>29</v>
    <v>MU</v>
    <v>Daily</v>
    <v>45659</v>
    <v>45659</v>
    <v>0</v>
    <v>1</v>
    <v>638713728000000000,638792015098548562,0</v>
    <v>0</v>
    <v>a1y4oc</v>
    <v>XNAS:MU</v>
    <v>23</v>
  </rv>
  <rv s="10">
    <v>30</v>
    <v>MU</v>
    <v>Daily</v>
    <v>45911</v>
    <v>45911</v>
    <v>0</v>
    <v>1</v>
    <v>638931456000000000,638957085247905130,0</v>
    <v>0</v>
    <v>afg2ec</v>
    <v>XFRA:MTE</v>
    <v>24</v>
  </rv>
  <rv s="10">
    <v>30</v>
    <v>MU</v>
    <v>Daily</v>
    <v>45939</v>
    <v>45939</v>
    <v>0</v>
    <v>1</v>
    <v>638955648000000000,638957085249099880,0</v>
    <v>0</v>
    <v>afg2ec</v>
    <v>XFRA:MTE</v>
    <v>25</v>
  </rv>
</rvData>
</file>

<file path=xl/richData/rdrichvaluestructure.xml><?xml version="1.0" encoding="utf-8"?>
<rvStructures xmlns="http://schemas.microsoft.com/office/spreadsheetml/2017/richdata" count="11">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core">
    <k n="%EntityCulture" t="s"/>
    <k n="%EntityId" t="s"/>
    <k n="%EntityServiceId"/>
    <k n="%IsRefreshable" t="b"/>
    <k n="%ProviderInfo" t="s"/>
    <k n="_CanonicalPropertyNames" t="spb"/>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6">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a count="43">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5">
      <v t="s">%EntityServiceId</v>
      <v t="s">_Format</v>
      <v t="s">%IsRefreshable</v>
      <v t="s">_CanonicalPropertyNames</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40">
      <v t="s">%EntityServiceId</v>
      <v t="s">_Format</v>
      <v t="s">%IsRefreshable</v>
      <v t="s">_CanonicalPropertyNames</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7">
      <v t="s">%EntityServiceId</v>
      <v t="s">_Format</v>
      <v t="s">%IsRefreshable</v>
      <v t="s">_CanonicalPropertyNames</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32">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Atraso de 20 minutos</v>
      <v xml:space="preserve">do fechamento anterior </v>
      <v>KSE</v>
      <v xml:space="preserve">do fechamento anterior </v>
      <v>GMT</v>
    </spb>
    <spb s="6">
      <v>Low</v>
      <v>P/E</v>
      <v>Beta</v>
      <v>High</v>
      <v>Name</v>
      <v>Open</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spb>
    <spb s="1">
      <v>1</v>
      <v>Name</v>
      <v>LearnMoreOnLink</v>
    </spb>
    <spb s="7">
      <v>2</v>
      <v>1</v>
      <v>1</v>
      <v>2</v>
      <v>3</v>
      <v>2</v>
      <v>2</v>
      <v>2</v>
      <v>4</v>
      <v>4</v>
      <v>5</v>
      <v>8</v>
      <v>2</v>
      <v>2</v>
      <v>2</v>
      <v>4</v>
      <v>9</v>
      <v>7</v>
      <v>6</v>
      <v>4</v>
    </spb>
    <spb s="8">
      <v>Delayed 20 minutes</v>
      <v>from previous close</v>
      <v>from previous close</v>
      <v>KSE</v>
      <v>GMT</v>
    </spb>
    <spb s="1">
      <v>2</v>
      <v>Name</v>
      <v>LearnMoreOnLink</v>
    </spb>
    <spb s="9">
      <v>10</v>
      <v>1</v>
      <v>1</v>
      <v>10</v>
      <v>3</v>
      <v>10</v>
      <v>10</v>
      <v>10</v>
      <v>4</v>
      <v>4</v>
      <v>5</v>
      <v>11</v>
      <v>10</v>
      <v>10</v>
      <v>10</v>
      <v>4</v>
      <v>9</v>
      <v>7</v>
      <v>6</v>
      <v>4</v>
      <v>10</v>
      <v>10</v>
      <v>5</v>
    </spb>
    <spb s="10">
      <v>at close</v>
      <v>from previous close</v>
      <v>from previous close</v>
      <v>Source: Nasdaq Last Sale</v>
      <v>GMT</v>
      <v>Real-Time Nasdaq Last Sale</v>
      <v>from close</v>
      <v>from close</v>
    </spb>
    <spb s="11">
      <v>Name</v>
      <v>Price</v>
      <v>Change</v>
      <v>Currency</v>
      <v>Change (%)</v>
      <v>UniqueName</v>
      <v>52 week low</v>
      <v>52 week high</v>
      <v>%ProviderInfo</v>
      <v>From currency</v>
      <v>Ticker symbol</v>
      <v>Previous close</v>
      <v>Instrument type</v>
      <v>Last trade time</v>
    </spb>
    <spb s="12">
      <v>3</v>
      <v>Name</v>
    </spb>
    <spb s="13">
      <v>2</v>
      <v>2</v>
    </spb>
    <spb s="14">
      <v>3</v>
      <v>2</v>
      <v>2</v>
      <v>5</v>
      <v>2</v>
      <v>2</v>
      <v>2</v>
      <v>9</v>
      <v>6</v>
    </spb>
    <spb s="15">
      <v>GMT</v>
    </spb>
    <spb s="16">
      <v>Low</v>
      <v>P/E</v>
      <v>Beta</v>
      <v>High</v>
      <v>Name</v>
      <v>Open</v>
      <v>Price</v>
      <v>Change</v>
      <v>Volume</v>
      <v>Currency</v>
      <v>Exchange</v>
      <v>Industry</v>
      <v>Employees</v>
      <v>Change (%)</v>
      <v>ExchangeID</v>
      <v>Market cap</v>
      <v>UniqueName</v>
      <v>Description</v>
      <v>Headquarters</v>
      <v>%ProviderInfo</v>
      <v>Official name</v>
      <v>Ticker symbol</v>
      <v>Previous close</v>
      <v>Volume average</v>
      <v>Instrument type</v>
      <v>Last trade time</v>
      <v>Year incorporated</v>
      <v>Shares outstanding</v>
      <v>Exchange abbreviation</v>
    </spb>
    <spb s="12">
      <v>4</v>
      <v>Name</v>
    </spb>
    <spb s="17">
      <v>2</v>
      <v>2</v>
      <v>2</v>
    </spb>
    <spb s="18">
      <v>12</v>
      <v>1</v>
      <v>1</v>
      <v>12</v>
      <v>3</v>
      <v>12</v>
      <v>12</v>
      <v>12</v>
      <v>4</v>
      <v>4</v>
      <v>5</v>
      <v>13</v>
      <v>12</v>
      <v>4</v>
      <v>9</v>
      <v>7</v>
      <v>6</v>
      <v>4</v>
    </spb>
    <spb s="19">
      <v>Delayed 15 minutes</v>
      <v>from previous close</v>
      <v>from previous close</v>
      <v>GMT</v>
    </spb>
    <spb s="20">
      <v>Low</v>
      <v>P/E</v>
      <v>Beta</v>
      <v>High</v>
      <v>Name</v>
      <v>Open</v>
      <v>Image</v>
      <v>Price</v>
      <v>Change</v>
      <v>Volume</v>
      <v>Currency</v>
      <v>Exchange</v>
      <v>Industry</v>
      <v>Employees</v>
      <v>Change (%)</v>
      <v>ExchangeID</v>
      <v>Market cap</v>
      <v>UniqueName</v>
      <v>52 week low</v>
      <v>Description</v>
      <v>52 week high</v>
      <v>Headquarters</v>
      <v>%ProviderInfo</v>
      <v>Official name</v>
      <v>Ticker symbol</v>
      <v>Previous close</v>
      <v>Volume average</v>
      <v>Instrument type</v>
      <v>Last trade time</v>
      <v>LearnMoreOnLink</v>
      <v>Year incorporated</v>
      <v>Shares outstanding</v>
      <v>Exchange abbreviation</v>
      <v>Price (Extended hours)</v>
      <v>Change (Extended hours)</v>
      <v>Change % (Extended hours)</v>
    </spb>
    <spb s="1">
      <v>5</v>
      <v>Name</v>
      <v>LearnMoreOnLink</v>
    </spb>
    <spb s="21">
      <v>0</v>
      <v>0</v>
    </spb>
    <spb s="22">
      <v>25</v>
      <v>2</v>
      <v>2</v>
      <v>2</v>
      <v>2</v>
    </spb>
    <spb s="23">
      <v>10</v>
      <v>1</v>
      <v>1</v>
      <v>10</v>
      <v>3</v>
      <v>10</v>
      <v>14</v>
      <v>10</v>
      <v>10</v>
      <v>4</v>
      <v>4</v>
      <v>5</v>
      <v>11</v>
      <v>10</v>
      <v>10</v>
      <v>10</v>
      <v>4</v>
      <v>9</v>
      <v>7</v>
      <v>6</v>
      <v>4</v>
      <v>10</v>
      <v>10</v>
      <v>5</v>
    </spb>
    <spb s="24">
      <v>Powered by Refinitiv</v>
    </spb>
    <spb s="25">
      <v>15</v>
      <v>10</v>
    </spb>
    <spb s="25">
      <v>15</v>
      <v>12</v>
    </spb>
    <spb s="25">
      <v>15</v>
      <v>2</v>
    </spb>
  </spbData>
</supportingPropertyBags>
</file>

<file path=xl/richData/rdsupportingpropertybagstructure.xml><?xml version="1.0" encoding="utf-8"?>
<spbStructures xmlns="http://schemas.microsoft.com/office/spreadsheetml/2017/richdata2" count="26">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Low" t="s"/>
    <k n="P/E" t="s"/>
    <k n="Beta" t="s"/>
    <k n="High" t="s"/>
    <k n="Name" t="s"/>
    <k n="Open"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k n="Price" t="s"/>
    <k n="Change" t="s"/>
    <k n="Currency" t="s"/>
    <k n="Change (%)" t="s"/>
    <k n="UniqueName" t="s"/>
    <k n="52 week low" t="s"/>
    <k n="52 week high" t="s"/>
    <k n="%ProviderInfo" t="s"/>
    <k n="From currency" t="s"/>
    <k n="Ticker symbol" t="s"/>
    <k n="Previous close" t="s"/>
    <k n="Instrument type" t="s"/>
    <k n="Last trade time" t="s"/>
  </s>
  <s>
    <k n="^Order" t="spba"/>
    <k n="TitleProperty" t="s"/>
  </s>
  <s>
    <k n="UniqueName" t="spb"/>
    <k n="`%ProviderInfo" t="spb"/>
  </s>
  <s>
    <k n="Name" t="i"/>
    <k n="Price" t="i"/>
    <k n="Change" t="i"/>
    <k n="Change (%)" t="i"/>
    <k n="52 week low" t="i"/>
    <k n="52 week high" t="i"/>
    <k n="Previous close" t="i"/>
    <k n="Last trade time" t="i"/>
    <k n="`%EntityServiceId" t="i"/>
  </s>
  <s>
    <k n="Last trade time" t="s"/>
  </s>
  <s>
    <k n="Low" t="s"/>
    <k n="P/E" t="s"/>
    <k n="Beta" t="s"/>
    <k n="High" t="s"/>
    <k n="Name" t="s"/>
    <k n="Open" t="s"/>
    <k n="Price" t="s"/>
    <k n="Change" t="s"/>
    <k n="Volume" t="s"/>
    <k n="Currency" t="s"/>
    <k n="Exchange" t="s"/>
    <k n="Industry" t="s"/>
    <k n="Employees" t="s"/>
    <k n="Change (%)" t="s"/>
    <k n="ExchangeID" t="s"/>
    <k n="Market cap" t="s"/>
    <k n="UniqueName" t="s"/>
    <k n="Description" t="s"/>
    <k n="Headquarters" t="s"/>
    <k n="%ProviderInfo" t="s"/>
    <k n="Official name" t="s"/>
    <k n="Ticker symbol" t="s"/>
    <k n="Previous close" t="s"/>
    <k n="Volume average" t="s"/>
    <k n="Instrument type" t="s"/>
    <k n="Last trade time" t="s"/>
    <k n="Year incorporated" t="s"/>
    <k n="Shares outstanding" t="s"/>
    <k n="Exchange abbreviation" t="s"/>
  </s>
  <s>
    <k n="ExchangeID" t="spb"/>
    <k n="UniqueName" t="spb"/>
    <k n="`%ProviderInfo" t="spb"/>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Last trade time" t="s"/>
  </s>
  <s>
    <k n="Low" t="s"/>
    <k n="P/E" t="s"/>
    <k n="Beta" t="s"/>
    <k n="High" t="s"/>
    <k n="Name" t="s"/>
    <k n="Open" t="s"/>
    <k n="Image" t="s"/>
    <k n="Price" t="s"/>
    <k n="Change" t="s"/>
    <k n="Volume" t="s"/>
    <k n="Currency" t="s"/>
    <k n="Exchange" t="s"/>
    <k n="Industry" t="s"/>
    <k n="Employees" t="s"/>
    <k n="Change (%)" t="s"/>
    <k n="ExchangeID" t="s"/>
    <k n="Market cap" t="s"/>
    <k n="UniqueName" t="s"/>
    <k n="52 week low" t="s"/>
    <k n="Description" t="s"/>
    <k n="52 week high" t="s"/>
    <k n="Headquarters" t="s"/>
    <k n="%ProviderInfo" t="s"/>
    <k n="Official name" t="s"/>
    <k n="Ticker symbol" t="s"/>
    <k n="Previous close" t="s"/>
    <k n="Volume average" t="s"/>
    <k n="Instrument type" t="s"/>
    <k n="Last trade time" t="s"/>
    <k n="LearnMoreOnLink" t="s"/>
    <k n="Year incorporated" t="s"/>
    <k n="Shares outstanding" t="s"/>
    <k n="Exchange abbreviation"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dd/mm/yyyy"/>
    </x:dxf>
    <x:dxf>
      <x:numFmt numFmtId="2" formatCode="0.00"/>
    </x:dxf>
    <x:dxf>
      <x:numFmt numFmtId="14" formatCode="0.00%"/>
    </x:dxf>
    <x:dxf>
      <x:numFmt numFmtId="3" formatCode="#,##0"/>
    </x:dxf>
    <x:dxf>
      <x:numFmt numFmtId="4" formatCode="#,##0.00"/>
    </x:dxf>
    <x:dxf>
      <x:numFmt numFmtId="1" formatCode="0"/>
    </x:dxf>
    <x:dxf>
      <x:numFmt numFmtId="27" formatCode="dd/mm/yyyy\ hh:mm"/>
    </x:dxf>
  </dxfs>
  <richProperties>
    <rPr n="NumberFormat" t="s"/>
    <rPr n="IsTitleField" t="b"/>
    <rPr n="IsHeroField" t="b"/>
  </richProperties>
  <richStyles>
    <rSty dxfid="5">
      <rpv i="0">#,##0.00</rpv>
    </rSty>
    <rSty dxfid="0">
      <rpv i="0">_-[$₩-ko-KR]* #,##0.00_-;-[$₩-ko-KR]* #,##0.00_-;_-[$₩-ko-KR]* "-"??_-;_-@_-</rpv>
    </rSty>
    <rSty>
      <rpv i="1">1</rpv>
    </rSty>
    <rSty dxfid="4">
      <rpv i="0">#,##0</rpv>
    </rSty>
    <rSty dxfid="3"/>
    <rSty dxfid="2">
      <rpv i="0">0.00</rpv>
    </rSty>
    <rSty dxfid="6">
      <rpv i="0">0</rpv>
    </rSty>
    <rSty dxfid="0">
      <rpv i="0">_-[$₩-ko-KR]* #,##0_-;-[$₩-ko-KR]* #,##0_-;_-[$₩-ko-KR]* "-"_-;_-@_-</rpv>
    </rSty>
    <rSty dxfid="7"/>
    <rSty dxfid="0">
      <rpv i="0">_([$$-en-US]* #,##0.00_);_([$$-en-US]* (#,##0.00);_([$$-en-US]* "-"??_);_(@_)</rpv>
    </rSty>
    <rSty dxfid="0">
      <rpv i="0">_([$$-en-US]* #,##0_);_([$$-en-US]* (#,##0);_([$$-en-US]* "-"_);_(@_)</rpv>
    </rSty>
    <rSty dxfid="0">
      <rpv i="0">_([$€-x-euro2] * #,##0.00_);_([$€-x-euro2] * (#,##0.00);_([$€-x-euro2] * "-"??_);_(@_)</rpv>
    </rSty>
    <rSty dxfid="0">
      <rpv i="0">_-[$¥-ja-JP]* #,##0_-;-[$¥-ja-JP]* #,##0_-;_-[$¥-ja-JP]* "-"_-;_-@_-</rpv>
    </rSty>
    <rSty>
      <rpv i="2">1</rpv>
    </rSty>
    <rSty dxfid="1"/>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7" dT="2025-02-26T18:55:21.53" personId="{8FC7388A-B149-40B4-B48E-70DCA56CA41C}" id="{CB5C8E83-E3D0-4441-B6E0-D862C650B5F5}">
    <text>Chipotle does not have any Intangibles in its Balance Sheet, except for Goodwill. Hence Depreciation and Amortization are forecasted only as % of PP&amp;E.</text>
  </threadedComment>
  <threadedComment ref="B140" dT="2025-02-26T18:54:39.98" personId="{8FC7388A-B149-40B4-B48E-70DCA56CA41C}" id="{CE396053-595E-4126-9C71-0875E5897884}">
    <text xml:space="preserve">Forecasted based on net number of stores opening </text>
  </threadedComment>
  <threadedComment ref="B158" dT="2025-02-26T17:14:37.81" personId="{8FC7388A-B149-40B4-B48E-70DCA56CA41C}" id="{E2CDF95A-7B2F-4661-BCB3-C007122C6CFD}">
    <text>Payment for Right of Use Assets are recognized as occupancy costs under SG&amp;A expenses.</text>
  </threadedComment>
  <threadedComment ref="B161" dT="2025-02-26T17:14:37.81" personId="{8FC7388A-B149-40B4-B48E-70DCA56CA41C}" id="{CD092673-94DE-4108-B6AF-FC73424C056A}">
    <text>Payment for Right of Use Assets are recognized as occupancy costs under SG&amp;A expenses.</text>
  </threadedComment>
  <threadedComment ref="B163" dT="2025-02-26T17:14:37.81" personId="{8FC7388A-B149-40B4-B48E-70DCA56CA41C}" id="{62E50C66-BA1C-4031-B660-F25771E0B7AB}">
    <text>Payment for Right of Use Assets are recognized as occupancy costs under SG&amp;A expenses.</text>
  </threadedComment>
  <threadedComment ref="B170" dT="2025-02-26T17:14:37.81" personId="{8FC7388A-B149-40B4-B48E-70DCA56CA41C}" id="{9EF6C6D7-5E70-49FE-A672-ED08A0372EC5}">
    <text>Payment for Right of Use Assets are recognized as occupancy costs under SG&amp;A expenses.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l63970@aln.iseg.ulisboa.pt" TargetMode="External"/><Relationship Id="rId2" Type="http://schemas.openxmlformats.org/officeDocument/2006/relationships/hyperlink" Target="mailto:maria.ana.rocha@aln.iseg.ulisboa.pt" TargetMode="External"/><Relationship Id="rId1" Type="http://schemas.openxmlformats.org/officeDocument/2006/relationships/hyperlink" Target="mailto:raul.vasconcelos@aln.iseg.ulisboa.pt" TargetMode="External"/><Relationship Id="rId5" Type="http://schemas.openxmlformats.org/officeDocument/2006/relationships/drawing" Target="../drawings/drawing1.xml"/><Relationship Id="rId4" Type="http://schemas.openxmlformats.org/officeDocument/2006/relationships/hyperlink" Target="mailto:l61862@aln.iseg.ulisboa.p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tellarmr.com/report/DRAM-Market/2215" TargetMode="External"/><Relationship Id="rId1" Type="http://schemas.openxmlformats.org/officeDocument/2006/relationships/hyperlink" Target="https://www.gminsights.com/industry-analysis/nand-flash-marke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gminsights.com/industry-analysis/nand-flash-market" TargetMode="External"/><Relationship Id="rId1" Type="http://schemas.openxmlformats.org/officeDocument/2006/relationships/hyperlink" Target="https://www.stellarmr.com/report/DRAM-Market/2215" TargetMode="External"/><Relationship Id="rId6" Type="http://schemas.microsoft.com/office/2017/10/relationships/threadedComment" Target="../threadedComments/threadedComment1.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topLeftCell="A64" zoomScale="91" zoomScaleNormal="55" workbookViewId="0">
      <selection activeCell="AA21" sqref="AA21"/>
    </sheetView>
  </sheetViews>
  <sheetFormatPr defaultColWidth="15.58203125" defaultRowHeight="14" x14ac:dyDescent="0.3"/>
  <cols>
    <col min="1" max="1" width="11.58203125" style="526" customWidth="1"/>
    <col min="2" max="2" width="0.75" style="524" customWidth="1"/>
    <col min="3" max="3" width="2.5" style="522" customWidth="1"/>
    <col min="4" max="4" width="11.75" style="522" customWidth="1"/>
    <col min="5" max="5" width="13.25" style="522" customWidth="1"/>
    <col min="6" max="9" width="12.58203125" style="522" customWidth="1"/>
    <col min="10" max="10" width="4" style="522" customWidth="1"/>
    <col min="11" max="12" width="12.58203125" style="522" customWidth="1"/>
    <col min="13" max="13" width="3.58203125" style="522" customWidth="1"/>
    <col min="14" max="18" width="12.58203125" style="522" customWidth="1"/>
    <col min="19" max="19" width="3.75" style="573" customWidth="1"/>
    <col min="20" max="20" width="4" style="522" customWidth="1"/>
    <col min="21" max="21" width="27.25" style="522" customWidth="1"/>
    <col min="22" max="22" width="9.75" style="522" customWidth="1"/>
    <col min="23" max="16384" width="15.58203125" style="522"/>
  </cols>
  <sheetData>
    <row r="1" spans="1:22" ht="24.75" customHeight="1" x14ac:dyDescent="0.3">
      <c r="A1" s="647"/>
      <c r="B1" s="648"/>
      <c r="C1" s="413"/>
      <c r="D1" s="413"/>
      <c r="E1" s="413"/>
      <c r="F1" s="413"/>
      <c r="G1" s="413"/>
      <c r="H1" s="413"/>
      <c r="I1" s="413"/>
      <c r="J1" s="413"/>
      <c r="K1" s="413"/>
      <c r="L1" s="413"/>
      <c r="M1" s="413"/>
      <c r="N1" s="413"/>
      <c r="O1" s="413"/>
      <c r="P1" s="413"/>
      <c r="Q1" s="413"/>
      <c r="R1" s="413"/>
      <c r="S1" s="413"/>
      <c r="T1" s="413"/>
      <c r="U1" s="413"/>
      <c r="V1" s="413"/>
    </row>
    <row r="2" spans="1:22" ht="24" customHeight="1" x14ac:dyDescent="0.4">
      <c r="A2" s="647"/>
      <c r="B2" s="648"/>
      <c r="C2" s="413"/>
      <c r="D2" s="413"/>
      <c r="E2" s="679" t="s">
        <v>0</v>
      </c>
      <c r="F2" s="413"/>
      <c r="G2" s="413"/>
      <c r="H2" s="413"/>
      <c r="I2" s="413"/>
      <c r="J2" s="413"/>
      <c r="K2" s="413"/>
      <c r="L2" s="413"/>
      <c r="M2" s="413"/>
      <c r="N2" s="413"/>
      <c r="O2" s="413"/>
      <c r="P2" s="413"/>
      <c r="Q2" s="413"/>
      <c r="R2" s="413"/>
      <c r="S2" s="413"/>
      <c r="T2" s="413"/>
      <c r="U2" s="593" t="s">
        <v>1</v>
      </c>
      <c r="V2" s="413"/>
    </row>
    <row r="3" spans="1:22" x14ac:dyDescent="0.3">
      <c r="A3" s="647"/>
      <c r="B3" s="648"/>
      <c r="C3" s="413"/>
      <c r="D3" s="413"/>
      <c r="E3" s="413"/>
      <c r="F3" s="413"/>
      <c r="G3" s="413"/>
      <c r="H3" s="413"/>
      <c r="I3" s="413"/>
      <c r="J3" s="413"/>
      <c r="K3" s="413"/>
      <c r="L3" s="413"/>
      <c r="M3" s="413"/>
      <c r="N3" s="413"/>
      <c r="O3" s="413"/>
      <c r="P3" s="413"/>
      <c r="Q3" s="413"/>
      <c r="R3" s="413"/>
      <c r="S3" s="413"/>
      <c r="T3" s="413"/>
      <c r="U3" s="579" t="s">
        <v>2</v>
      </c>
      <c r="V3" s="413"/>
    </row>
    <row r="4" spans="1:22" x14ac:dyDescent="0.3">
      <c r="A4" s="647"/>
      <c r="B4" s="648"/>
      <c r="C4" s="413"/>
      <c r="D4" s="413"/>
      <c r="E4" s="413"/>
      <c r="F4" s="413"/>
      <c r="G4" s="413"/>
      <c r="H4" s="413"/>
      <c r="I4" s="413"/>
      <c r="J4" s="413"/>
      <c r="K4" s="413"/>
      <c r="L4" s="413"/>
      <c r="M4" s="413"/>
      <c r="N4" s="413"/>
      <c r="O4" s="413"/>
      <c r="P4" s="413"/>
      <c r="Q4" s="413"/>
      <c r="R4" s="413"/>
      <c r="S4" s="413"/>
      <c r="T4" s="413"/>
      <c r="U4" s="579"/>
      <c r="V4" s="413"/>
    </row>
    <row r="5" spans="1:22" x14ac:dyDescent="0.3">
      <c r="A5" s="647"/>
      <c r="B5" s="648"/>
      <c r="C5" s="413"/>
      <c r="D5" s="413"/>
      <c r="E5" s="413"/>
      <c r="F5" s="413"/>
      <c r="G5" s="413"/>
      <c r="H5" s="413"/>
      <c r="I5"/>
      <c r="J5" s="413"/>
      <c r="K5" s="413"/>
      <c r="L5" s="413"/>
      <c r="M5" s="413"/>
      <c r="N5" s="413"/>
      <c r="O5" s="413"/>
      <c r="P5" s="413"/>
      <c r="Q5" s="413"/>
      <c r="R5" s="413"/>
      <c r="S5" s="413"/>
      <c r="T5" s="413"/>
      <c r="U5" s="413"/>
      <c r="V5" s="413"/>
    </row>
    <row r="6" spans="1:22" s="523" customFormat="1" ht="16.149999999999999" customHeight="1" x14ac:dyDescent="0.4">
      <c r="A6" s="527"/>
      <c r="B6" s="528"/>
      <c r="D6" s="530" t="str" cm="1">
        <f t="array" aca="1" ref="D6" ca="1">+_FV(DCF!R4,"Name")</f>
        <v>SK hynix Inc.</v>
      </c>
      <c r="S6" s="649"/>
      <c r="U6" s="578" t="s">
        <v>3</v>
      </c>
    </row>
    <row r="7" spans="1:22" ht="3.75" customHeight="1" x14ac:dyDescent="0.35">
      <c r="A7" s="647"/>
      <c r="B7" s="648"/>
      <c r="C7" s="413"/>
      <c r="D7" s="413"/>
      <c r="E7" s="413"/>
      <c r="F7" s="413"/>
      <c r="G7" s="413"/>
      <c r="H7" s="413"/>
      <c r="I7" s="413"/>
      <c r="J7" s="413"/>
      <c r="K7" s="413"/>
      <c r="L7" s="413"/>
      <c r="M7" s="413"/>
      <c r="N7" s="413"/>
      <c r="O7" s="413"/>
      <c r="P7" s="413"/>
      <c r="Q7" s="413"/>
      <c r="R7" s="413"/>
      <c r="S7" s="649"/>
      <c r="T7" s="413"/>
      <c r="U7" s="523"/>
      <c r="V7" s="413"/>
    </row>
    <row r="8" spans="1:22" ht="30.75" customHeight="1" x14ac:dyDescent="0.3">
      <c r="A8" s="647"/>
      <c r="B8" s="648"/>
      <c r="C8" s="413"/>
      <c r="D8" s="937" t="str" cm="1">
        <f t="array" aca="1" ref="D8" ca="1">_FV(U8,"Descrição")</f>
        <v>SK Hynix Inc is a Korea-based company mainly engaged in the production and sale of semiconductor memories. The Company’s major products include dynamic random access memory (DRAM), NAND flashes, as well as multi-chip packages (MCP), among others. In addition, the Company manufactures and sells complementary metal oxide semiconductor image sensors (CISs). CISs is used in mobile phones, notebooks, tablets, medical devices, digital single lens reflex (DSLR) cameras, camcorders, automobiles, security equipments, game machines, and home appliances. The Company distributes its products within the domestic market and to overseas markets, including America, Germany, United Kingdom, Japan, Singapore, India, and China.</v>
      </c>
      <c r="E8" s="938"/>
      <c r="F8" s="938"/>
      <c r="G8" s="938"/>
      <c r="H8" s="938"/>
      <c r="I8" s="938"/>
      <c r="J8" s="938"/>
      <c r="K8" s="938"/>
      <c r="L8" s="938"/>
      <c r="M8" s="938"/>
      <c r="N8" s="938"/>
      <c r="O8" s="938"/>
      <c r="P8" s="938"/>
      <c r="Q8" s="938"/>
      <c r="R8" s="938"/>
      <c r="S8" s="650"/>
      <c r="T8" s="413"/>
      <c r="U8" s="651" t="e" vm="1">
        <v>#VALUE!</v>
      </c>
      <c r="V8" s="413"/>
    </row>
    <row r="9" spans="1:22" ht="30.75" customHeight="1" x14ac:dyDescent="0.3">
      <c r="A9" s="647"/>
      <c r="B9" s="648"/>
      <c r="C9" s="413"/>
      <c r="D9" s="938"/>
      <c r="E9" s="938"/>
      <c r="F9" s="938"/>
      <c r="G9" s="938"/>
      <c r="H9" s="938"/>
      <c r="I9" s="938"/>
      <c r="J9" s="938"/>
      <c r="K9" s="938"/>
      <c r="L9" s="938"/>
      <c r="M9" s="938"/>
      <c r="N9" s="938"/>
      <c r="O9" s="938"/>
      <c r="P9" s="938"/>
      <c r="Q9" s="938"/>
      <c r="R9" s="938"/>
      <c r="S9" s="650"/>
      <c r="T9" s="413"/>
      <c r="U9" s="529" t="str" cm="1">
        <f t="array" aca="1" ref="U9" ca="1">+"Price (7 Mar 25): ₩"&amp;_FV(DCF!$R$4,"Price")</f>
        <v>Price (7 Mar 25): ₩184400</v>
      </c>
      <c r="V9" s="413"/>
    </row>
    <row r="10" spans="1:22" ht="20.25" customHeight="1" x14ac:dyDescent="0.4">
      <c r="A10" s="647"/>
      <c r="B10" s="648"/>
      <c r="C10" s="413"/>
      <c r="D10" s="530" t="s">
        <v>4</v>
      </c>
      <c r="E10" s="652"/>
      <c r="F10" s="652"/>
      <c r="G10" s="652"/>
      <c r="H10" s="652"/>
      <c r="I10" s="652"/>
      <c r="J10" s="652"/>
      <c r="K10" s="652"/>
      <c r="L10" s="652"/>
      <c r="M10" s="652"/>
      <c r="N10" s="652"/>
      <c r="O10" s="652"/>
      <c r="P10" s="652"/>
      <c r="Q10" s="652"/>
      <c r="R10" s="652"/>
      <c r="S10" s="653"/>
      <c r="T10" s="413"/>
      <c r="U10" s="1" t="str">
        <f ca="1">"Price Target: ₩" &amp; ROUND(IF(Summary!G25="FCFF",DCF!Q214,IF(Summary!G25="FCFE",DCF!Q257,IF(Summary!G25="Tax Shield",DCF!Q230,DCF!Q273))),2) &amp;" "&amp;IF(Summary!G25="FCFF","(FCFF)",IF(Summary!G25="FCFE","(FCFE)",IF(Summary!G25="Tax Shield","(APV)","(DDM)")))</f>
        <v>Price Target: ₩257816.51 (FCFF)</v>
      </c>
      <c r="V10" s="413"/>
    </row>
    <row r="11" spans="1:22" ht="14.25" customHeight="1" x14ac:dyDescent="0.3">
      <c r="A11" s="647"/>
      <c r="B11" s="648"/>
      <c r="C11" s="413"/>
      <c r="D11" s="938" t="s">
        <v>5</v>
      </c>
      <c r="E11" s="938"/>
      <c r="F11" s="938"/>
      <c r="G11" s="938"/>
      <c r="H11" s="938"/>
      <c r="I11" s="938"/>
      <c r="J11" s="938"/>
      <c r="K11" s="938"/>
      <c r="L11" s="938"/>
      <c r="M11" s="938"/>
      <c r="N11" s="938"/>
      <c r="O11" s="938"/>
      <c r="P11" s="938"/>
      <c r="Q11" s="938"/>
      <c r="R11" s="938"/>
      <c r="S11" s="650"/>
      <c r="T11" s="413"/>
      <c r="U11" s="529" t="str">
        <f ca="1">+"Upside (Downside): "&amp;ROUND((DCF!$Q$217*100),2)&amp;"%"</f>
        <v>Upside (Downside): 42.44%</v>
      </c>
      <c r="V11" s="413"/>
    </row>
    <row r="12" spans="1:22" ht="3.75" customHeight="1" x14ac:dyDescent="0.3">
      <c r="A12" s="647"/>
      <c r="B12" s="648"/>
      <c r="C12" s="413"/>
      <c r="D12" s="938"/>
      <c r="E12" s="938"/>
      <c r="F12" s="938"/>
      <c r="G12" s="938"/>
      <c r="H12" s="938"/>
      <c r="I12" s="938"/>
      <c r="J12" s="938"/>
      <c r="K12" s="938"/>
      <c r="L12" s="938"/>
      <c r="M12" s="938"/>
      <c r="N12" s="938"/>
      <c r="O12" s="938"/>
      <c r="P12" s="938"/>
      <c r="Q12" s="938"/>
      <c r="R12" s="938"/>
      <c r="S12" s="650"/>
      <c r="T12" s="413"/>
      <c r="U12" s="413"/>
      <c r="V12" s="413"/>
    </row>
    <row r="13" spans="1:22" ht="17.25" customHeight="1" x14ac:dyDescent="0.3">
      <c r="A13" s="647"/>
      <c r="B13" s="648"/>
      <c r="C13" s="413"/>
      <c r="D13" s="938"/>
      <c r="E13" s="938"/>
      <c r="F13" s="938"/>
      <c r="G13" s="938"/>
      <c r="H13" s="938"/>
      <c r="I13" s="938"/>
      <c r="J13" s="938"/>
      <c r="K13" s="938"/>
      <c r="L13" s="938"/>
      <c r="M13" s="938"/>
      <c r="N13" s="938"/>
      <c r="O13" s="938"/>
      <c r="P13" s="938"/>
      <c r="Q13" s="938"/>
      <c r="R13" s="938"/>
      <c r="S13" s="650"/>
      <c r="T13" s="413"/>
      <c r="U13" s="413"/>
      <c r="V13" s="413"/>
    </row>
    <row r="14" spans="1:22" ht="15" customHeight="1" x14ac:dyDescent="0.3">
      <c r="A14" s="647"/>
      <c r="B14" s="648"/>
      <c r="C14" s="413"/>
      <c r="D14" s="938"/>
      <c r="E14" s="938"/>
      <c r="F14" s="938"/>
      <c r="G14" s="938"/>
      <c r="H14" s="938"/>
      <c r="I14" s="938"/>
      <c r="J14" s="938"/>
      <c r="K14" s="938"/>
      <c r="L14" s="938"/>
      <c r="M14" s="938"/>
      <c r="N14" s="938"/>
      <c r="O14" s="938"/>
      <c r="P14" s="938"/>
      <c r="Q14" s="938"/>
      <c r="R14" s="938"/>
      <c r="S14" s="650"/>
      <c r="T14" s="413"/>
      <c r="U14" s="654" t="str">
        <f>+Industry!E29&amp;", "&amp;ESG!C9</f>
        <v>South Korea, Informational Technology</v>
      </c>
      <c r="V14" s="648"/>
    </row>
    <row r="15" spans="1:22" ht="15" customHeight="1" x14ac:dyDescent="0.3">
      <c r="A15" s="647"/>
      <c r="B15" s="648"/>
      <c r="C15" s="413"/>
      <c r="D15" s="938"/>
      <c r="E15" s="938"/>
      <c r="F15" s="938"/>
      <c r="G15" s="938"/>
      <c r="H15" s="938"/>
      <c r="I15" s="938"/>
      <c r="J15" s="938"/>
      <c r="K15" s="938"/>
      <c r="L15" s="938"/>
      <c r="M15" s="938"/>
      <c r="N15" s="938"/>
      <c r="O15" s="938"/>
      <c r="P15" s="938"/>
      <c r="Q15" s="938"/>
      <c r="R15" s="938"/>
      <c r="S15" s="650"/>
      <c r="T15" s="413"/>
      <c r="U15" s="654" t="str">
        <f>+ESG!C10</f>
        <v>Semiconductor Equipment</v>
      </c>
      <c r="V15" s="648"/>
    </row>
    <row r="16" spans="1:22" ht="3.75" customHeight="1" x14ac:dyDescent="0.3">
      <c r="A16" s="647"/>
      <c r="B16" s="648"/>
      <c r="C16" s="413"/>
      <c r="D16" s="413"/>
      <c r="E16" s="1"/>
      <c r="F16" s="413"/>
      <c r="G16" s="413"/>
      <c r="H16" s="413"/>
      <c r="I16" s="413"/>
      <c r="J16" s="413"/>
      <c r="K16" s="413"/>
      <c r="L16" s="413"/>
      <c r="M16" s="413"/>
      <c r="N16" s="413"/>
      <c r="O16" s="413"/>
      <c r="P16" s="413"/>
      <c r="Q16" s="413"/>
      <c r="R16" s="413"/>
      <c r="S16" s="649"/>
      <c r="T16" s="413"/>
      <c r="U16" s="655"/>
      <c r="V16" s="413"/>
    </row>
    <row r="17" spans="4:22" ht="14.25" customHeight="1" x14ac:dyDescent="0.35">
      <c r="D17" s="2" t="s">
        <v>6</v>
      </c>
      <c r="E17" s="3"/>
      <c r="F17" s="4">
        <v>2023</v>
      </c>
      <c r="G17" s="9">
        <f>+F17+1</f>
        <v>2024</v>
      </c>
      <c r="H17" s="5">
        <f>+G17+1</f>
        <v>2025</v>
      </c>
      <c r="I17" s="5">
        <f>+H17+1</f>
        <v>2026</v>
      </c>
      <c r="J17" s="413"/>
      <c r="K17" s="7" t="s">
        <v>7</v>
      </c>
      <c r="L17" s="4"/>
      <c r="M17" s="4"/>
      <c r="N17" s="4">
        <v>2022</v>
      </c>
      <c r="O17" s="4">
        <f>+N17+1</f>
        <v>2023</v>
      </c>
      <c r="P17" s="321">
        <f>+O17+1</f>
        <v>2024</v>
      </c>
      <c r="Q17" s="5">
        <f>+P17+1</f>
        <v>2025</v>
      </c>
      <c r="R17" s="5">
        <f>+Q17+1</f>
        <v>2026</v>
      </c>
      <c r="S17" s="574"/>
      <c r="T17" s="413"/>
      <c r="U17" s="656" t="s">
        <v>8</v>
      </c>
      <c r="V17" s="413"/>
    </row>
    <row r="18" spans="4:22" ht="15.5" x14ac:dyDescent="0.35">
      <c r="D18" s="10" t="str">
        <f>+DCF!B17</f>
        <v>DRAM Market</v>
      </c>
      <c r="E18" s="11"/>
      <c r="F18" s="697">
        <f>+DCF!F17</f>
        <v>79410.251999999993</v>
      </c>
      <c r="G18" s="871">
        <f>+DCF!G17</f>
        <v>152948.38399999999</v>
      </c>
      <c r="H18" s="872">
        <f>+DCF!H17</f>
        <v>183538.06079999998</v>
      </c>
      <c r="I18" s="872">
        <f>+DCF!I17</f>
        <v>215069.89964543996</v>
      </c>
      <c r="J18" s="413"/>
      <c r="K18" s="12" t="s">
        <v>9</v>
      </c>
      <c r="L18"/>
      <c r="M18"/>
      <c r="N18" s="345">
        <f ca="1">IFERROR(_xlfn.XLOOKUP($K18,Ratios!$B:$B,Ratios!N:N),"")</f>
        <v>1.4951637771841439</v>
      </c>
      <c r="O18" s="345">
        <f ca="1">IFERROR(_xlfn.XLOOKUP($K18,Ratios!$B:$B,Ratios!O:O),"")</f>
        <v>3.523851161427956</v>
      </c>
      <c r="P18" s="322">
        <f ca="1">IFERROR(_xlfn.XLOOKUP($K18,Ratios!$B:$B,Ratios!P:P),"")</f>
        <v>1.9236570332210357</v>
      </c>
      <c r="Q18" s="329">
        <f ca="1">IFERROR(_xlfn.XLOOKUP($K18,Ratios!$B:$B,Ratios!Q:Q),"")</f>
        <v>2.7637354169381676</v>
      </c>
      <c r="R18" s="329">
        <f ca="1">IFERROR(_xlfn.XLOOKUP($K18,Ratios!$B:$B,Ratios!R:R),"")</f>
        <v>2.5429700214466764</v>
      </c>
      <c r="S18" s="575"/>
      <c r="T18" s="413"/>
      <c r="U18" s="700" t="s">
        <v>10</v>
      </c>
      <c r="V18" s="413"/>
    </row>
    <row r="19" spans="4:22" ht="15.5" x14ac:dyDescent="0.35">
      <c r="D19" s="883" t="str">
        <f>+DCF!B18</f>
        <v>Market growth</v>
      </c>
      <c r="E19" s="879"/>
      <c r="F19" s="880">
        <f>+DCF!F18</f>
        <v>-0.36065482779110081</v>
      </c>
      <c r="G19" s="881">
        <f>+DCF!G18</f>
        <v>0.92605337658417208</v>
      </c>
      <c r="H19" s="882">
        <f>+DCF!H18</f>
        <v>0.2</v>
      </c>
      <c r="I19" s="882">
        <f>+DCF!I18</f>
        <v>0.17180000000000001</v>
      </c>
      <c r="J19" s="413"/>
      <c r="K19" s="15" t="s">
        <v>11</v>
      </c>
      <c r="L19"/>
      <c r="M19"/>
      <c r="N19" s="345">
        <f ca="1">IFERROR(_xlfn.XLOOKUP($K19,Ratios!$B:$B,Ratios!N:N),"")</f>
        <v>1.1557183068289798</v>
      </c>
      <c r="O19" s="345">
        <f ca="1">IFERROR(_xlfn.XLOOKUP($K19,Ratios!$B:$B,Ratios!O:O),"")</f>
        <v>2.9715876663706253</v>
      </c>
      <c r="P19" s="322">
        <f ca="1">IFERROR(_xlfn.XLOOKUP($K19,Ratios!$B:$B,Ratios!P:P),"")</f>
        <v>1.8093292342090557</v>
      </c>
      <c r="Q19" s="329">
        <f ca="1">IFERROR(_xlfn.XLOOKUP($K19,Ratios!$B:$B,Ratios!Q:Q),"")</f>
        <v>2.5449300869362275</v>
      </c>
      <c r="R19" s="329">
        <f ca="1">IFERROR(_xlfn.XLOOKUP($K19,Ratios!$B:$B,Ratios!R:R),"")</f>
        <v>2.2047794819060025</v>
      </c>
      <c r="S19" s="575"/>
      <c r="T19" s="413"/>
      <c r="U19" s="566" t="s">
        <v>12</v>
      </c>
      <c r="V19" s="413"/>
    </row>
    <row r="20" spans="4:22" ht="14.25" customHeight="1" x14ac:dyDescent="0.35">
      <c r="D20" s="10" t="str">
        <f>+DCF!B19</f>
        <v>SK Hynix Market Share</v>
      </c>
      <c r="E20" s="11"/>
      <c r="F20" s="873">
        <f>+DCF!F19</f>
        <v>0.26153628123482092</v>
      </c>
      <c r="G20" s="874">
        <f>+DCF!G19</f>
        <v>0.29246248198346442</v>
      </c>
      <c r="H20" s="875">
        <f>+DCF!H19</f>
        <v>0.30508107705489357</v>
      </c>
      <c r="I20" s="875">
        <f>+DCF!I19</f>
        <v>0.31246248198346444</v>
      </c>
      <c r="J20" s="413"/>
      <c r="K20" s="16" t="s">
        <v>13</v>
      </c>
      <c r="L20"/>
      <c r="M20"/>
      <c r="N20" s="345">
        <f ca="1">IFERROR(_xlfn.XLOOKUP($K20,Ratios!$B:$B,Ratios!N:N),"")</f>
        <v>8.9088505501549005</v>
      </c>
      <c r="O20" s="345">
        <f ca="1">IFERROR(_xlfn.XLOOKUP($K20,Ratios!$B:$B,Ratios!O:O),"")</f>
        <v>-16.163600856746889</v>
      </c>
      <c r="P20" s="322">
        <f ca="1">IFERROR(_xlfn.XLOOKUP($K20,Ratios!$B:$B,Ratios!P:P),"")</f>
        <v>5.2995642402297429</v>
      </c>
      <c r="Q20" s="329">
        <f ca="1">IFERROR(_xlfn.XLOOKUP($K20,Ratios!$B:$B,Ratios!Q:Q),"")</f>
        <v>11.452242818247758</v>
      </c>
      <c r="R20" s="329">
        <f ca="1">IFERROR(_xlfn.XLOOKUP($K20,Ratios!$B:$B,Ratios!R:R),"")</f>
        <v>9.9819784088040127</v>
      </c>
      <c r="S20" s="575"/>
      <c r="T20" s="413"/>
      <c r="U20" s="17" t="s">
        <v>14</v>
      </c>
      <c r="V20" s="413"/>
    </row>
    <row r="21" spans="4:22" ht="15.5" x14ac:dyDescent="0.35">
      <c r="D21" s="10" t="str">
        <f>+DCF!B24</f>
        <v>Nand Market</v>
      </c>
      <c r="E21" s="11"/>
      <c r="F21" s="697">
        <f>+DCF!F24</f>
        <v>45721.93836</v>
      </c>
      <c r="G21" s="871">
        <f>+DCF!G24</f>
        <v>71577.847299999994</v>
      </c>
      <c r="H21" s="872">
        <f>+DCF!H24</f>
        <v>78735.632029999993</v>
      </c>
      <c r="I21" s="872">
        <f>+DCF!I24</f>
        <v>85554.137763797989</v>
      </c>
      <c r="J21" s="413"/>
      <c r="K21" s="16" t="s">
        <v>15</v>
      </c>
      <c r="L21"/>
      <c r="M21"/>
      <c r="N21" s="345">
        <f ca="1">IFERROR(_xlfn.XLOOKUP($K21,Ratios!$B:$B,Ratios!N:N),"")</f>
        <v>9.7977207977207996</v>
      </c>
      <c r="O21" s="345">
        <f ca="1">IFERROR(_xlfn.XLOOKUP($K21,Ratios!$B:$B,Ratios!O:O),"")</f>
        <v>-14.936025302701029</v>
      </c>
      <c r="P21" s="322">
        <f ca="1">IFERROR(_xlfn.XLOOKUP($K21,Ratios!$B:$B,Ratios!P:P),"")</f>
        <v>5.4259368315194711</v>
      </c>
      <c r="Q21" s="329">
        <f ca="1">IFERROR(_xlfn.XLOOKUP($K21,Ratios!$B:$B,Ratios!Q:Q),"")</f>
        <v>11.868305498904949</v>
      </c>
      <c r="R21" s="329">
        <f ca="1">IFERROR(_xlfn.XLOOKUP($K21,Ratios!$B:$B,Ratios!R:R),"")</f>
        <v>10.324852936644909</v>
      </c>
      <c r="S21" s="575"/>
      <c r="T21" s="413"/>
      <c r="U21" s="700" t="s">
        <v>16</v>
      </c>
      <c r="V21" s="413"/>
    </row>
    <row r="22" spans="4:22" ht="15.5" x14ac:dyDescent="0.35">
      <c r="D22" s="883" t="str">
        <f>+DCF!B25</f>
        <v>Market growth</v>
      </c>
      <c r="E22" s="879"/>
      <c r="F22" s="880">
        <f>+DCF!F25</f>
        <v>-0.30124206987596513</v>
      </c>
      <c r="G22" s="881">
        <f>+DCF!G25</f>
        <v>0.56550334188412554</v>
      </c>
      <c r="H22" s="882">
        <f>+DCF!H25</f>
        <v>0.1</v>
      </c>
      <c r="I22" s="882">
        <f>+DCF!I25</f>
        <v>8.6599999999999996E-2</v>
      </c>
      <c r="J22" s="413"/>
      <c r="K22" s="15" t="s">
        <v>17</v>
      </c>
      <c r="L22"/>
      <c r="M22"/>
      <c r="N22" s="345">
        <f ca="1">IFERROR(_xlfn.XLOOKUP($K22,Ratios!$B:$B,Ratios!N:N),"")</f>
        <v>23.004862381228552</v>
      </c>
      <c r="O22" s="345">
        <f ca="1">IFERROR(_xlfn.XLOOKUP($K22,Ratios!$B:$B,Ratios!O:O),"")</f>
        <v>-10.655549597268434</v>
      </c>
      <c r="P22" s="322">
        <f ca="1">IFERROR(_xlfn.XLOOKUP($K22,Ratios!$B:$B,Ratios!P:P),"")</f>
        <v>6.0496198938228352</v>
      </c>
      <c r="Q22" s="329">
        <f ca="1">IFERROR(_xlfn.XLOOKUP($K22,Ratios!$B:$B,Ratios!Q:Q),"")</f>
        <v>16.665113901338493</v>
      </c>
      <c r="R22" s="329">
        <f ca="1">IFERROR(_xlfn.XLOOKUP($K22,Ratios!$B:$B,Ratios!R:R),"")</f>
        <v>12.147744567531314</v>
      </c>
      <c r="S22" s="575"/>
      <c r="T22" s="413"/>
      <c r="U22" s="566" t="s">
        <v>18</v>
      </c>
      <c r="V22" s="413"/>
    </row>
    <row r="23" spans="4:22" ht="14.25" customHeight="1" x14ac:dyDescent="0.35">
      <c r="D23" s="10" t="str">
        <f>+DCF!B26</f>
        <v>SK Hynix Market Share</v>
      </c>
      <c r="E23" s="11"/>
      <c r="F23" s="876">
        <f>+DCF!F26</f>
        <v>0.21112534477420611</v>
      </c>
      <c r="G23" s="877">
        <f>+DCF!G26</f>
        <v>0.26927479278913719</v>
      </c>
      <c r="H23" s="878">
        <f>+DCF!H26</f>
        <v>0.26927479278913719</v>
      </c>
      <c r="I23" s="878">
        <f>+DCF!I26</f>
        <v>0.26927479278913719</v>
      </c>
      <c r="J23" s="413"/>
      <c r="K23" s="16" t="s">
        <v>19</v>
      </c>
      <c r="L23"/>
      <c r="M23"/>
      <c r="N23" s="345">
        <f ca="1">IFERROR(_xlfn.XLOOKUP($K23,Ratios!$B:$B,Ratios!N:N),"")</f>
        <v>0.81481422962371919</v>
      </c>
      <c r="O23" s="345">
        <f ca="1">IFERROR(_xlfn.XLOOKUP($K23,Ratios!$B:$B,Ratios!O:O),"")</f>
        <v>1.8197987806473552</v>
      </c>
      <c r="P23" s="322">
        <f ca="1">IFERROR(_xlfn.XLOOKUP($K23,Ratios!$B:$B,Ratios!P:P),"")</f>
        <v>1.6202908177829609</v>
      </c>
      <c r="Q23" s="329">
        <f ca="1">IFERROR(_xlfn.XLOOKUP($K23,Ratios!$B:$B,Ratios!Q:Q),"")</f>
        <v>2.3578344476240725</v>
      </c>
      <c r="R23" s="329">
        <f ca="1">IFERROR(_xlfn.XLOOKUP($K23,Ratios!$B:$B,Ratios!R:R),"")</f>
        <v>2.2618721457683018</v>
      </c>
      <c r="S23" s="575"/>
      <c r="T23" s="413"/>
      <c r="U23" s="17" t="s">
        <v>20</v>
      </c>
      <c r="V23" s="413"/>
    </row>
    <row r="24" spans="4:22" ht="15.5" x14ac:dyDescent="0.35">
      <c r="D24"/>
      <c r="E24"/>
      <c r="F24"/>
      <c r="G24"/>
      <c r="H24"/>
      <c r="I24"/>
      <c r="J24"/>
      <c r="K24" s="16"/>
      <c r="L24"/>
      <c r="M24"/>
      <c r="N24"/>
      <c r="O24"/>
      <c r="P24"/>
      <c r="Q24"/>
      <c r="R24"/>
      <c r="S24" s="576"/>
      <c r="T24" s="413"/>
      <c r="U24" s="699" t="s">
        <v>21</v>
      </c>
      <c r="V24" s="413"/>
    </row>
    <row r="25" spans="4:22" ht="14.25" customHeight="1" x14ac:dyDescent="0.35">
      <c r="D25" s="22" t="s">
        <v>22</v>
      </c>
      <c r="E25" s="531" t="s">
        <v>23</v>
      </c>
      <c r="F25" s="532" t="s">
        <v>24</v>
      </c>
      <c r="G25" s="532" t="s">
        <v>25</v>
      </c>
      <c r="H25" s="532" t="str">
        <f>+IF(Summary!$G$25="FCFF",DCF!AB6,IF(Summary!$G$25="FCFE",DCF!AC6,DCF!AD6))</f>
        <v>NOPAT</v>
      </c>
      <c r="I25" s="533" t="s">
        <v>26</v>
      </c>
      <c r="J25" s="413"/>
      <c r="K25" s="7" t="s">
        <v>27</v>
      </c>
      <c r="L25" s="4"/>
      <c r="M25" s="4"/>
      <c r="N25" s="4">
        <v>2022</v>
      </c>
      <c r="O25" s="4">
        <f>+N25+1</f>
        <v>2023</v>
      </c>
      <c r="P25" s="321">
        <f>+O25+1</f>
        <v>2024</v>
      </c>
      <c r="Q25" s="5">
        <f>+P25+1</f>
        <v>2025</v>
      </c>
      <c r="R25" s="5">
        <f>+Q25+1</f>
        <v>2026</v>
      </c>
      <c r="S25" s="574"/>
      <c r="T25" s="413"/>
      <c r="U25" s="566" t="s">
        <v>28</v>
      </c>
      <c r="V25" s="413"/>
    </row>
    <row r="26" spans="4:22" ht="15.5" x14ac:dyDescent="0.35">
      <c r="D26" s="23">
        <v>2022</v>
      </c>
      <c r="E26" s="534">
        <f>+DCF!E36</f>
        <v>44621.599999999999</v>
      </c>
      <c r="F26" s="535">
        <f>+DCF!E64</f>
        <v>0.15260322355092595</v>
      </c>
      <c r="G26" s="536" cm="1">
        <f t="array" aca="1" ref="G26:G33" ca="1">TRANSPOSE(DCF!F198:M198)</f>
        <v>-270.11300143231529</v>
      </c>
      <c r="H26" s="536">
        <f>+IF(Summary!$G$25="FCFF",DCF!AB7,IF(Summary!$G$25="FCFE",DCF!AC7,DCF!AD7))</f>
        <v>3813.4885530128886</v>
      </c>
      <c r="I26" s="537">
        <f>+DCF!E138</f>
        <v>-19424.2</v>
      </c>
      <c r="J26" s="413"/>
      <c r="K26" s="16" t="s">
        <v>29</v>
      </c>
      <c r="L26"/>
      <c r="M26"/>
      <c r="N26" s="925">
        <f>IFERROR(_xlfn.XLOOKUP($K26,Ratios!$B:$B,Ratios!N:N),"")</f>
        <v>2.1581473262636989E-2</v>
      </c>
      <c r="O26" s="925">
        <f>IFERROR(_xlfn.XLOOKUP($K26,Ratios!$B:$B,Ratios!O:O),"")</f>
        <v>-9.107526946024222E-2</v>
      </c>
      <c r="P26" s="326">
        <f>IFERROR(_xlfn.XLOOKUP($K26,Ratios!$B:$B,Ratios!P:P),"")</f>
        <v>0.16517514467457392</v>
      </c>
      <c r="Q26" s="331">
        <f>IFERROR(_xlfn.XLOOKUP($K26,Ratios!$B:$B,Ratios!Q:Q),"")</f>
        <v>0.10158014241827412</v>
      </c>
      <c r="R26" s="331">
        <f>IFERROR(_xlfn.XLOOKUP($K26,Ratios!$B:$B,Ratios!R:R),"")</f>
        <v>0.14102808861854654</v>
      </c>
      <c r="S26" s="575"/>
      <c r="T26" s="413"/>
      <c r="U26" s="17" t="s">
        <v>30</v>
      </c>
      <c r="V26" s="413"/>
    </row>
    <row r="27" spans="4:22" ht="14.25" customHeight="1" x14ac:dyDescent="0.35">
      <c r="D27" s="23">
        <f t="shared" ref="D27:D33" si="0">+D26+1</f>
        <v>2023</v>
      </c>
      <c r="E27" s="538">
        <f>+DCF!F36</f>
        <v>32765.7</v>
      </c>
      <c r="F27" s="539">
        <f>+DCF!F64</f>
        <v>-0.23592964594072446</v>
      </c>
      <c r="G27" s="540">
        <f ca="1"/>
        <v>10413.86500049118</v>
      </c>
      <c r="H27" s="541">
        <f>+IF(Summary!$G$25="FCFF",DCF!AB8,IF(Summary!$G$25="FCFE",DCF!AC8,DCF!AD8))</f>
        <v>-6059.1790150884772</v>
      </c>
      <c r="I27" s="537">
        <f>+DCF!F138</f>
        <v>-7239.4999999999991</v>
      </c>
      <c r="J27" s="413"/>
      <c r="K27" s="16" t="s">
        <v>31</v>
      </c>
      <c r="L27"/>
      <c r="M27"/>
      <c r="N27" s="925">
        <f>IFERROR(_xlfn.XLOOKUP($K27,Ratios!$B:$B,Ratios!N:N),"")</f>
        <v>3.5419217734099083E-2</v>
      </c>
      <c r="O27" s="925">
        <f>IFERROR(_xlfn.XLOOKUP($K27,Ratios!$B:$B,Ratios!O:O),"")</f>
        <v>-0.17078413122058606</v>
      </c>
      <c r="P27" s="326">
        <f>IFERROR(_xlfn.XLOOKUP($K27,Ratios!$B:$B,Ratios!P:P),"")</f>
        <v>0.26783349139627971</v>
      </c>
      <c r="Q27" s="331">
        <f>IFERROR(_xlfn.XLOOKUP($K27,Ratios!$B:$B,Ratios!Q:Q),"")</f>
        <v>-1.0685163047996121E-15</v>
      </c>
      <c r="R27" s="331">
        <f>IFERROR(_xlfn.XLOOKUP($K27,Ratios!$B:$B,Ratios!R:R),"")</f>
        <v>-1.48346722633195E-15</v>
      </c>
      <c r="S27" s="575"/>
      <c r="T27" s="413"/>
      <c r="U27" s="700" t="s">
        <v>32</v>
      </c>
      <c r="V27" s="413"/>
    </row>
    <row r="28" spans="4:22" ht="15.5" x14ac:dyDescent="0.35">
      <c r="D28" s="364">
        <f t="shared" si="0"/>
        <v>2024</v>
      </c>
      <c r="E28" s="542">
        <f>+DCF!G36</f>
        <v>66193</v>
      </c>
      <c r="F28" s="543">
        <f>+DCF!G64</f>
        <v>0.35452993518952153</v>
      </c>
      <c r="G28" s="544">
        <f ca="1"/>
        <v>-6051.9414996590422</v>
      </c>
      <c r="H28" s="545">
        <f>+IF(Summary!$G$25="FCFF",DCF!AB9,IF(Summary!$G$25="FCFE",DCF!AC9,DCF!AD9))</f>
        <v>19450.564758535511</v>
      </c>
      <c r="I28" s="568">
        <f>+DCF!G138</f>
        <v>-16595.8</v>
      </c>
      <c r="J28" s="413"/>
      <c r="K28" s="114" t="s">
        <v>33</v>
      </c>
      <c r="L28"/>
      <c r="M28"/>
      <c r="N28" s="925">
        <f>IFERROR(_xlfn.XLOOKUP($K28,Ratios!$B:$B,Ratios!N:N),"")</f>
        <v>4.5134154863968531E-2</v>
      </c>
      <c r="O28" s="925">
        <f>IFERROR(_xlfn.XLOOKUP($K28,Ratios!$B:$B,Ratios!O:O),"")</f>
        <v>-7.5465514873932799E-2</v>
      </c>
      <c r="P28" s="326">
        <f>IFERROR(_xlfn.XLOOKUP($K28,Ratios!$B:$B,Ratios!P:P),"")</f>
        <v>0.2038862500645762</v>
      </c>
      <c r="Q28" s="331">
        <f ca="1">IFERROR(_xlfn.XLOOKUP($K28,Ratios!$B:$B,Ratios!Q:Q),"")</f>
        <v>-1.1800366175620267E-15</v>
      </c>
      <c r="R28" s="331">
        <f ca="1">IFERROR(_xlfn.XLOOKUP($K28,Ratios!$B:$B,Ratios!R:R),"")</f>
        <v>-1.568120218178781E-15</v>
      </c>
      <c r="S28" s="575"/>
      <c r="T28" s="413"/>
      <c r="U28" s="698" t="s">
        <v>34</v>
      </c>
      <c r="V28" s="657"/>
    </row>
    <row r="29" spans="4:22" ht="15.5" x14ac:dyDescent="0.35">
      <c r="D29" s="24">
        <f t="shared" si="0"/>
        <v>2025</v>
      </c>
      <c r="E29" s="546">
        <f>+DCF!H36</f>
        <v>79767.388272404176</v>
      </c>
      <c r="F29" s="547">
        <f>+DCF!H64</f>
        <v>0.23286689217708192</v>
      </c>
      <c r="G29" s="548">
        <f ca="1"/>
        <v>4190.3822411130459</v>
      </c>
      <c r="H29" s="546">
        <f ca="1">+IF(Summary!$G$25="FCFF",DCF!AB10,IF(Summary!$G$25="FCFE",DCF!AC10,DCF!AD10))</f>
        <v>13452.632336922185</v>
      </c>
      <c r="I29" s="684">
        <f>+DCF!H138</f>
        <v>-27178.34071991171</v>
      </c>
      <c r="J29" s="413"/>
      <c r="K29" s="25" t="s">
        <v>35</v>
      </c>
      <c r="L29"/>
      <c r="M29"/>
      <c r="N29" s="925">
        <f>IFERROR(_xlfn.XLOOKUP($K29,Ratios!$B:$B,Ratios!N:N),"")</f>
        <v>0.16782903347257824</v>
      </c>
      <c r="O29" s="925">
        <f>IFERROR(_xlfn.XLOOKUP($K29,Ratios!$B:$B,Ratios!O:O),"")</f>
        <v>-0.2180115181424476</v>
      </c>
      <c r="P29" s="326">
        <f>IFERROR(_xlfn.XLOOKUP($K29,Ratios!$B:$B,Ratios!P:P),"")</f>
        <v>0.36298400132944564</v>
      </c>
      <c r="Q29" s="331">
        <f>IFERROR(_xlfn.XLOOKUP($K29,Ratios!$B:$B,Ratios!Q:Q),"")</f>
        <v>0.24132700125205964</v>
      </c>
      <c r="R29" s="331">
        <f>IFERROR(_xlfn.XLOOKUP($K29,Ratios!$B:$B,Ratios!R:R),"")</f>
        <v>0.25475611319733976</v>
      </c>
      <c r="S29" s="575"/>
      <c r="T29" s="413"/>
      <c r="U29" s="413"/>
      <c r="V29" s="413"/>
    </row>
    <row r="30" spans="4:22" ht="15.5" x14ac:dyDescent="0.35">
      <c r="D30" s="24">
        <f t="shared" si="0"/>
        <v>2026</v>
      </c>
      <c r="E30" s="546">
        <f>+DCF!I36</f>
        <v>93179.470404055697</v>
      </c>
      <c r="F30" s="547">
        <f>+DCF!I64</f>
        <v>0.24629600412236202</v>
      </c>
      <c r="G30" s="548">
        <f ca="1"/>
        <v>6770.2360935392644</v>
      </c>
      <c r="H30" s="546">
        <f ca="1">+IF(Summary!$G$25="FCFF",DCF!AB11,IF(Summary!$G$25="FCFE",DCF!AC11,DCF!AD11))</f>
        <v>17876.856057938774</v>
      </c>
      <c r="I30" s="684">
        <f>+DCF!I138</f>
        <v>-31608.232167296595</v>
      </c>
      <c r="J30" s="413"/>
      <c r="K30" s="15" t="s">
        <v>24</v>
      </c>
      <c r="L30"/>
      <c r="M30"/>
      <c r="N30" s="925">
        <f>IFERROR(_xlfn.XLOOKUP($K30,Ratios!$B:$B,Ratios!N:N),"")</f>
        <v>0.15260322355092595</v>
      </c>
      <c r="O30" s="925">
        <f>IFERROR(_xlfn.XLOOKUP($K30,Ratios!$B:$B,Ratios!O:O),"")</f>
        <v>-0.23592964594072446</v>
      </c>
      <c r="P30" s="326">
        <f>IFERROR(_xlfn.XLOOKUP($K30,Ratios!$B:$B,Ratios!P:P),"")</f>
        <v>0.35452993518952153</v>
      </c>
      <c r="Q30" s="331">
        <f>IFERROR(_xlfn.XLOOKUP($K30,Ratios!$B:$B,Ratios!Q:Q),"")</f>
        <v>0.23286689217708192</v>
      </c>
      <c r="R30" s="331">
        <f>IFERROR(_xlfn.XLOOKUP($K30,Ratios!$B:$B,Ratios!R:R),"")</f>
        <v>0.24629600412236202</v>
      </c>
      <c r="S30" s="575"/>
      <c r="T30" s="413"/>
      <c r="U30" s="678" t="s">
        <v>36</v>
      </c>
      <c r="V30" s="648"/>
    </row>
    <row r="31" spans="4:22" ht="14.25" customHeight="1" x14ac:dyDescent="0.35">
      <c r="D31" s="24">
        <f t="shared" si="0"/>
        <v>2027</v>
      </c>
      <c r="E31" s="546">
        <f>+DCF!J36</f>
        <v>106852.30435141103</v>
      </c>
      <c r="F31" s="547">
        <f>+DCF!J64</f>
        <v>0.25310523766028858</v>
      </c>
      <c r="G31" s="548">
        <f ca="1"/>
        <v>6926.0222016967564</v>
      </c>
      <c r="H31" s="546">
        <f ca="1">+IF(Summary!$G$25="FCFF",DCF!AB12,IF(Summary!$G$25="FCFE",DCF!AC12,DCF!AD12))</f>
        <v>21023.034365768159</v>
      </c>
      <c r="I31" s="684">
        <f>+DCF!J138</f>
        <v>-36638.734124844799</v>
      </c>
      <c r="J31" s="413"/>
      <c r="K31" s="15" t="s">
        <v>37</v>
      </c>
      <c r="L31"/>
      <c r="M31"/>
      <c r="N31" s="925">
        <f>IFERROR(_xlfn.XLOOKUP($K31,Ratios!$B:$B,Ratios!N:N),"")</f>
        <v>0.35023172633881344</v>
      </c>
      <c r="O31" s="925">
        <f>IFERROR(_xlfn.XLOOKUP($K31,Ratios!$B:$B,Ratios!O:O),"")</f>
        <v>-1.6282270789270376E-2</v>
      </c>
      <c r="P31" s="326">
        <f>IFERROR(_xlfn.XLOOKUP($K31,Ratios!$B:$B,Ratios!P:P),"")</f>
        <v>0.48083936367893881</v>
      </c>
      <c r="Q31" s="331">
        <f>IFERROR(_xlfn.XLOOKUP($K31,Ratios!$B:$B,Ratios!Q:Q),"")</f>
        <v>0.34999999999999992</v>
      </c>
      <c r="R31" s="331">
        <f>IFERROR(_xlfn.XLOOKUP($K31,Ratios!$B:$B,Ratios!R:R),"")</f>
        <v>0.35</v>
      </c>
      <c r="S31" s="575"/>
      <c r="T31" s="413"/>
      <c r="U31" s="19" t="s">
        <v>38</v>
      </c>
      <c r="V31" s="28">
        <f ca="1">Peers!D74</f>
        <v>1.1446000000000001</v>
      </c>
    </row>
    <row r="32" spans="4:22" ht="14.25" customHeight="1" x14ac:dyDescent="0.35">
      <c r="D32" s="24">
        <f t="shared" si="0"/>
        <v>2028</v>
      </c>
      <c r="E32" s="546">
        <f>+DCF!K36</f>
        <v>120498.39985062799</v>
      </c>
      <c r="F32" s="547">
        <f>+DCF!K64</f>
        <v>0.25913056413539848</v>
      </c>
      <c r="G32" s="548">
        <f ca="1"/>
        <v>10565.121090152956</v>
      </c>
      <c r="H32" s="546">
        <f ca="1">+IF(Summary!$G$25="FCFF",DCF!AB13,IF(Summary!$G$25="FCFE",DCF!AC13,DCF!AD13))</f>
        <v>23736.295265413853</v>
      </c>
      <c r="I32" s="684">
        <f>+DCF!K138</f>
        <v>-41027.39021256964</v>
      </c>
      <c r="J32" s="413"/>
      <c r="K32" s="15" t="s">
        <v>39</v>
      </c>
      <c r="L32"/>
      <c r="M32"/>
      <c r="N32" s="925">
        <f>IFERROR(_xlfn.XLOOKUP($K32,Ratios!$B:$B,Ratios!N:N),"")</f>
        <v>8.2123904118184918E-2</v>
      </c>
      <c r="O32" s="925">
        <f>IFERROR(_xlfn.XLOOKUP($K32,Ratios!$B:$B,Ratios!O:O),"")</f>
        <v>8.7258932359143851E-2</v>
      </c>
      <c r="P32" s="326">
        <f>IFERROR(_xlfn.XLOOKUP($K32,Ratios!$B:$B,Ratios!P:P),"")</f>
        <v>5.0834680404272359E-2</v>
      </c>
      <c r="Q32" s="331">
        <f>IFERROR(_xlfn.XLOOKUP($K32,Ratios!$B:$B,Ratios!Q:Q),"")</f>
        <v>4.4911976686191561E-2</v>
      </c>
      <c r="R32" s="331">
        <f>IFERROR(_xlfn.XLOOKUP($K32,Ratios!$B:$B,Ratios!R:R),"")</f>
        <v>3.977823644557605E-2</v>
      </c>
      <c r="S32" s="575"/>
      <c r="T32" s="413"/>
      <c r="U32" s="29" t="s">
        <v>40</v>
      </c>
      <c r="V32" s="26">
        <f>+Peers!D73</f>
        <v>0.78296516259868176</v>
      </c>
    </row>
    <row r="33" spans="4:30" ht="14.25" customHeight="1" x14ac:dyDescent="0.35">
      <c r="D33" s="24">
        <f t="shared" si="0"/>
        <v>2029</v>
      </c>
      <c r="E33" s="546">
        <f>+DCF!L36</f>
        <v>133713.99583219097</v>
      </c>
      <c r="F33" s="547">
        <f>+DCF!L64</f>
        <v>0.26455899346681777</v>
      </c>
      <c r="G33" s="548">
        <f ca="1"/>
        <v>12992.709970122862</v>
      </c>
      <c r="H33" s="546">
        <f ca="1">+IF(Summary!$G$25="FCFF",DCF!AB14,IF(Summary!$G$25="FCFE",DCF!AC14,DCF!AD14))</f>
        <v>27315.227035412492</v>
      </c>
      <c r="I33" s="684">
        <f>+DCF!L138</f>
        <v>-45482.14258589808</v>
      </c>
      <c r="J33" s="413"/>
      <c r="K33" s="15" t="s">
        <v>41</v>
      </c>
      <c r="L33"/>
      <c r="M33"/>
      <c r="N33" s="925">
        <f>IFERROR(_xlfn.XLOOKUP($K33,Ratios!$B:$B,Ratios!N:N),"")</f>
        <v>5.0238001326711683E-2</v>
      </c>
      <c r="O33" s="925">
        <f>IFERROR(_xlfn.XLOOKUP($K33,Ratios!$B:$B,Ratios!O:O),"")</f>
        <v>-0.27887699637120511</v>
      </c>
      <c r="P33" s="326">
        <f>IFERROR(_xlfn.XLOOKUP($K33,Ratios!$B:$B,Ratios!P:P),"")</f>
        <v>0.29908147387185946</v>
      </c>
      <c r="Q33" s="331">
        <f>IFERROR(_xlfn.XLOOKUP($K33,Ratios!$B:$B,Ratios!Q:Q),"")</f>
        <v>0.15271003258680557</v>
      </c>
      <c r="R33" s="331">
        <f>IFERROR(_xlfn.XLOOKUP($K33,Ratios!$B:$B,Ratios!R:R),"")</f>
        <v>0.18149702355439482</v>
      </c>
      <c r="S33" s="575"/>
      <c r="T33" s="413"/>
      <c r="U33" s="19" t="s">
        <v>42</v>
      </c>
      <c r="V33" s="26">
        <f>+Peers!D76</f>
        <v>0.20419999999999999</v>
      </c>
      <c r="W33" s="413"/>
      <c r="X33" s="413"/>
      <c r="Y33" s="413"/>
      <c r="Z33" s="413"/>
      <c r="AA33" s="413"/>
      <c r="AB33" s="413"/>
      <c r="AC33" s="413"/>
      <c r="AD33" s="413"/>
    </row>
    <row r="34" spans="4:30" ht="14.25" customHeight="1" x14ac:dyDescent="0.3">
      <c r="D34" s="413"/>
      <c r="E34" s="413"/>
      <c r="F34" s="413"/>
      <c r="G34" s="413"/>
      <c r="H34" s="413"/>
      <c r="I34" s="413"/>
      <c r="J34" s="413"/>
      <c r="K34" s="413"/>
      <c r="L34" s="413"/>
      <c r="M34" s="413"/>
      <c r="N34" s="413"/>
      <c r="O34" s="413"/>
      <c r="P34" s="413"/>
      <c r="Q34" s="413"/>
      <c r="R34" s="413"/>
      <c r="S34" s="649"/>
      <c r="T34" s="413"/>
      <c r="U34" s="19" t="s">
        <v>43</v>
      </c>
      <c r="V34" s="26">
        <f>+Peers!D77</f>
        <v>0.439</v>
      </c>
      <c r="W34" s="413"/>
      <c r="X34" s="413"/>
      <c r="Y34" s="413"/>
      <c r="Z34" s="413"/>
      <c r="AA34" s="413"/>
      <c r="AB34" s="413"/>
      <c r="AC34" s="413"/>
      <c r="AD34" s="413"/>
    </row>
    <row r="35" spans="4:30" ht="14.25" customHeight="1" x14ac:dyDescent="0.35">
      <c r="D35" s="7" t="s">
        <v>44</v>
      </c>
      <c r="E35" s="4"/>
      <c r="F35" s="4"/>
      <c r="G35" s="4"/>
      <c r="H35" s="4"/>
      <c r="I35" s="4"/>
      <c r="J35" s="413"/>
      <c r="K35" s="7" t="s">
        <v>45</v>
      </c>
      <c r="L35" s="4"/>
      <c r="M35" s="4"/>
      <c r="N35" s="4">
        <v>2022</v>
      </c>
      <c r="O35" s="4">
        <f>+N35+1</f>
        <v>2023</v>
      </c>
      <c r="P35" s="321">
        <f>+O35+1</f>
        <v>2024</v>
      </c>
      <c r="Q35" s="5">
        <f>+P35+1</f>
        <v>2025</v>
      </c>
      <c r="R35" s="5">
        <f>+Q35+1</f>
        <v>2026</v>
      </c>
      <c r="S35" s="574"/>
      <c r="T35" s="413"/>
      <c r="U35" s="30" t="s">
        <v>46</v>
      </c>
      <c r="V35" s="554">
        <f>+Peers!D78</f>
        <v>0</v>
      </c>
      <c r="W35" s="413"/>
      <c r="X35" s="413"/>
      <c r="Y35" s="413"/>
      <c r="Z35" s="413"/>
      <c r="AA35" s="413"/>
      <c r="AB35" s="413"/>
      <c r="AC35" s="413"/>
      <c r="AD35" s="413"/>
    </row>
    <row r="36" spans="4:30" ht="14.25" customHeight="1" x14ac:dyDescent="0.35">
      <c r="D36" s="550" t="s">
        <v>47</v>
      </c>
      <c r="E36" s="550"/>
      <c r="F36" s="551"/>
      <c r="G36" s="550" t="s">
        <v>48</v>
      </c>
      <c r="H36" s="550"/>
      <c r="I36" s="550"/>
      <c r="J36" s="413"/>
      <c r="K36" s="27" t="s">
        <v>49</v>
      </c>
      <c r="L36"/>
      <c r="M36"/>
      <c r="N36" s="345">
        <f>IFERROR(_xlfn.XLOOKUP($K36,Ratios!$B:$B,Ratios!N:N),"")</f>
        <v>0.2508100807813059</v>
      </c>
      <c r="O36" s="345">
        <f>IFERROR(_xlfn.XLOOKUP($K36,Ratios!$B:$B,Ratios!O:O),"")</f>
        <v>0.3611658526832891</v>
      </c>
      <c r="P36" s="322">
        <f>IFERROR(_xlfn.XLOOKUP($K36,Ratios!$B:$B,Ratios!P:P),"")</f>
        <v>0.44882517404087258</v>
      </c>
      <c r="Q36" s="329">
        <f>IFERROR(_xlfn.XLOOKUP($K36,Ratios!$B:$B,Ratios!Q:Q),"")</f>
        <v>-5.8287674133210218E-2</v>
      </c>
      <c r="R36" s="329">
        <f>IFERROR(_xlfn.XLOOKUP($K36,Ratios!$B:$B,Ratios!R:R),"")</f>
        <v>0.22368549471108823</v>
      </c>
      <c r="S36" s="575"/>
      <c r="T36" s="413"/>
      <c r="U36" s="413"/>
      <c r="V36" s="413"/>
      <c r="W36" s="555">
        <v>120.87</v>
      </c>
      <c r="X36" s="413"/>
      <c r="Y36" s="413"/>
      <c r="Z36" s="413"/>
      <c r="AA36" s="413"/>
      <c r="AB36" s="413"/>
      <c r="AC36" s="413"/>
      <c r="AD36" s="413"/>
    </row>
    <row r="37" spans="4:30" ht="15.75" customHeight="1" x14ac:dyDescent="0.35">
      <c r="D37" s="931" t="s">
        <v>50</v>
      </c>
      <c r="E37" s="931"/>
      <c r="F37" s="932"/>
      <c r="G37" s="935" t="s">
        <v>51</v>
      </c>
      <c r="H37" s="931"/>
      <c r="I37" s="931"/>
      <c r="J37" s="413"/>
      <c r="K37" s="15" t="s">
        <v>52</v>
      </c>
      <c r="L37"/>
      <c r="M37"/>
      <c r="N37" s="345">
        <f>IFERROR(_xlfn.XLOOKUP($K37,Ratios!$B:$B,Ratios!N:N),"")</f>
        <v>0.56771166667506556</v>
      </c>
      <c r="O37" s="345">
        <f>IFERROR(_xlfn.XLOOKUP($K37,Ratios!$B:$B,Ratios!O:O),"")</f>
        <v>0.72789154504517384</v>
      </c>
      <c r="P37" s="322">
        <f>IFERROR(_xlfn.XLOOKUP($K37,Ratios!$B:$B,Ratios!P:P),"")</f>
        <v>1.0793738534131236</v>
      </c>
      <c r="Q37" s="329">
        <f>IFERROR(_xlfn.XLOOKUP($K37,Ratios!$B:$B,Ratios!Q:Q),"")</f>
        <v>0.68400826424360395</v>
      </c>
      <c r="R37" s="329">
        <f>IFERROR(_xlfn.XLOOKUP($K37,Ratios!$B:$B,Ratios!R:R),"")</f>
        <v>1.0776455999922196</v>
      </c>
      <c r="S37" s="575"/>
      <c r="T37" s="413"/>
      <c r="U37" s="678" t="s">
        <v>53</v>
      </c>
      <c r="V37" s="648"/>
      <c r="W37" s="555">
        <v>113.63</v>
      </c>
      <c r="X37" s="413"/>
      <c r="Y37" s="413"/>
      <c r="Z37" s="413"/>
      <c r="AA37" s="413"/>
      <c r="AB37" s="413"/>
      <c r="AC37" s="413"/>
      <c r="AD37" s="413"/>
    </row>
    <row r="38" spans="4:30" ht="15.75" customHeight="1" x14ac:dyDescent="0.35">
      <c r="D38" s="933"/>
      <c r="E38" s="933"/>
      <c r="F38" s="934"/>
      <c r="G38" s="936"/>
      <c r="H38" s="933"/>
      <c r="I38" s="933"/>
      <c r="J38" s="413"/>
      <c r="K38" s="15" t="s">
        <v>54</v>
      </c>
      <c r="L38"/>
      <c r="M38"/>
      <c r="N38" s="345">
        <f>IFERROR(_xlfn.XLOOKUP($K38,Ratios!$B:$B,Ratios!N:N),"")</f>
        <v>1.4479809712906362</v>
      </c>
      <c r="O38" s="345">
        <f>IFERROR(_xlfn.XLOOKUP($K38,Ratios!$B:$B,Ratios!O:O),"")</f>
        <v>1.4503232132826855</v>
      </c>
      <c r="P38" s="322">
        <f>IFERROR(_xlfn.XLOOKUP($K38,Ratios!$B:$B,Ratios!P:P),"")</f>
        <v>1.69349980372836</v>
      </c>
      <c r="Q38" s="329">
        <f>IFERROR(_xlfn.XLOOKUP($K38,Ratios!$B:$B,Ratios!Q:Q),"")</f>
        <v>1.4587888886970877</v>
      </c>
      <c r="R38" s="329">
        <f>IFERROR(_xlfn.XLOOKUP($K38,Ratios!$B:$B,Ratios!R:R),"")</f>
        <v>1.4587888886970877</v>
      </c>
      <c r="S38" s="575"/>
      <c r="T38" s="413"/>
      <c r="U38" s="19" t="s">
        <v>55</v>
      </c>
      <c r="V38" s="14">
        <v>0.53900000000000003</v>
      </c>
      <c r="W38" s="555"/>
      <c r="X38" s="413" t="s">
        <v>56</v>
      </c>
      <c r="Y38" s="413"/>
      <c r="Z38" s="413"/>
      <c r="AA38" s="413"/>
      <c r="AB38" s="413"/>
      <c r="AC38" s="413"/>
      <c r="AD38" s="413"/>
    </row>
    <row r="39" spans="4:30" ht="15.75" customHeight="1" x14ac:dyDescent="0.3">
      <c r="D39" s="933"/>
      <c r="E39" s="933"/>
      <c r="F39" s="934"/>
      <c r="G39" s="936"/>
      <c r="H39" s="933"/>
      <c r="I39" s="933"/>
      <c r="J39" s="413"/>
      <c r="K39"/>
      <c r="L39"/>
      <c r="M39"/>
      <c r="N39"/>
      <c r="O39"/>
      <c r="P39"/>
      <c r="Q39"/>
      <c r="R39"/>
      <c r="S39" s="576"/>
      <c r="T39" s="413"/>
      <c r="U39" s="19" t="s">
        <v>57</v>
      </c>
      <c r="V39" s="14">
        <v>0.20100000000000001</v>
      </c>
      <c r="W39" s="555"/>
      <c r="X39" s="413"/>
      <c r="Y39" s="413"/>
      <c r="Z39" s="413"/>
      <c r="AA39" s="413"/>
      <c r="AB39" s="413"/>
      <c r="AC39" s="413"/>
      <c r="AD39" s="413"/>
    </row>
    <row r="40" spans="4:30" ht="14.25" customHeight="1" x14ac:dyDescent="0.35">
      <c r="D40" s="550" t="s">
        <v>58</v>
      </c>
      <c r="E40" s="550"/>
      <c r="F40" s="551"/>
      <c r="G40" s="550" t="s">
        <v>59</v>
      </c>
      <c r="H40" s="550"/>
      <c r="I40" s="550"/>
      <c r="J40" s="413"/>
      <c r="K40" s="7" t="s">
        <v>60</v>
      </c>
      <c r="L40" s="4"/>
      <c r="M40" s="4"/>
      <c r="N40" s="4">
        <v>2022</v>
      </c>
      <c r="O40" s="4">
        <f>+N40+1</f>
        <v>2023</v>
      </c>
      <c r="P40" s="321">
        <f>+O40+1</f>
        <v>2024</v>
      </c>
      <c r="Q40" s="5">
        <f>+P40+1</f>
        <v>2025</v>
      </c>
      <c r="R40" s="5">
        <f>+Q40+1</f>
        <v>2026</v>
      </c>
      <c r="S40" s="574"/>
      <c r="T40" s="413"/>
      <c r="U40" s="19" t="s">
        <v>61</v>
      </c>
      <c r="V40" s="14">
        <v>7.3999999999999996E-2</v>
      </c>
      <c r="W40" s="555"/>
      <c r="X40" s="413"/>
      <c r="Y40" s="413"/>
      <c r="Z40" s="413"/>
      <c r="AA40" s="413"/>
      <c r="AB40" s="413"/>
      <c r="AC40" s="413"/>
      <c r="AD40" s="413"/>
    </row>
    <row r="41" spans="4:30" ht="14.25" customHeight="1" x14ac:dyDescent="0.35">
      <c r="D41" s="931" t="s">
        <v>62</v>
      </c>
      <c r="E41" s="931"/>
      <c r="F41" s="932"/>
      <c r="G41" s="935" t="s">
        <v>63</v>
      </c>
      <c r="H41" s="931"/>
      <c r="I41" s="931"/>
      <c r="J41" s="413"/>
      <c r="K41" s="16" t="s">
        <v>64</v>
      </c>
      <c r="L41"/>
      <c r="M41"/>
      <c r="N41" s="928">
        <f>IFERROR(_xlfn.XLOOKUP($K41,Ratios!$B:$B,Ratios!N:N),"")</f>
        <v>221.74086243277023</v>
      </c>
      <c r="O41" s="928">
        <f>IFERROR(_xlfn.XLOOKUP($K41,Ratios!$B:$B,Ratios!O:O),"")</f>
        <v>200.73201198585315</v>
      </c>
      <c r="P41" s="929">
        <f>IFERROR(_xlfn.XLOOKUP($K41,Ratios!$B:$B,Ratios!P:P),"")</f>
        <v>200.64301988130381</v>
      </c>
      <c r="Q41" s="930">
        <f>IFERROR(_xlfn.XLOOKUP($K41,Ratios!$B:$B,Ratios!Q:Q),"")</f>
        <v>167.98406391126684</v>
      </c>
      <c r="R41" s="930">
        <f>IFERROR(_xlfn.XLOOKUP($K41,Ratios!$B:$B,Ratios!R:R),"")</f>
        <v>169.67067014842937</v>
      </c>
      <c r="S41" s="575"/>
      <c r="T41" s="413"/>
      <c r="U41" s="19" t="s">
        <v>65</v>
      </c>
      <c r="V41" s="14">
        <v>7.2999999999999995E-2</v>
      </c>
      <c r="W41" s="555"/>
      <c r="X41" s="413"/>
      <c r="Y41" s="413"/>
      <c r="Z41" s="413"/>
      <c r="AA41" s="413"/>
      <c r="AB41" s="413"/>
      <c r="AC41" s="413"/>
      <c r="AD41" s="413"/>
    </row>
    <row r="42" spans="4:30" ht="15.75" customHeight="1" x14ac:dyDescent="0.35">
      <c r="D42" s="933"/>
      <c r="E42" s="933"/>
      <c r="F42" s="934"/>
      <c r="G42" s="936"/>
      <c r="H42" s="933"/>
      <c r="I42" s="933"/>
      <c r="J42" s="413"/>
      <c r="K42" s="15" t="s">
        <v>66</v>
      </c>
      <c r="L42"/>
      <c r="M42"/>
      <c r="N42" s="873">
        <f>IFERROR(_xlfn.XLOOKUP($K42,Ratios!$B:$B,Ratios!N:N),"")</f>
        <v>0.15166604648015952</v>
      </c>
      <c r="O42" s="873">
        <f>IFERROR(_xlfn.XLOOKUP($K42,Ratios!$B:$B,Ratios!O:O),"")</f>
        <v>-2.1358515263428535</v>
      </c>
      <c r="P42" s="874">
        <f>IFERROR(_xlfn.XLOOKUP($K42,Ratios!$B:$B,Ratios!P:P),"")</f>
        <v>0.66442362875429151</v>
      </c>
      <c r="Q42" s="875">
        <f>IFERROR(_xlfn.XLOOKUP($K42,Ratios!$B:$B,Ratios!Q:Q),"")</f>
        <v>1.6033417149580913</v>
      </c>
      <c r="R42" s="875">
        <f>IFERROR(_xlfn.XLOOKUP($K42,Ratios!$B:$B,Ratios!R:R),"")</f>
        <v>1.0881716918148308</v>
      </c>
      <c r="S42" s="575"/>
      <c r="T42" s="413"/>
      <c r="U42" s="19" t="s">
        <v>67</v>
      </c>
      <c r="V42" s="14">
        <v>0.06</v>
      </c>
      <c r="W42" s="555"/>
      <c r="X42" s="658"/>
      <c r="Y42" s="413"/>
      <c r="Z42" s="413"/>
      <c r="AA42" s="413"/>
      <c r="AB42" s="413"/>
      <c r="AC42" s="413"/>
      <c r="AD42" s="413"/>
    </row>
    <row r="43" spans="4:30" ht="15.75" customHeight="1" x14ac:dyDescent="0.35">
      <c r="D43" s="933"/>
      <c r="E43" s="933"/>
      <c r="F43" s="934"/>
      <c r="G43" s="936"/>
      <c r="H43" s="933"/>
      <c r="I43" s="933"/>
      <c r="J43" s="413"/>
      <c r="K43" s="27" t="s">
        <v>68</v>
      </c>
      <c r="L43"/>
      <c r="M43"/>
      <c r="N43" s="873">
        <f>IFERROR(_xlfn.XLOOKUP($K43,Ratios!$B:$B,Ratios!N:N),"")</f>
        <v>-5.4801934981901831E-3</v>
      </c>
      <c r="O43" s="873">
        <f>IFERROR(_xlfn.XLOOKUP($K43,Ratios!$B:$B,Ratios!O:O),"")</f>
        <v>0.61013977841148148</v>
      </c>
      <c r="P43" s="874">
        <f>IFERROR(_xlfn.XLOOKUP($K43,Ratios!$B:$B,Ratios!P:P),"")</f>
        <v>0.12141938991606227</v>
      </c>
      <c r="Q43" s="875">
        <f>IFERROR(_xlfn.XLOOKUP($K43,Ratios!$B:$B,Ratios!Q:Q),"")</f>
        <v>-1.6655929098925109</v>
      </c>
      <c r="R43" s="875">
        <f>IFERROR(_xlfn.XLOOKUP($K43,Ratios!$B:$B,Ratios!R:R),"")</f>
        <v>0.45107213523200507</v>
      </c>
      <c r="S43" s="575"/>
      <c r="T43" s="413"/>
      <c r="U43" s="19" t="s">
        <v>69</v>
      </c>
      <c r="V43" s="14">
        <v>2.7E-2</v>
      </c>
      <c r="W43" s="555"/>
      <c r="X43" s="413"/>
      <c r="Y43" s="413"/>
      <c r="Z43" s="413"/>
      <c r="AA43" s="413"/>
      <c r="AB43" s="413"/>
      <c r="AC43" s="413"/>
      <c r="AD43" s="413"/>
    </row>
    <row r="44" spans="4:30" ht="15.75" customHeight="1" x14ac:dyDescent="0.3">
      <c r="D44" s="413"/>
      <c r="E44" s="659"/>
      <c r="F44" s="413"/>
      <c r="G44" s="660"/>
      <c r="H44" s="413"/>
      <c r="I44" s="413"/>
      <c r="J44" s="413"/>
      <c r="K44"/>
      <c r="L44"/>
      <c r="M44"/>
      <c r="N44"/>
      <c r="O44"/>
      <c r="P44"/>
      <c r="Q44"/>
      <c r="R44"/>
      <c r="S44" s="576"/>
      <c r="T44" s="413"/>
      <c r="U44" s="901" t="s">
        <v>70</v>
      </c>
      <c r="V44" s="902">
        <v>2.5999999999999999E-2</v>
      </c>
      <c r="W44" s="555"/>
      <c r="X44" s="413"/>
      <c r="Y44" s="413"/>
      <c r="Z44" s="413"/>
      <c r="AA44" s="413"/>
      <c r="AB44" s="413"/>
      <c r="AC44" s="413"/>
      <c r="AD44" s="413"/>
    </row>
    <row r="45" spans="4:30" ht="14.25" customHeight="1" x14ac:dyDescent="0.35">
      <c r="D45" s="552" t="s">
        <v>71</v>
      </c>
      <c r="E45" s="4"/>
      <c r="F45" s="4"/>
      <c r="G45" s="4" t="s">
        <v>72</v>
      </c>
      <c r="H45" s="4"/>
      <c r="I45" s="4"/>
      <c r="J45" s="413"/>
      <c r="K45" s="7" t="s">
        <v>73</v>
      </c>
      <c r="L45" s="4"/>
      <c r="M45" s="4"/>
      <c r="N45" s="4">
        <v>2022</v>
      </c>
      <c r="O45" s="4">
        <f>+N45+1</f>
        <v>2023</v>
      </c>
      <c r="P45" s="321">
        <f>+O45+1</f>
        <v>2024</v>
      </c>
      <c r="Q45" s="5">
        <f>+P45+1</f>
        <v>2025</v>
      </c>
      <c r="R45" s="5">
        <f>+Q45+1</f>
        <v>2026</v>
      </c>
      <c r="S45" s="574"/>
      <c r="T45" s="413"/>
      <c r="U45" s="19"/>
      <c r="V45" s="14"/>
      <c r="W45" s="555"/>
      <c r="X45" s="413"/>
      <c r="Y45" s="413"/>
      <c r="Z45" s="413"/>
      <c r="AA45" s="413"/>
      <c r="AB45" s="413"/>
      <c r="AC45" s="413"/>
      <c r="AD45" s="413"/>
    </row>
    <row r="46" spans="4:30" ht="14.25" customHeight="1" thickBot="1" x14ac:dyDescent="0.4">
      <c r="D46" s="413"/>
      <c r="E46" s="661"/>
      <c r="F46" s="413"/>
      <c r="G46" s="660"/>
      <c r="H46" s="413"/>
      <c r="I46" s="413"/>
      <c r="J46" s="413"/>
      <c r="K46" s="15" t="s">
        <v>74</v>
      </c>
      <c r="L46"/>
      <c r="M46"/>
      <c r="N46" s="345">
        <f>IFERROR(_xlfn.XLOOKUP($K46,Ratios!$B:$B,Ratios!N:N),"")</f>
        <v>0.33499182341741651</v>
      </c>
      <c r="O46" s="345">
        <f>IFERROR(_xlfn.XLOOKUP($K46,Ratios!$B:$B,Ratios!O:O),"")</f>
        <v>0.50065415914383637</v>
      </c>
      <c r="P46" s="322">
        <f>IFERROR(_xlfn.XLOOKUP($K46,Ratios!$B:$B,Ratios!P:P),"")</f>
        <v>0.29064731849931746</v>
      </c>
      <c r="Q46" s="329">
        <f>IFERROR(_xlfn.XLOOKUP($K46,Ratios!$B:$B,Ratios!Q:Q),"")</f>
        <v>-1.8844786681750697E-15</v>
      </c>
      <c r="R46" s="329">
        <f>IFERROR(_xlfn.XLOOKUP($K46,Ratios!$B:$B,Ratios!R:R),"")</f>
        <v>-2.0487953085514744E-15</v>
      </c>
      <c r="S46" s="575"/>
      <c r="T46" s="413"/>
      <c r="U46" s="654" t="s">
        <v>75</v>
      </c>
      <c r="V46" s="648"/>
      <c r="W46" s="413"/>
      <c r="X46" s="413"/>
      <c r="Y46"/>
      <c r="Z46" s="413"/>
      <c r="AA46" s="413"/>
      <c r="AB46" s="413"/>
      <c r="AC46" s="413"/>
      <c r="AD46"/>
    </row>
    <row r="47" spans="4:30" ht="15" customHeight="1" thickTop="1" x14ac:dyDescent="0.35">
      <c r="D47" s="413"/>
      <c r="E47" s="661"/>
      <c r="F47" s="413"/>
      <c r="G47" s="660"/>
      <c r="H47" s="413"/>
      <c r="I47" s="413"/>
      <c r="J47" s="413"/>
      <c r="K47" s="234" t="s">
        <v>76</v>
      </c>
      <c r="L47" s="413"/>
      <c r="M47" s="413"/>
      <c r="N47" s="345">
        <f>IFERROR(_xlfn.XLOOKUP($K47,Ratios!$B:$B,Ratios!N:N),"")</f>
        <v>0.25093174170900778</v>
      </c>
      <c r="O47" s="345">
        <f>IFERROR(_xlfn.XLOOKUP($K47,Ratios!$B:$B,Ratios!O:O),"")</f>
        <v>0.33362394399351353</v>
      </c>
      <c r="P47" s="322">
        <f>IFERROR(_xlfn.XLOOKUP($K47,Ratios!$B:$B,Ratios!P:P),"")</f>
        <v>0.2251949965985004</v>
      </c>
      <c r="Q47" s="329">
        <f>IFERROR(_xlfn.XLOOKUP($K47,Ratios!$B:$B,Ratios!Q:Q),"")</f>
        <v>-1.8844786681750733E-15</v>
      </c>
      <c r="R47" s="329">
        <f>IFERROR(_xlfn.XLOOKUP($K47,Ratios!$B:$B,Ratios!R:R),"")</f>
        <v>-2.0487953085514784E-15</v>
      </c>
      <c r="S47" s="575"/>
      <c r="T47" s="413"/>
      <c r="U47" s="41" t="s">
        <v>77</v>
      </c>
      <c r="V47" s="914">
        <f>ESG!C14</f>
        <v>70</v>
      </c>
      <c r="W47" s="553"/>
      <c r="X47" s="553"/>
      <c r="Y47" s="553"/>
      <c r="Z47" s="553"/>
      <c r="AA47" s="553"/>
      <c r="AB47" s="553"/>
      <c r="AC47" s="413"/>
      <c r="AD47"/>
    </row>
    <row r="48" spans="4:30" ht="14.25" customHeight="1" x14ac:dyDescent="0.35">
      <c r="D48" s="413"/>
      <c r="E48" s="661"/>
      <c r="F48" s="413"/>
      <c r="G48" s="660"/>
      <c r="H48" s="413"/>
      <c r="I48" s="413"/>
      <c r="J48" s="413"/>
      <c r="K48" s="16" t="s">
        <v>78</v>
      </c>
      <c r="L48"/>
      <c r="M48"/>
      <c r="N48" s="345">
        <f>IFERROR(_xlfn.XLOOKUP($K48,Ratios!$B:$B,Ratios!N:N),"")</f>
        <v>0.390684644007259</v>
      </c>
      <c r="O48" s="345">
        <f>IFERROR(_xlfn.XLOOKUP($K48,Ratios!$B:$B,Ratios!O:O),"")</f>
        <v>0.46672288104678339</v>
      </c>
      <c r="P48" s="322">
        <f>IFERROR(_xlfn.XLOOKUP($K48,Ratios!$B:$B,Ratios!P:P),"")</f>
        <v>0.38329167195082064</v>
      </c>
      <c r="Q48" s="329">
        <f>IFERROR(_xlfn.XLOOKUP($K48,Ratios!$B:$B,Ratios!Q:Q),"")</f>
        <v>95066534747287.156</v>
      </c>
      <c r="R48" s="329">
        <f>IFERROR(_xlfn.XLOOKUP($K48,Ratios!$B:$B,Ratios!R:R),"")</f>
        <v>95066534747287.156</v>
      </c>
      <c r="S48" s="575"/>
      <c r="T48" s="413"/>
      <c r="U48" s="19" t="s">
        <v>79</v>
      </c>
      <c r="V48" s="669">
        <f>ESG!C15</f>
        <v>57</v>
      </c>
      <c r="W48" s="553"/>
      <c r="X48" s="553"/>
      <c r="Y48" s="553"/>
      <c r="Z48" s="553"/>
      <c r="AA48" s="553"/>
      <c r="AB48" s="553"/>
      <c r="AC48" s="413"/>
      <c r="AD48"/>
    </row>
    <row r="49" spans="4:35" ht="14.25" customHeight="1" x14ac:dyDescent="0.35">
      <c r="D49" s="413"/>
      <c r="E49" s="413"/>
      <c r="F49" s="413"/>
      <c r="G49" s="413"/>
      <c r="H49" s="413"/>
      <c r="I49" s="413"/>
      <c r="J49" s="413"/>
      <c r="K49" s="15" t="s">
        <v>80</v>
      </c>
      <c r="L49"/>
      <c r="M49"/>
      <c r="N49" s="345">
        <f>IFERROR(_xlfn.XLOOKUP($K49,Ratios!$B:$B,Ratios!N:N),"")</f>
        <v>2.8311344941779732</v>
      </c>
      <c r="O49" s="345">
        <f>IFERROR(_xlfn.XLOOKUP($K49,Ratios!$B:$B,Ratios!O:O),"")</f>
        <v>-3.7499335041227471</v>
      </c>
      <c r="P49" s="322">
        <f>IFERROR(_xlfn.XLOOKUP($K49,Ratios!$B:$B,Ratios!P:P),"")</f>
        <v>0.89413576393224314</v>
      </c>
      <c r="Q49" s="329">
        <f>IFERROR(_xlfn.XLOOKUP($K49,Ratios!$B:$B,Ratios!Q:Q),"")</f>
        <v>1.1160193524849418</v>
      </c>
      <c r="R49" s="329">
        <f>IFERROR(_xlfn.XLOOKUP($K49,Ratios!$B:$B,Ratios!R:R),"")</f>
        <v>0.98393295779450596</v>
      </c>
      <c r="S49" s="575"/>
      <c r="T49" s="413"/>
      <c r="U49" s="19" t="s">
        <v>81</v>
      </c>
      <c r="V49" s="669">
        <f>ESG!C16</f>
        <v>66</v>
      </c>
      <c r="W49" s="553"/>
      <c r="X49" s="553"/>
      <c r="Y49" s="553"/>
      <c r="Z49" s="553"/>
      <c r="AA49" s="553"/>
      <c r="AB49" s="553"/>
      <c r="AC49" s="413"/>
      <c r="AD49"/>
      <c r="AE49" s="413"/>
      <c r="AF49" s="413"/>
      <c r="AG49" s="413"/>
      <c r="AH49" s="413"/>
      <c r="AI49" s="413"/>
    </row>
    <row r="50" spans="4:35" ht="14.25" customHeight="1" x14ac:dyDescent="0.35">
      <c r="D50" s="413"/>
      <c r="E50" s="413"/>
      <c r="F50" s="413"/>
      <c r="G50" s="413"/>
      <c r="H50" s="413"/>
      <c r="I50" s="413"/>
      <c r="J50" s="413"/>
      <c r="K50" s="15" t="s">
        <v>82</v>
      </c>
      <c r="L50" s="413"/>
      <c r="M50" s="413"/>
      <c r="N50" s="345">
        <f>IFERROR(_xlfn.XLOOKUP($K50,Ratios!$B:$B,Ratios!N:N),"")</f>
        <v>-1.7763795096938513</v>
      </c>
      <c r="O50" s="345">
        <f>IFERROR(_xlfn.XLOOKUP($K50,Ratios!$B:$B,Ratios!O:O),"")</f>
        <v>-1.8624259532219045</v>
      </c>
      <c r="P50" s="322">
        <f>IFERROR(_xlfn.XLOOKUP($K50,Ratios!$B:$B,Ratios!P:P),"")</f>
        <v>2.8909731941005505</v>
      </c>
      <c r="Q50" s="329">
        <f>IFERROR(_xlfn.XLOOKUP($K50,Ratios!$B:$B,Ratios!Q:Q),"")</f>
        <v>-2.7097052767301806</v>
      </c>
      <c r="R50" s="329">
        <f>IFERROR(_xlfn.XLOOKUP($K50,Ratios!$B:$B,Ratios!R:R),"")</f>
        <v>-2.9677342390970618</v>
      </c>
      <c r="S50" s="575"/>
      <c r="T50" s="413"/>
      <c r="U50" s="19" t="s">
        <v>83</v>
      </c>
      <c r="V50" s="669">
        <f>ESG!C17</f>
        <v>94</v>
      </c>
      <c r="W50" s="553"/>
      <c r="X50" s="553"/>
      <c r="Y50" s="553"/>
      <c r="Z50" s="553"/>
      <c r="AA50" s="553"/>
      <c r="AB50" s="553"/>
      <c r="AC50" s="413"/>
      <c r="AD50"/>
      <c r="AE50" s="413"/>
      <c r="AF50" s="413"/>
      <c r="AG50" s="413"/>
      <c r="AH50" s="413"/>
      <c r="AI50" s="413"/>
    </row>
    <row r="51" spans="4:35" ht="14.25" customHeight="1" x14ac:dyDescent="0.3">
      <c r="D51" s="413"/>
      <c r="E51" s="413"/>
      <c r="F51" s="413"/>
      <c r="G51" s="413"/>
      <c r="H51" s="413"/>
      <c r="I51" s="525"/>
      <c r="J51" s="413"/>
      <c r="K51" t="s">
        <v>84</v>
      </c>
      <c r="L51"/>
      <c r="M51"/>
      <c r="N51" s="345">
        <f>IFERROR(_xlfn.XLOOKUP($K50,Ratios!$B:$B,Ratios!N:N),"")</f>
        <v>-1.7763795096938513</v>
      </c>
      <c r="O51" s="345">
        <f>IFERROR(_xlfn.XLOOKUP($K50,Ratios!$B:$B,Ratios!O:O),"")</f>
        <v>-1.8624259532219045</v>
      </c>
      <c r="P51" s="322">
        <f>IFERROR(_xlfn.XLOOKUP($K50,Ratios!$B:$B,Ratios!P:P),"")</f>
        <v>2.8909731941005505</v>
      </c>
      <c r="Q51" s="329">
        <f>IFERROR(_xlfn.XLOOKUP($K50,Ratios!$B:$B,Ratios!Q:Q),"")</f>
        <v>-2.7097052767301806</v>
      </c>
      <c r="R51" s="329">
        <f>IFERROR(_xlfn.XLOOKUP($K50,Ratios!$B:$B,Ratios!R:R),"")</f>
        <v>-2.9677342390970618</v>
      </c>
      <c r="S51" s="575"/>
      <c r="T51" s="413"/>
      <c r="U51" s="17" t="s">
        <v>85</v>
      </c>
      <c r="V51" s="911">
        <f>ESG!C18</f>
        <v>56</v>
      </c>
      <c r="W51" s="553"/>
      <c r="X51" s="553"/>
      <c r="Y51" s="553"/>
      <c r="Z51" s="553"/>
      <c r="AA51" s="553"/>
      <c r="AB51" s="553"/>
      <c r="AC51" s="413"/>
      <c r="AD51"/>
      <c r="AE51" s="413"/>
      <c r="AF51" s="413"/>
      <c r="AG51" s="413"/>
      <c r="AH51" s="413"/>
      <c r="AI51" s="413"/>
    </row>
    <row r="52" spans="4:35" x14ac:dyDescent="0.3">
      <c r="D52" s="413"/>
      <c r="E52" s="413"/>
      <c r="F52" s="413"/>
      <c r="G52" s="413"/>
      <c r="H52" s="413"/>
      <c r="I52" s="1"/>
      <c r="J52" s="413"/>
      <c r="K52" s="413"/>
      <c r="L52" s="413"/>
      <c r="M52" s="413"/>
      <c r="N52" s="413"/>
      <c r="O52" s="413"/>
      <c r="P52" s="413"/>
      <c r="Q52" s="413"/>
      <c r="R52" s="413"/>
      <c r="S52" s="649"/>
      <c r="T52" s="413"/>
      <c r="U52" s="19" t="s">
        <v>86</v>
      </c>
      <c r="V52" s="38">
        <f>ESG!C19</f>
        <v>53</v>
      </c>
      <c r="W52" s="553"/>
      <c r="X52" s="553"/>
      <c r="Y52" s="553"/>
      <c r="Z52" s="553"/>
      <c r="AA52" s="553"/>
      <c r="AB52" s="553"/>
      <c r="AC52" s="413"/>
      <c r="AD52"/>
      <c r="AE52" s="413"/>
      <c r="AF52" s="413"/>
      <c r="AG52" s="413"/>
      <c r="AH52" s="413"/>
      <c r="AI52" s="413"/>
    </row>
    <row r="53" spans="4:35" ht="15.5" x14ac:dyDescent="0.35">
      <c r="D53" s="413"/>
      <c r="E53" s="413"/>
      <c r="F53" s="413"/>
      <c r="G53" s="413"/>
      <c r="H53" s="413"/>
      <c r="I53" s="661"/>
      <c r="J53" s="413"/>
      <c r="K53" s="7" t="s">
        <v>87</v>
      </c>
      <c r="L53" s="4"/>
      <c r="M53" s="4"/>
      <c r="N53" s="4">
        <v>2022</v>
      </c>
      <c r="O53" s="4">
        <f>+N53+1</f>
        <v>2023</v>
      </c>
      <c r="P53" s="321">
        <f>+O53+1</f>
        <v>2024</v>
      </c>
      <c r="Q53" s="5">
        <f>+P53+1</f>
        <v>2025</v>
      </c>
      <c r="R53" s="5">
        <f>+Q53+1</f>
        <v>2026</v>
      </c>
      <c r="S53" s="574"/>
      <c r="T53" s="662"/>
      <c r="U53" s="19" t="s">
        <v>88</v>
      </c>
      <c r="V53" s="38">
        <f>ESG!C20</f>
        <v>60</v>
      </c>
      <c r="W53" s="413"/>
      <c r="X53" s="413"/>
      <c r="Y53"/>
      <c r="Z53" s="413"/>
      <c r="AA53" s="413"/>
      <c r="AB53" s="413"/>
      <c r="AC53" s="413"/>
      <c r="AD53"/>
      <c r="AE53" s="413"/>
      <c r="AF53" s="413"/>
      <c r="AG53" s="413"/>
      <c r="AH53" s="413"/>
      <c r="AI53" s="413"/>
    </row>
    <row r="54" spans="4:35" ht="15.5" x14ac:dyDescent="0.35">
      <c r="D54" s="413"/>
      <c r="E54" s="413"/>
      <c r="F54" s="413"/>
      <c r="G54" s="413"/>
      <c r="H54" s="413"/>
      <c r="I54" s="663"/>
      <c r="J54" s="664"/>
      <c r="K54" s="16" t="s">
        <v>89</v>
      </c>
      <c r="L54"/>
      <c r="M54"/>
      <c r="N54" s="345">
        <f>IFERROR(_xlfn.XLOOKUP($K54,Ratios!$B:$B,Ratios!N:N),"")</f>
        <v>12.773213280810349</v>
      </c>
      <c r="O54" s="345">
        <f>IFERROR(_xlfn.XLOOKUP($K54,Ratios!$B:$B,Ratios!O:O),"")</f>
        <v>-5.2648641285840743</v>
      </c>
      <c r="P54" s="322">
        <f>IFERROR(_xlfn.XLOOKUP($K54,Ratios!$B:$B,Ratios!P:P),"")</f>
        <v>17.445286946179003</v>
      </c>
      <c r="Q54" s="329" t="str">
        <f>IFERROR(_xlfn.XLOOKUP($K54,Ratios!$B:$B,Ratios!Q:Q),"")</f>
        <v>N/A</v>
      </c>
      <c r="R54" s="329" t="str">
        <f>IFERROR(_xlfn.XLOOKUP($K54,Ratios!$B:$B,Ratios!R:R),"")</f>
        <v>N/A</v>
      </c>
      <c r="S54" s="575"/>
      <c r="T54" s="665"/>
      <c r="U54" s="19" t="s">
        <v>90</v>
      </c>
      <c r="V54" s="38">
        <f>ESG!C21</f>
        <v>56</v>
      </c>
      <c r="W54" s="413"/>
      <c r="X54" s="413"/>
      <c r="Y54"/>
      <c r="Z54" s="413"/>
      <c r="AA54" s="413"/>
      <c r="AB54" s="413"/>
      <c r="AC54" s="413"/>
      <c r="AD54"/>
      <c r="AE54" s="413"/>
      <c r="AF54" s="413"/>
      <c r="AG54" s="413"/>
      <c r="AH54" s="413"/>
      <c r="AI54" s="413"/>
    </row>
    <row r="55" spans="4:35" ht="15.5" x14ac:dyDescent="0.35">
      <c r="D55" s="413"/>
      <c r="E55" s="413"/>
      <c r="F55" s="413"/>
      <c r="G55" s="413"/>
      <c r="H55" s="413"/>
      <c r="I55" s="666"/>
      <c r="J55" s="413"/>
      <c r="K55" s="15" t="s">
        <v>91</v>
      </c>
      <c r="L55" s="413"/>
      <c r="M55" s="413"/>
      <c r="N55" s="345">
        <f>IFERROR(_xlfn.XLOOKUP($K55,Ratios!$B:$B,Ratios!N:N),"")</f>
        <v>14.047645845057207</v>
      </c>
      <c r="O55" s="345">
        <f>IFERROR(_xlfn.XLOOKUP($K55,Ratios!$B:$B,Ratios!O:O),"")</f>
        <v>-4.8650139617244408</v>
      </c>
      <c r="P55" s="322">
        <f>IFERROR(_xlfn.XLOOKUP($K55,Ratios!$B:$B,Ratios!P:P),"")</f>
        <v>17.861284567350577</v>
      </c>
      <c r="Q55" s="329" t="str">
        <f>IFERROR(_xlfn.XLOOKUP($K55,Ratios!$B:$B,Ratios!Q:Q),"")</f>
        <v>N/A</v>
      </c>
      <c r="R55" s="329" t="str">
        <f>IFERROR(_xlfn.XLOOKUP($K55,Ratios!$B:$B,Ratios!R:R),"")</f>
        <v>N/A</v>
      </c>
      <c r="S55" s="575"/>
      <c r="T55" s="413"/>
      <c r="U55" s="17" t="s">
        <v>92</v>
      </c>
      <c r="V55" s="912">
        <f>ESG!C22</f>
        <v>17.3</v>
      </c>
      <c r="W55" s="413"/>
      <c r="X55" s="413"/>
      <c r="Y55"/>
      <c r="Z55" s="413"/>
      <c r="AA55" s="413"/>
      <c r="AB55" s="413"/>
      <c r="AC55" s="413"/>
      <c r="AD55"/>
      <c r="AE55" s="413"/>
      <c r="AF55" s="413"/>
      <c r="AG55" s="413"/>
      <c r="AH55" s="413"/>
      <c r="AI55" s="134"/>
    </row>
    <row r="56" spans="4:35" ht="15" customHeight="1" x14ac:dyDescent="0.35">
      <c r="D56" s="413"/>
      <c r="E56" s="413"/>
      <c r="F56" s="413"/>
      <c r="G56" s="413"/>
      <c r="H56" s="413"/>
      <c r="I56" s="666"/>
      <c r="J56" s="413"/>
      <c r="K56" s="15" t="s">
        <v>93</v>
      </c>
      <c r="L56"/>
      <c r="M56"/>
      <c r="N56" s="345">
        <f>IFERROR(_xlfn.XLOOKUP($K56,Ratios!$B:$B,Ratios!N:N),"")</f>
        <v>50.483961733258297</v>
      </c>
      <c r="O56" s="345">
        <f>IFERROR(_xlfn.XLOOKUP($K56,Ratios!$B:$B,Ratios!O:O),"")</f>
        <v>6.5517945923859872E-2</v>
      </c>
      <c r="P56" s="322">
        <f>IFERROR(_xlfn.XLOOKUP($K56,Ratios!$B:$B,Ratios!P:P),"")</f>
        <v>30.198334820101095</v>
      </c>
      <c r="Q56" s="329" t="str">
        <f>IFERROR(_xlfn.XLOOKUP($K56,Ratios!$B:$B,Ratios!Q:Q),"")</f>
        <v>N/A</v>
      </c>
      <c r="R56" s="329" t="str">
        <f>IFERROR(_xlfn.XLOOKUP($K56,Ratios!$B:$B,Ratios!R:R),"")</f>
        <v>N/A</v>
      </c>
      <c r="S56" s="575"/>
      <c r="T56" s="413"/>
      <c r="U56" s="17" t="s">
        <v>94</v>
      </c>
      <c r="V56" s="918" t="str">
        <f>ESG!C23</f>
        <v>C+</v>
      </c>
      <c r="W56" s="413"/>
      <c r="X56" s="413"/>
      <c r="Y56" s="413"/>
      <c r="Z56" s="413"/>
      <c r="AA56" s="413"/>
      <c r="AB56" s="413"/>
      <c r="AC56" s="413"/>
      <c r="AD56" s="413"/>
      <c r="AE56" s="413"/>
      <c r="AF56" s="413"/>
      <c r="AG56" s="413"/>
      <c r="AH56" s="413"/>
      <c r="AI56" s="667"/>
    </row>
    <row r="57" spans="4:35" ht="14.25" customHeight="1" x14ac:dyDescent="0.3">
      <c r="D57" s="413"/>
      <c r="E57" s="413"/>
      <c r="F57" s="413"/>
      <c r="G57" s="413"/>
      <c r="H57" s="413"/>
      <c r="I57" s="666"/>
      <c r="J57" s="413"/>
      <c r="K57" s="413"/>
      <c r="L57" s="413"/>
      <c r="M57" s="413"/>
      <c r="N57" s="413"/>
      <c r="O57" s="413"/>
      <c r="P57" s="413"/>
      <c r="Q57" s="413"/>
      <c r="R57" s="413"/>
      <c r="S57" s="649"/>
      <c r="T57" s="413"/>
      <c r="U57" s="19" t="s">
        <v>95</v>
      </c>
      <c r="V57" s="38">
        <f>ESG!C24</f>
        <v>3.7</v>
      </c>
      <c r="W57" s="413"/>
      <c r="X57" s="413"/>
      <c r="Y57" s="413"/>
      <c r="Z57" s="413"/>
      <c r="AA57" s="413"/>
      <c r="AB57" s="413"/>
      <c r="AC57" s="413"/>
      <c r="AD57" s="413"/>
      <c r="AE57" s="413"/>
      <c r="AF57" s="413"/>
      <c r="AG57" s="413"/>
      <c r="AH57" s="413"/>
      <c r="AI57" s="413"/>
    </row>
    <row r="58" spans="4:35" ht="14.25" customHeight="1" x14ac:dyDescent="0.3">
      <c r="D58" s="552" t="s">
        <v>96</v>
      </c>
      <c r="E58" s="4"/>
      <c r="F58" s="4"/>
      <c r="G58" s="4"/>
      <c r="H58" s="4"/>
      <c r="I58" s="4"/>
      <c r="J58" s="413"/>
      <c r="K58" s="552" t="s">
        <v>97</v>
      </c>
      <c r="L58" s="4"/>
      <c r="M58" s="4"/>
      <c r="N58" s="4"/>
      <c r="O58" s="4"/>
      <c r="P58" s="4"/>
      <c r="Q58" s="4"/>
      <c r="R58" s="4"/>
      <c r="S58" s="577"/>
      <c r="T58" s="413"/>
      <c r="U58" s="19" t="s">
        <v>98</v>
      </c>
      <c r="V58" s="37">
        <f>ESG!C25</f>
        <v>1</v>
      </c>
      <c r="W58" s="413"/>
      <c r="X58" s="413"/>
      <c r="Y58" s="413"/>
      <c r="Z58" s="413"/>
      <c r="AA58" s="413"/>
      <c r="AB58" s="413"/>
      <c r="AC58" s="413"/>
      <c r="AD58" s="413"/>
      <c r="AE58" s="413"/>
      <c r="AF58" s="413"/>
      <c r="AG58" s="413"/>
      <c r="AH58" s="413"/>
      <c r="AI58" s="413"/>
    </row>
    <row r="59" spans="4:35" ht="14.25" customHeight="1" x14ac:dyDescent="0.3">
      <c r="D59" s="413"/>
      <c r="E59" s="413"/>
      <c r="F59" s="413"/>
      <c r="G59" s="413"/>
      <c r="H59" s="413"/>
      <c r="I59" s="666"/>
      <c r="J59" s="413"/>
      <c r="K59" s="413"/>
      <c r="L59" s="413"/>
      <c r="M59" s="413"/>
      <c r="N59" s="413"/>
      <c r="O59" s="413"/>
      <c r="P59" s="413"/>
      <c r="Q59" s="413"/>
      <c r="R59" s="413"/>
      <c r="S59" s="649"/>
      <c r="T59" s="413"/>
      <c r="U59" s="17" t="s">
        <v>99</v>
      </c>
      <c r="V59" s="913" t="str">
        <f>ESG!C26</f>
        <v>A</v>
      </c>
      <c r="W59" s="413"/>
      <c r="X59" s="413"/>
      <c r="Y59" s="413"/>
      <c r="Z59" s="413"/>
      <c r="AA59" s="413"/>
      <c r="AB59" s="413"/>
      <c r="AC59" s="413"/>
      <c r="AD59" s="413"/>
      <c r="AE59" s="413"/>
      <c r="AF59" s="413"/>
      <c r="AG59" s="413"/>
      <c r="AH59" s="413"/>
      <c r="AI59" s="413"/>
    </row>
    <row r="60" spans="4:35" ht="14.25" customHeight="1" x14ac:dyDescent="0.3">
      <c r="D60" s="413"/>
      <c r="E60" s="413"/>
      <c r="F60" s="413"/>
      <c r="G60" s="413"/>
      <c r="H60" s="413"/>
      <c r="I60" s="666"/>
      <c r="J60" s="413"/>
      <c r="K60" s="413"/>
      <c r="L60" s="413"/>
      <c r="M60" s="413"/>
      <c r="N60" s="413"/>
      <c r="O60" s="413"/>
      <c r="P60" s="413"/>
      <c r="Q60" s="413"/>
      <c r="R60" s="413"/>
      <c r="S60" s="649"/>
      <c r="T60" s="413"/>
      <c r="U60" s="413"/>
      <c r="V60" s="413"/>
      <c r="W60" s="413"/>
      <c r="X60" s="413"/>
      <c r="Y60" s="413"/>
      <c r="Z60" s="413"/>
      <c r="AA60" s="413"/>
      <c r="AB60" s="413"/>
      <c r="AC60" s="413"/>
      <c r="AD60" s="413"/>
      <c r="AE60" s="413"/>
      <c r="AF60" s="413"/>
      <c r="AG60" s="413"/>
      <c r="AH60" s="413"/>
      <c r="AI60" s="413"/>
    </row>
    <row r="61" spans="4:35" ht="14.25" customHeight="1" x14ac:dyDescent="0.3">
      <c r="D61" s="413"/>
      <c r="E61" s="413"/>
      <c r="F61" s="413"/>
      <c r="G61" s="413"/>
      <c r="H61" s="413"/>
      <c r="I61" s="666"/>
      <c r="J61" s="413"/>
      <c r="K61" s="413"/>
      <c r="L61" s="413"/>
      <c r="M61" s="413"/>
      <c r="N61" s="413"/>
      <c r="O61" s="413"/>
      <c r="P61" s="413"/>
      <c r="Q61" s="413"/>
      <c r="R61" s="413"/>
      <c r="S61" s="649"/>
      <c r="T61" s="413"/>
      <c r="U61" s="413"/>
      <c r="V61" s="413"/>
      <c r="W61" s="413"/>
      <c r="X61" s="413"/>
      <c r="Y61" s="413"/>
      <c r="Z61" s="413"/>
      <c r="AA61" s="413"/>
      <c r="AB61" s="413"/>
      <c r="AC61" s="413"/>
      <c r="AD61" s="413"/>
      <c r="AE61" s="413"/>
      <c r="AF61" s="413"/>
      <c r="AG61" s="413"/>
      <c r="AH61" s="413"/>
      <c r="AI61" s="413"/>
    </row>
    <row r="62" spans="4:35" ht="14.25" customHeight="1" x14ac:dyDescent="0.3">
      <c r="D62" s="413"/>
      <c r="E62" s="413"/>
      <c r="F62" s="413"/>
      <c r="G62" s="413"/>
      <c r="H62" s="413"/>
      <c r="I62" s="666"/>
      <c r="J62" s="413"/>
      <c r="K62" s="413"/>
      <c r="L62" s="413"/>
      <c r="M62" s="413"/>
      <c r="N62" s="413"/>
      <c r="O62" s="413"/>
      <c r="P62" s="413"/>
      <c r="Q62" s="413"/>
      <c r="R62" s="413"/>
      <c r="S62" s="649"/>
      <c r="T62" s="413"/>
      <c r="U62" s="413"/>
      <c r="V62" s="413"/>
      <c r="W62" s="413"/>
      <c r="X62" s="413"/>
      <c r="Y62" s="413"/>
      <c r="Z62" s="413"/>
      <c r="AA62" s="413"/>
      <c r="AB62" s="413"/>
      <c r="AC62" s="413"/>
      <c r="AD62" s="413"/>
      <c r="AE62" s="413"/>
      <c r="AF62" s="413"/>
      <c r="AG62" s="413"/>
      <c r="AH62" s="413"/>
      <c r="AI62" s="413"/>
    </row>
    <row r="63" spans="4:35" x14ac:dyDescent="0.3">
      <c r="D63" s="413"/>
      <c r="E63" s="413"/>
      <c r="F63" s="413"/>
      <c r="G63" s="413"/>
      <c r="H63" s="413"/>
      <c r="I63" s="413"/>
      <c r="J63" s="413"/>
      <c r="K63" s="413"/>
      <c r="L63" s="413"/>
      <c r="M63" s="413"/>
      <c r="N63" s="413"/>
      <c r="O63" s="413"/>
      <c r="P63" s="413"/>
      <c r="Q63" s="413"/>
      <c r="R63" s="413"/>
      <c r="S63" s="649"/>
      <c r="T63" s="413"/>
      <c r="U63" s="413"/>
      <c r="V63" s="413"/>
      <c r="W63" s="413"/>
      <c r="X63" s="413"/>
      <c r="Y63" s="413"/>
      <c r="Z63" s="413"/>
      <c r="AA63" s="413"/>
      <c r="AB63" s="413"/>
      <c r="AC63" s="413"/>
      <c r="AD63" s="413"/>
      <c r="AE63" s="413"/>
      <c r="AF63" s="413"/>
      <c r="AG63" s="413"/>
      <c r="AH63" s="413"/>
      <c r="AI63" s="413"/>
    </row>
    <row r="64" spans="4:35" x14ac:dyDescent="0.3">
      <c r="D64" s="413"/>
      <c r="E64" s="413"/>
      <c r="F64" s="413"/>
      <c r="G64" s="413"/>
      <c r="H64" s="413"/>
      <c r="I64" s="413"/>
      <c r="J64" s="413"/>
      <c r="K64" s="413"/>
      <c r="L64" s="413"/>
      <c r="M64" s="413"/>
      <c r="N64" s="413"/>
      <c r="O64" s="413"/>
      <c r="P64" s="413"/>
      <c r="Q64" s="413"/>
      <c r="R64" s="413"/>
      <c r="S64" s="649"/>
      <c r="T64" s="413"/>
      <c r="U64" s="413"/>
      <c r="V64" s="413"/>
      <c r="W64" s="413"/>
      <c r="X64" s="413"/>
      <c r="Y64" s="413"/>
      <c r="Z64" s="413"/>
      <c r="AA64" s="413"/>
      <c r="AB64" s="413"/>
      <c r="AC64" s="413"/>
      <c r="AD64" s="413"/>
      <c r="AE64" s="413"/>
      <c r="AF64" s="413"/>
      <c r="AG64" s="413"/>
      <c r="AH64" s="413"/>
      <c r="AI64" s="413"/>
    </row>
    <row r="65" spans="4:22" x14ac:dyDescent="0.3">
      <c r="D65" s="413"/>
      <c r="E65" s="413"/>
      <c r="F65" s="413"/>
      <c r="G65" s="413"/>
      <c r="H65" s="413"/>
      <c r="I65" s="413"/>
      <c r="J65" s="413"/>
      <c r="K65" s="413"/>
      <c r="L65" s="413"/>
      <c r="M65" s="413"/>
      <c r="N65" s="413"/>
      <c r="O65" s="413"/>
      <c r="P65" s="413"/>
      <c r="Q65" s="413"/>
      <c r="R65" s="413"/>
      <c r="S65" s="649"/>
      <c r="T65" s="413"/>
      <c r="U65" s="413"/>
      <c r="V65" s="413"/>
    </row>
    <row r="66" spans="4:22" x14ac:dyDescent="0.3">
      <c r="D66" s="413"/>
      <c r="E66" s="413"/>
      <c r="F66" s="413"/>
      <c r="G66" s="413"/>
      <c r="H66" s="413"/>
      <c r="I66" s="413"/>
      <c r="J66" s="413"/>
      <c r="K66" s="413"/>
      <c r="L66" s="413"/>
      <c r="M66" s="413"/>
      <c r="N66" s="413"/>
      <c r="O66" s="413"/>
      <c r="P66" s="413"/>
      <c r="Q66" s="413"/>
      <c r="R66" s="413"/>
      <c r="S66" s="649"/>
      <c r="T66" s="413"/>
      <c r="U66" s="413"/>
      <c r="V66" s="413"/>
    </row>
    <row r="67" spans="4:22" x14ac:dyDescent="0.3">
      <c r="D67" s="413"/>
      <c r="E67" s="413"/>
      <c r="F67" s="413"/>
      <c r="G67" s="413"/>
      <c r="H67" s="413"/>
      <c r="I67" s="413"/>
      <c r="J67" s="413"/>
      <c r="K67" s="413"/>
      <c r="L67" s="413"/>
      <c r="M67" s="413"/>
      <c r="N67" s="413"/>
      <c r="O67" s="413"/>
      <c r="P67" s="413"/>
      <c r="Q67" s="413"/>
      <c r="R67" s="413"/>
      <c r="S67" s="649"/>
      <c r="T67" s="413"/>
      <c r="U67" s="413"/>
      <c r="V67" s="413"/>
    </row>
    <row r="68" spans="4:22" x14ac:dyDescent="0.3">
      <c r="D68" s="413"/>
      <c r="E68" s="413"/>
      <c r="F68" s="413"/>
      <c r="G68" s="413"/>
      <c r="H68" s="413"/>
      <c r="I68" s="413"/>
      <c r="J68" s="413"/>
      <c r="K68" s="413"/>
      <c r="L68" s="413"/>
      <c r="M68" s="413"/>
      <c r="N68" s="413"/>
      <c r="O68" s="413"/>
      <c r="P68" s="413"/>
      <c r="Q68" s="413"/>
      <c r="R68" s="413"/>
      <c r="S68" s="649"/>
      <c r="T68" s="413"/>
      <c r="U68" s="413"/>
      <c r="V68" s="413"/>
    </row>
    <row r="69" spans="4:22" x14ac:dyDescent="0.3">
      <c r="D69" s="413"/>
      <c r="E69" s="413"/>
      <c r="F69" s="413"/>
      <c r="G69" s="413"/>
      <c r="H69" s="413"/>
      <c r="I69" s="413"/>
      <c r="J69" s="413"/>
      <c r="K69" s="413"/>
      <c r="L69" s="413"/>
      <c r="M69" s="413"/>
      <c r="N69" s="413"/>
      <c r="O69" s="413"/>
      <c r="P69" s="413"/>
      <c r="Q69" s="413"/>
      <c r="R69" s="413"/>
      <c r="S69" s="649"/>
      <c r="T69" s="413"/>
      <c r="U69" s="413"/>
      <c r="V69" s="413"/>
    </row>
    <row r="70" spans="4:22" x14ac:dyDescent="0.3">
      <c r="D70" s="413"/>
      <c r="E70" s="413"/>
      <c r="F70" s="413"/>
      <c r="G70" s="413"/>
      <c r="H70" s="413"/>
      <c r="I70" s="413"/>
      <c r="J70" s="413"/>
      <c r="K70" s="413"/>
      <c r="L70" s="413"/>
      <c r="M70" s="413"/>
      <c r="N70" s="413"/>
      <c r="O70" s="413"/>
      <c r="P70" s="413"/>
      <c r="Q70" s="413"/>
      <c r="R70" s="413"/>
      <c r="S70" s="649"/>
      <c r="T70" s="413"/>
      <c r="U70" s="413"/>
      <c r="V70" s="413"/>
    </row>
    <row r="71" spans="4:22" x14ac:dyDescent="0.3">
      <c r="D71" s="413"/>
      <c r="E71" s="413"/>
      <c r="F71" s="413"/>
      <c r="G71" s="413"/>
      <c r="H71" s="413"/>
      <c r="I71" s="413"/>
      <c r="J71" s="413"/>
      <c r="K71" s="413"/>
      <c r="L71" s="413"/>
      <c r="M71" s="413"/>
      <c r="N71" s="413"/>
      <c r="O71" s="413"/>
      <c r="P71" s="413"/>
      <c r="Q71" s="413"/>
      <c r="R71" s="413"/>
      <c r="S71" s="649"/>
      <c r="T71" s="413"/>
      <c r="U71" s="413"/>
      <c r="V71" s="413"/>
    </row>
    <row r="72" spans="4:22" x14ac:dyDescent="0.3">
      <c r="D72" s="413"/>
      <c r="E72" s="413"/>
      <c r="F72" s="413"/>
      <c r="G72" s="413"/>
      <c r="H72" s="413"/>
      <c r="I72" s="413"/>
      <c r="J72" s="413"/>
      <c r="K72" s="413"/>
      <c r="L72" s="413"/>
      <c r="M72" s="413"/>
      <c r="N72" s="413"/>
      <c r="O72" s="413"/>
      <c r="P72" s="413"/>
      <c r="Q72" s="413"/>
      <c r="R72" s="413"/>
      <c r="S72" s="649"/>
      <c r="T72" s="413"/>
      <c r="U72" s="413"/>
      <c r="V72" s="413"/>
    </row>
    <row r="73" spans="4:22" x14ac:dyDescent="0.3">
      <c r="D73" s="413"/>
      <c r="E73" s="413"/>
      <c r="F73" s="413"/>
      <c r="G73" s="413"/>
      <c r="H73" s="413"/>
      <c r="I73" s="413"/>
      <c r="J73" s="413"/>
      <c r="K73" s="413"/>
      <c r="L73" s="413"/>
      <c r="M73" s="413"/>
      <c r="N73" s="413"/>
      <c r="O73" s="413"/>
      <c r="P73" s="413"/>
      <c r="Q73" s="413"/>
      <c r="R73" s="413"/>
      <c r="S73" s="649"/>
      <c r="T73" s="413"/>
      <c r="U73" s="413"/>
      <c r="V73" s="413"/>
    </row>
    <row r="80" spans="4:22" ht="14.25" customHeight="1" x14ac:dyDescent="0.35">
      <c r="D80" s="680" t="s">
        <v>100</v>
      </c>
      <c r="E80" s="58"/>
      <c r="F80" s="57"/>
      <c r="G80" s="57"/>
      <c r="H80" s="57"/>
      <c r="I80" s="57"/>
      <c r="J80" s="57"/>
      <c r="K80" s="57"/>
      <c r="L80" s="57"/>
      <c r="M80" s="57"/>
      <c r="N80" s="57"/>
      <c r="O80" s="57"/>
      <c r="P80" s="57"/>
      <c r="Q80" s="57"/>
      <c r="R80" s="57"/>
      <c r="S80" s="649"/>
      <c r="T80" s="413"/>
      <c r="U80" s="413"/>
      <c r="V80" s="413"/>
    </row>
    <row r="81" spans="4:18" ht="4.1500000000000004" customHeight="1" x14ac:dyDescent="0.35">
      <c r="D81" s="59"/>
      <c r="E81" s="59"/>
      <c r="F81" s="59"/>
      <c r="G81" s="59"/>
      <c r="H81" s="59"/>
      <c r="I81" s="59"/>
      <c r="J81" s="59"/>
      <c r="K81" s="59"/>
      <c r="L81" s="59"/>
      <c r="M81" s="59"/>
      <c r="N81" s="59"/>
      <c r="O81" s="59"/>
      <c r="P81" s="59"/>
      <c r="Q81" s="59"/>
      <c r="R81" s="59"/>
    </row>
    <row r="82" spans="4:18" x14ac:dyDescent="0.3">
      <c r="D82" s="939"/>
      <c r="E82" s="939"/>
      <c r="F82" s="939"/>
      <c r="G82" s="939"/>
      <c r="H82" s="939"/>
      <c r="I82" s="939"/>
      <c r="J82" s="939"/>
      <c r="K82" s="939"/>
      <c r="L82" s="939"/>
      <c r="M82" s="939"/>
      <c r="N82" s="939"/>
      <c r="O82" s="939"/>
      <c r="P82" s="939"/>
      <c r="Q82" s="939"/>
      <c r="R82" s="939"/>
    </row>
    <row r="83" spans="4:18" x14ac:dyDescent="0.3">
      <c r="D83" s="939"/>
      <c r="E83" s="939"/>
      <c r="F83" s="939"/>
      <c r="G83" s="939"/>
      <c r="H83" s="939"/>
      <c r="I83" s="939"/>
      <c r="J83" s="939"/>
      <c r="K83" s="939"/>
      <c r="L83" s="939"/>
      <c r="M83" s="939"/>
      <c r="N83" s="939"/>
      <c r="O83" s="939"/>
      <c r="P83" s="939"/>
      <c r="Q83" s="939"/>
      <c r="R83" s="939"/>
    </row>
    <row r="84" spans="4:18" x14ac:dyDescent="0.3">
      <c r="D84" s="939"/>
      <c r="E84" s="939"/>
      <c r="F84" s="939"/>
      <c r="G84" s="939"/>
      <c r="H84" s="939"/>
      <c r="I84" s="939"/>
      <c r="J84" s="939"/>
      <c r="K84" s="939"/>
      <c r="L84" s="939"/>
      <c r="M84" s="939"/>
      <c r="N84" s="939"/>
      <c r="O84" s="939"/>
      <c r="P84" s="939"/>
      <c r="Q84" s="939"/>
      <c r="R84" s="939"/>
    </row>
    <row r="85" spans="4:18" x14ac:dyDescent="0.3">
      <c r="D85" s="939"/>
      <c r="E85" s="939"/>
      <c r="F85" s="939"/>
      <c r="G85" s="939"/>
      <c r="H85" s="939"/>
      <c r="I85" s="939"/>
      <c r="J85" s="939"/>
      <c r="K85" s="939"/>
      <c r="L85" s="939"/>
      <c r="M85" s="939"/>
      <c r="N85" s="939"/>
      <c r="O85" s="939"/>
      <c r="P85" s="939"/>
      <c r="Q85" s="939"/>
      <c r="R85" s="939"/>
    </row>
    <row r="86" spans="4:18" x14ac:dyDescent="0.3">
      <c r="D86" s="939"/>
      <c r="E86" s="939"/>
      <c r="F86" s="939"/>
      <c r="G86" s="939"/>
      <c r="H86" s="939"/>
      <c r="I86" s="939"/>
      <c r="J86" s="939"/>
      <c r="K86" s="939"/>
      <c r="L86" s="939"/>
      <c r="M86" s="939"/>
      <c r="N86" s="939"/>
      <c r="O86" s="939"/>
      <c r="P86" s="939"/>
      <c r="Q86" s="939"/>
      <c r="R86" s="939"/>
    </row>
    <row r="87" spans="4:18" x14ac:dyDescent="0.3">
      <c r="D87" s="940"/>
      <c r="E87" s="940"/>
      <c r="F87" s="940"/>
      <c r="G87" s="940"/>
      <c r="H87" s="940"/>
      <c r="I87" s="940"/>
      <c r="J87" s="940"/>
      <c r="K87" s="940"/>
      <c r="L87" s="940"/>
      <c r="M87" s="940"/>
      <c r="N87" s="940"/>
      <c r="O87" s="940"/>
      <c r="P87" s="940"/>
      <c r="Q87" s="940"/>
      <c r="R87" s="940"/>
    </row>
    <row r="88" spans="4:18" x14ac:dyDescent="0.3">
      <c r="D88" s="940"/>
      <c r="E88" s="940"/>
      <c r="F88" s="940"/>
      <c r="G88" s="940"/>
      <c r="H88" s="940"/>
      <c r="I88" s="940"/>
      <c r="J88" s="940"/>
      <c r="K88" s="940"/>
      <c r="L88" s="940"/>
      <c r="M88" s="940"/>
      <c r="N88" s="940"/>
      <c r="O88" s="940"/>
      <c r="P88" s="940"/>
      <c r="Q88" s="940"/>
      <c r="R88" s="940"/>
    </row>
    <row r="1048576" spans="4:18" x14ac:dyDescent="0.3">
      <c r="D1048576" s="689"/>
      <c r="E1048576" s="689"/>
      <c r="F1048576" s="689"/>
      <c r="G1048576" s="689"/>
      <c r="H1048576" s="689"/>
      <c r="I1048576" s="689"/>
      <c r="J1048576" s="689"/>
      <c r="K1048576" s="689"/>
      <c r="L1048576" s="689"/>
      <c r="M1048576" s="689"/>
      <c r="N1048576" s="689"/>
      <c r="O1048576" s="689"/>
      <c r="P1048576" s="689"/>
      <c r="Q1048576" s="689"/>
      <c r="R1048576" s="689"/>
    </row>
  </sheetData>
  <dataConsolidate/>
  <mergeCells count="13">
    <mergeCell ref="D86:R86"/>
    <mergeCell ref="D87:R87"/>
    <mergeCell ref="D88:R88"/>
    <mergeCell ref="D82:R82"/>
    <mergeCell ref="D83:R83"/>
    <mergeCell ref="D84:R84"/>
    <mergeCell ref="D85:R85"/>
    <mergeCell ref="D41:F43"/>
    <mergeCell ref="G41:I43"/>
    <mergeCell ref="D8:R9"/>
    <mergeCell ref="D11:R15"/>
    <mergeCell ref="D37:F39"/>
    <mergeCell ref="G37:I39"/>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disablePrompts="1"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hyperlinks>
    <hyperlink ref="U18" r:id="rId1" xr:uid="{00000000-0004-0000-0000-000000000000}"/>
    <hyperlink ref="U21" r:id="rId2" xr:uid="{00000000-0004-0000-0000-000001000000}"/>
    <hyperlink ref="U24" r:id="rId3" xr:uid="{00000000-0004-0000-0000-000002000000}"/>
    <hyperlink ref="U27" r:id="rId4" xr:uid="{00000000-0004-0000-0000-000003000000}"/>
  </hyperlinks>
  <pageMargins left="0.7" right="0.7" top="0.75" bottom="0.75" header="0.3" footer="0.3"/>
  <pageSetup paperSize="9" orientation="portrait"/>
  <drawing r:id="rId5"/>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U55"/>
  <sheetViews>
    <sheetView showGridLines="0" topLeftCell="A17" zoomScale="104" zoomScaleNormal="85" workbookViewId="0"/>
  </sheetViews>
  <sheetFormatPr defaultRowHeight="14" x14ac:dyDescent="0.3"/>
  <cols>
    <col min="1" max="1" width="2.25" customWidth="1"/>
    <col min="2" max="2" width="22" customWidth="1"/>
    <col min="3" max="3" width="7.25" customWidth="1"/>
    <col min="4" max="4" width="13.25" customWidth="1"/>
    <col min="5" max="9" width="12.58203125" customWidth="1"/>
    <col min="10" max="10" width="18.58203125" style="6" customWidth="1"/>
    <col min="11" max="25" width="12.58203125" customWidth="1"/>
  </cols>
  <sheetData>
    <row r="2" spans="2:18" s="35" customFormat="1" ht="20.25" customHeight="1" x14ac:dyDescent="0.4">
      <c r="B2" s="34" t="s">
        <v>101</v>
      </c>
      <c r="J2" s="36"/>
    </row>
    <row r="4" spans="2:18" ht="15.5" x14ac:dyDescent="0.35">
      <c r="B4" s="43" t="s">
        <v>102</v>
      </c>
      <c r="C4" s="47"/>
      <c r="D4" s="43" t="s">
        <v>103</v>
      </c>
      <c r="E4" s="48">
        <v>2020</v>
      </c>
      <c r="F4" s="48">
        <f>+E4+1</f>
        <v>2021</v>
      </c>
      <c r="G4" s="48">
        <f>+F4+1</f>
        <v>2022</v>
      </c>
      <c r="H4" s="48">
        <f t="shared" ref="H4:I4" si="0">+G4+1</f>
        <v>2023</v>
      </c>
      <c r="I4" s="48">
        <f t="shared" si="0"/>
        <v>2024</v>
      </c>
      <c r="J4" s="49" t="str">
        <f>"CAGR "&amp;$G$4&amp;" - "&amp;$I$4</f>
        <v>CAGR 2022 - 2024</v>
      </c>
      <c r="K4" s="48">
        <v>2021</v>
      </c>
      <c r="L4" s="48">
        <f>+K4+1</f>
        <v>2022</v>
      </c>
      <c r="M4" s="48">
        <f>+L4+1</f>
        <v>2023</v>
      </c>
      <c r="N4" s="48">
        <f t="shared" ref="N4" si="1">+M4+1</f>
        <v>2024</v>
      </c>
    </row>
    <row r="5" spans="2:18" ht="4.1500000000000004" customHeight="1" x14ac:dyDescent="0.35">
      <c r="B5" s="44"/>
      <c r="C5" s="44"/>
      <c r="D5" s="44"/>
      <c r="E5" s="44"/>
      <c r="F5" s="44"/>
      <c r="G5" s="44"/>
      <c r="H5" s="44"/>
      <c r="I5" s="44"/>
      <c r="J5" s="51"/>
      <c r="K5" s="51"/>
      <c r="L5" s="51"/>
      <c r="M5" s="51"/>
      <c r="N5" s="51"/>
    </row>
    <row r="6" spans="2:18" x14ac:dyDescent="0.3">
      <c r="B6" s="781" t="s">
        <v>104</v>
      </c>
      <c r="D6" s="54">
        <f t="shared" ref="D6:D12" si="2">IFERROR(I6/SUM($I$6:$I$12),"")</f>
        <v>2.8766054390988768E-2</v>
      </c>
      <c r="E6" s="783">
        <f>SEG!I19</f>
        <v>1452.01</v>
      </c>
      <c r="F6" s="783">
        <f>SEG!J19</f>
        <v>1461.98</v>
      </c>
      <c r="G6" s="783">
        <f>SEG!K19</f>
        <v>1225.77</v>
      </c>
      <c r="H6" s="783">
        <f>SEG!L19</f>
        <v>2033.86</v>
      </c>
      <c r="I6" s="783">
        <f>SEG!M19</f>
        <v>1904.11</v>
      </c>
      <c r="J6" s="53">
        <f>IFERROR((I6/G6)^(1/COUNT($G$4:$I$4))-1,"")</f>
        <v>0.15813987647374383</v>
      </c>
      <c r="K6" s="54">
        <f>IFERROR((F6-E6)/E6,"")</f>
        <v>6.8663438957032169E-3</v>
      </c>
      <c r="L6" s="54">
        <f t="shared" ref="L6:L10" si="3">IFERROR((G6-F6)/F6,"")</f>
        <v>-0.16156855770940781</v>
      </c>
      <c r="M6" s="54">
        <f t="shared" ref="M6:M10" si="4">IFERROR((H6-G6)/G6,"")</f>
        <v>0.65925091982998441</v>
      </c>
      <c r="N6" s="54">
        <f t="shared" ref="N6:N10" si="5">IFERROR((I6-H6)/H6,"")</f>
        <v>-6.3794951471586051E-2</v>
      </c>
    </row>
    <row r="7" spans="2:18" x14ac:dyDescent="0.3">
      <c r="B7" t="s">
        <v>105</v>
      </c>
      <c r="D7" s="54">
        <f t="shared" si="2"/>
        <v>0.23467091283890507</v>
      </c>
      <c r="E7" s="783">
        <f>SEG!I21</f>
        <v>12217.63</v>
      </c>
      <c r="F7" s="783">
        <f>SEG!J21</f>
        <v>15730.22</v>
      </c>
      <c r="G7" s="783">
        <f>SEG!K21</f>
        <v>12210.47</v>
      </c>
      <c r="H7" s="783">
        <f>SEG!L21</f>
        <v>10110.08</v>
      </c>
      <c r="I7" s="783">
        <f>SEG!M21</f>
        <v>15533.56</v>
      </c>
      <c r="J7" s="53">
        <f>IFERROR((I7/G7)^(1/COUNT($G$4:$I$4))-1,"")</f>
        <v>8.3543137965612191E-2</v>
      </c>
      <c r="K7" s="54">
        <f t="shared" ref="K7:K10" si="6">IFERROR((F7-E7)/E7,"")</f>
        <v>0.28750174952097912</v>
      </c>
      <c r="L7" s="54">
        <f t="shared" si="3"/>
        <v>-0.22375720110716826</v>
      </c>
      <c r="M7" s="54">
        <f t="shared" si="4"/>
        <v>-0.17201549162317253</v>
      </c>
      <c r="N7" s="54">
        <f t="shared" si="5"/>
        <v>0.53644283724757857</v>
      </c>
    </row>
    <row r="8" spans="2:18" x14ac:dyDescent="0.3">
      <c r="B8" t="s">
        <v>106</v>
      </c>
      <c r="D8" s="54">
        <f t="shared" si="2"/>
        <v>8.129929244730745E-2</v>
      </c>
      <c r="E8" s="783" t="str">
        <f>SEG!I23</f>
        <v> </v>
      </c>
      <c r="F8" s="783">
        <f>SEG!J23</f>
        <v>7022.93</v>
      </c>
      <c r="G8" s="783">
        <f>SEG!K23</f>
        <v>5615.38</v>
      </c>
      <c r="H8" s="783">
        <f>SEG!L23</f>
        <v>4296.9399999999996</v>
      </c>
      <c r="I8" s="783">
        <f>SEG!M23</f>
        <v>5381.44</v>
      </c>
      <c r="J8" s="53" t="str">
        <f t="shared" ref="J8:J10" si="7">IFERROR((I8/E8)^(1/COUNT($E$4:$I$4))-1,"")</f>
        <v/>
      </c>
      <c r="K8" s="54" t="str">
        <f t="shared" si="6"/>
        <v/>
      </c>
      <c r="L8" s="54">
        <f t="shared" si="3"/>
        <v>-0.20042204606909084</v>
      </c>
      <c r="M8" s="54">
        <f t="shared" si="4"/>
        <v>-0.2347908779103107</v>
      </c>
      <c r="N8" s="54">
        <f t="shared" si="5"/>
        <v>0.2523889093168627</v>
      </c>
    </row>
    <row r="9" spans="2:18" x14ac:dyDescent="0.3">
      <c r="B9" t="s">
        <v>107</v>
      </c>
      <c r="D9" s="54">
        <f t="shared" si="2"/>
        <v>0.6339205308118161</v>
      </c>
      <c r="E9" s="209">
        <f>SEG!I25</f>
        <v>12686.11</v>
      </c>
      <c r="F9" s="209">
        <f>SEG!J25</f>
        <v>17144.32</v>
      </c>
      <c r="G9" s="209">
        <f>SEG!K25</f>
        <v>23960.98</v>
      </c>
      <c r="H9" s="209">
        <f>SEG!L25</f>
        <v>15390.23</v>
      </c>
      <c r="I9" s="209">
        <f>SEG!M25</f>
        <v>41961.07</v>
      </c>
      <c r="J9" s="53">
        <f t="shared" si="7"/>
        <v>0.27029215574215715</v>
      </c>
      <c r="K9" s="54">
        <f t="shared" si="6"/>
        <v>0.35142451074442826</v>
      </c>
      <c r="L9" s="54">
        <f t="shared" si="3"/>
        <v>0.39760457107660147</v>
      </c>
      <c r="M9" s="54">
        <f t="shared" si="4"/>
        <v>-0.35769613763710834</v>
      </c>
      <c r="N9" s="54">
        <f t="shared" si="5"/>
        <v>1.7264745231227865</v>
      </c>
    </row>
    <row r="10" spans="2:18" x14ac:dyDescent="0.3">
      <c r="B10" s="74" t="s">
        <v>108</v>
      </c>
      <c r="D10" s="54">
        <f t="shared" si="2"/>
        <v>2.1343209510982664E-2</v>
      </c>
      <c r="E10" s="209">
        <f>SEG!I27</f>
        <v>1222.7</v>
      </c>
      <c r="F10" s="209">
        <f>SEG!J27</f>
        <v>1638.34</v>
      </c>
      <c r="G10" s="209">
        <f>SEG!K27</f>
        <v>1608.97</v>
      </c>
      <c r="H10" s="209">
        <f>SEG!L27</f>
        <v>934.61</v>
      </c>
      <c r="I10" s="209">
        <f>SEG!M27</f>
        <v>1412.77</v>
      </c>
      <c r="J10" s="53">
        <f t="shared" si="7"/>
        <v>2.9319760751632673E-2</v>
      </c>
      <c r="K10" s="54">
        <f t="shared" si="6"/>
        <v>0.33993620675554093</v>
      </c>
      <c r="L10" s="54">
        <f t="shared" si="3"/>
        <v>-1.7926681885322884E-2</v>
      </c>
      <c r="M10" s="54">
        <f t="shared" si="4"/>
        <v>-0.41912527890513807</v>
      </c>
      <c r="N10" s="54">
        <f t="shared" si="5"/>
        <v>0.51161447020682416</v>
      </c>
    </row>
    <row r="11" spans="2:18" x14ac:dyDescent="0.3">
      <c r="B11" s="74"/>
      <c r="D11" s="54">
        <f t="shared" si="2"/>
        <v>0</v>
      </c>
      <c r="E11" s="80"/>
      <c r="F11" s="80"/>
      <c r="G11" s="80"/>
      <c r="H11" s="80"/>
      <c r="I11" s="80"/>
      <c r="J11" s="53"/>
      <c r="K11" s="54"/>
      <c r="L11" s="54"/>
      <c r="M11" s="54"/>
      <c r="N11" s="79"/>
    </row>
    <row r="12" spans="2:18" x14ac:dyDescent="0.3">
      <c r="B12" s="74"/>
      <c r="D12" s="54">
        <f t="shared" si="2"/>
        <v>0</v>
      </c>
      <c r="E12" s="80"/>
      <c r="F12" s="80"/>
      <c r="G12" s="80"/>
      <c r="H12" s="80"/>
      <c r="I12" s="80"/>
      <c r="J12" s="53"/>
      <c r="K12" s="54"/>
      <c r="L12" s="54"/>
      <c r="M12" s="54"/>
      <c r="N12" s="79"/>
    </row>
    <row r="13" spans="2:18" x14ac:dyDescent="0.3">
      <c r="B13" s="1" t="s">
        <v>109</v>
      </c>
      <c r="D13" s="81">
        <f>SUM(D6:D12)</f>
        <v>1</v>
      </c>
      <c r="E13" s="82">
        <f>SUM(E6:E10)</f>
        <v>27578.45</v>
      </c>
      <c r="F13" s="82">
        <f t="shared" ref="F13:I13" si="8">SUM(F6:F10)</f>
        <v>42997.789999999994</v>
      </c>
      <c r="G13" s="82">
        <f t="shared" si="8"/>
        <v>44621.57</v>
      </c>
      <c r="H13" s="82">
        <f t="shared" si="8"/>
        <v>32765.72</v>
      </c>
      <c r="I13" s="82">
        <f t="shared" si="8"/>
        <v>66192.95</v>
      </c>
      <c r="J13" s="55">
        <f>IFERROR((I13/G13)^(1/COUNT($G$4:$I$4))-1,"")</f>
        <v>0.14048338652445502</v>
      </c>
      <c r="K13" s="79">
        <f>IFERROR((F13-E13)/E13,"")</f>
        <v>0.55910828926208656</v>
      </c>
      <c r="L13" s="79">
        <f>IFERROR((G13-F13)/F13,"")</f>
        <v>3.7764266489045281E-2</v>
      </c>
      <c r="M13" s="79">
        <f>IFERROR((H13-G13)/G13,"")</f>
        <v>-0.26569773318150836</v>
      </c>
      <c r="N13" s="79">
        <f t="shared" ref="N13" si="9">IFERROR((I13-H13)/H13,"")</f>
        <v>1.0201890878637794</v>
      </c>
    </row>
    <row r="14" spans="2:18" ht="8.25" customHeight="1" x14ac:dyDescent="0.3">
      <c r="R14" s="83"/>
    </row>
    <row r="15" spans="2:18" ht="15.5" x14ac:dyDescent="0.35">
      <c r="B15" s="43" t="s">
        <v>101</v>
      </c>
      <c r="C15" s="47"/>
      <c r="D15" s="43" t="s">
        <v>103</v>
      </c>
      <c r="E15" s="48">
        <v>2020</v>
      </c>
      <c r="F15" s="48">
        <f>+E15+1</f>
        <v>2021</v>
      </c>
      <c r="G15" s="48">
        <f>+F15+1</f>
        <v>2022</v>
      </c>
      <c r="H15" s="48">
        <f t="shared" ref="H15:I15" si="10">+G15+1</f>
        <v>2023</v>
      </c>
      <c r="I15" s="48">
        <f t="shared" si="10"/>
        <v>2024</v>
      </c>
      <c r="J15" s="49" t="str">
        <f>"CAGR "&amp;$E$4&amp;" - "&amp;$I$4</f>
        <v>CAGR 2020 - 2024</v>
      </c>
      <c r="K15" s="48">
        <v>2021</v>
      </c>
      <c r="L15" s="48">
        <f>+K15+1</f>
        <v>2022</v>
      </c>
      <c r="M15" s="48">
        <f>+L15+1</f>
        <v>2023</v>
      </c>
      <c r="N15" s="48">
        <f t="shared" ref="N15" si="11">+M15+1</f>
        <v>2024</v>
      </c>
    </row>
    <row r="16" spans="2:18" s="79" customFormat="1" ht="4.1500000000000004" customHeight="1" x14ac:dyDescent="0.35">
      <c r="B16" s="44"/>
      <c r="C16" s="44"/>
      <c r="D16" s="44"/>
      <c r="E16" s="44"/>
      <c r="F16" s="44"/>
      <c r="G16" s="44"/>
      <c r="H16" s="44"/>
      <c r="I16" s="44"/>
      <c r="J16" s="51"/>
      <c r="K16" s="51"/>
      <c r="L16" s="51"/>
      <c r="M16" s="51"/>
      <c r="N16" s="51"/>
      <c r="O16" s="84"/>
    </row>
    <row r="17" spans="2:20" x14ac:dyDescent="0.3">
      <c r="B17" t="s">
        <v>110</v>
      </c>
      <c r="D17" s="54">
        <f>IFERROR(I17/SUM($I$17:$I$21),"")</f>
        <v>0.67577680100373239</v>
      </c>
      <c r="E17" s="782">
        <f>+SEG!I6</f>
        <v>22536.400000000001</v>
      </c>
      <c r="F17" s="782">
        <f>+SEG!J6</f>
        <v>30599.71</v>
      </c>
      <c r="G17" s="782">
        <f>+SEG!K6</f>
        <v>28168.799999999999</v>
      </c>
      <c r="H17" s="782">
        <f>+SEG!L6</f>
        <v>20768.66</v>
      </c>
      <c r="I17" s="782">
        <f>+SEG!M6</f>
        <v>44731.66</v>
      </c>
      <c r="J17" s="53">
        <f>IFERROR((I17/E17)^(1/COUNT($E$4:$I$4))-1,"")</f>
        <v>0.14695424886787056</v>
      </c>
      <c r="K17" s="83">
        <f t="shared" ref="K17:N22" si="12">IFERROR((F17-E17)/E17,"")</f>
        <v>0.35779050780071336</v>
      </c>
      <c r="L17" s="83">
        <f t="shared" ref="L17:L21" si="13">IFERROR((G17-F17)/F17,"")</f>
        <v>-7.9442256152100779E-2</v>
      </c>
      <c r="M17" s="83">
        <f t="shared" ref="M17:M21" si="14">IFERROR((H17-G17)/G17,"")</f>
        <v>-0.26270696657294595</v>
      </c>
      <c r="N17" s="83">
        <f t="shared" ref="N17:N21" si="15">IFERROR((I17-H17)/H17,"")</f>
        <v>1.1538057823663155</v>
      </c>
    </row>
    <row r="18" spans="2:20" x14ac:dyDescent="0.3">
      <c r="B18" t="s">
        <v>111</v>
      </c>
      <c r="D18" s="54">
        <f t="shared" ref="D18:D21" si="16">IFERROR(I18/SUM($I$17:$I$21),"")</f>
        <v>0.29118070731097501</v>
      </c>
      <c r="E18" s="782">
        <f>+SEG!I8</f>
        <v>7471.24</v>
      </c>
      <c r="F18" s="782">
        <f>+SEG!J8</f>
        <v>10529.45</v>
      </c>
      <c r="G18" s="782">
        <f>+SEG!K8</f>
        <v>14183.92</v>
      </c>
      <c r="H18" s="782">
        <f>+SEG!L8</f>
        <v>9653.06</v>
      </c>
      <c r="I18" s="782">
        <f>+SEG!M8</f>
        <v>19274.11</v>
      </c>
      <c r="J18" s="53">
        <f>IFERROR((I18/E18)^(1/COUNT($E$4:$I$4))-1,"")</f>
        <v>0.208693896678813</v>
      </c>
      <c r="K18" s="83">
        <f t="shared" ref="K18:K21" si="17">IFERROR((F18-E18)/E18,"")</f>
        <v>0.40933098120258499</v>
      </c>
      <c r="L18" s="83">
        <f t="shared" si="13"/>
        <v>0.34707130951759108</v>
      </c>
      <c r="M18" s="83">
        <f t="shared" si="14"/>
        <v>-0.31943637583968326</v>
      </c>
      <c r="N18" s="83">
        <f t="shared" si="15"/>
        <v>0.99668395306773205</v>
      </c>
    </row>
    <row r="19" spans="2:20" x14ac:dyDescent="0.3">
      <c r="B19" t="s">
        <v>112</v>
      </c>
      <c r="D19" s="54">
        <f t="shared" si="16"/>
        <v>3.3042491685292767E-2</v>
      </c>
      <c r="E19" s="782">
        <f>+SEG!I10</f>
        <v>1892.77</v>
      </c>
      <c r="F19" s="782">
        <f>+SEG!J10</f>
        <v>1868.63</v>
      </c>
      <c r="G19" s="782">
        <f>+SEG!K10</f>
        <v>2268.84</v>
      </c>
      <c r="H19" s="782">
        <f>+SEG!L10</f>
        <v>2344</v>
      </c>
      <c r="I19" s="782">
        <f>+SEG!M10</f>
        <v>2187.1799999999998</v>
      </c>
      <c r="J19" s="53">
        <f t="shared" ref="J19:J21" si="18">IFERROR((I19/E19)^(1/COUNT($E$4:$I$4))-1,"")</f>
        <v>2.9336413264086758E-2</v>
      </c>
      <c r="K19" s="83">
        <f t="shared" si="17"/>
        <v>-1.2753794703001354E-2</v>
      </c>
      <c r="L19" s="83">
        <f t="shared" si="13"/>
        <v>0.21417295023626937</v>
      </c>
      <c r="M19" s="83">
        <f t="shared" si="14"/>
        <v>3.3127060524320733E-2</v>
      </c>
      <c r="N19" s="83">
        <f t="shared" si="15"/>
        <v>-6.6902730375426697E-2</v>
      </c>
    </row>
    <row r="20" spans="2:20" x14ac:dyDescent="0.3">
      <c r="B20" s="74"/>
      <c r="D20" s="54">
        <f t="shared" si="16"/>
        <v>0</v>
      </c>
      <c r="E20" s="80"/>
      <c r="F20" s="80"/>
      <c r="G20" s="80"/>
      <c r="H20" s="80"/>
      <c r="I20" s="80"/>
      <c r="J20" s="53" t="str">
        <f t="shared" si="18"/>
        <v/>
      </c>
      <c r="K20" s="83" t="str">
        <f t="shared" si="17"/>
        <v/>
      </c>
      <c r="L20" s="83" t="str">
        <f t="shared" si="13"/>
        <v/>
      </c>
      <c r="M20" s="83" t="str">
        <f t="shared" si="14"/>
        <v/>
      </c>
      <c r="N20" s="83" t="str">
        <f t="shared" si="15"/>
        <v/>
      </c>
    </row>
    <row r="21" spans="2:20" x14ac:dyDescent="0.3">
      <c r="B21" s="74"/>
      <c r="D21" s="54">
        <f t="shared" si="16"/>
        <v>0</v>
      </c>
      <c r="E21" s="80"/>
      <c r="F21" s="80"/>
      <c r="G21" s="80"/>
      <c r="H21" s="80"/>
      <c r="I21" s="80"/>
      <c r="J21" s="53" t="str">
        <f t="shared" si="18"/>
        <v/>
      </c>
      <c r="K21" s="83" t="str">
        <f t="shared" si="17"/>
        <v/>
      </c>
      <c r="L21" s="83" t="str">
        <f t="shared" si="13"/>
        <v/>
      </c>
      <c r="M21" s="83" t="str">
        <f t="shared" si="14"/>
        <v/>
      </c>
      <c r="N21" s="83" t="str">
        <f t="shared" si="15"/>
        <v/>
      </c>
    </row>
    <row r="22" spans="2:20" x14ac:dyDescent="0.3">
      <c r="B22" s="1" t="s">
        <v>109</v>
      </c>
      <c r="D22" s="81">
        <f>SUM(D17:D21)</f>
        <v>1.0000000000000002</v>
      </c>
      <c r="E22" s="82">
        <f>SUM(E17:E21)</f>
        <v>31900.41</v>
      </c>
      <c r="F22" s="82">
        <f>SUM(F17:F21)</f>
        <v>42997.79</v>
      </c>
      <c r="G22" s="82">
        <f t="shared" ref="G22:I22" si="19">SUM(G17:G21)</f>
        <v>44621.56</v>
      </c>
      <c r="H22" s="82">
        <f t="shared" si="19"/>
        <v>32765.72</v>
      </c>
      <c r="I22" s="82">
        <f t="shared" si="19"/>
        <v>66192.95</v>
      </c>
      <c r="J22" s="55">
        <f t="shared" ref="J22" si="20">IFERROR((I22/E22)^(1/COUNT($E$4:$I$4))-1,"")</f>
        <v>0.15718579634396534</v>
      </c>
      <c r="K22" s="83">
        <f t="shared" si="12"/>
        <v>0.34787577965298883</v>
      </c>
      <c r="L22" s="83">
        <f t="shared" si="12"/>
        <v>3.7764033918952507E-2</v>
      </c>
      <c r="M22" s="83">
        <f t="shared" si="12"/>
        <v>-0.26569756861929517</v>
      </c>
      <c r="N22" s="83">
        <f t="shared" si="12"/>
        <v>1.0201890878637794</v>
      </c>
    </row>
    <row r="23" spans="2:20" ht="8.25" customHeight="1" x14ac:dyDescent="0.3">
      <c r="B23" s="1"/>
      <c r="D23" s="1"/>
      <c r="E23" s="82"/>
      <c r="F23" s="82"/>
      <c r="G23" s="82"/>
      <c r="H23" s="82"/>
      <c r="I23" s="82"/>
      <c r="J23" s="55"/>
      <c r="K23" s="1"/>
      <c r="L23" s="1"/>
      <c r="M23" s="1"/>
      <c r="N23" s="1"/>
    </row>
    <row r="24" spans="2:20" ht="15" customHeight="1" x14ac:dyDescent="0.35">
      <c r="B24" s="57" t="s">
        <v>113</v>
      </c>
      <c r="C24" s="58"/>
      <c r="D24" s="57" t="s">
        <v>114</v>
      </c>
      <c r="E24" s="58"/>
      <c r="F24" s="58"/>
      <c r="G24" s="58"/>
      <c r="H24" s="58"/>
      <c r="I24" s="58"/>
      <c r="J24" s="85" t="s">
        <v>115</v>
      </c>
      <c r="K24" s="86"/>
      <c r="L24" s="86"/>
      <c r="M24" s="86"/>
      <c r="N24" s="86"/>
    </row>
    <row r="25" spans="2:20" ht="4.1500000000000004" customHeight="1" x14ac:dyDescent="0.35">
      <c r="B25" s="59"/>
      <c r="C25" s="59"/>
      <c r="D25" s="59"/>
      <c r="E25" s="59"/>
      <c r="F25" s="59"/>
      <c r="G25" s="59"/>
      <c r="H25" s="59"/>
      <c r="I25" s="59"/>
      <c r="J25" s="87"/>
      <c r="K25" s="87"/>
      <c r="L25" s="87"/>
      <c r="M25" s="87"/>
      <c r="N25" s="87"/>
    </row>
    <row r="26" spans="2:20" ht="70.5" customHeight="1" x14ac:dyDescent="0.3">
      <c r="B26" s="942" t="s">
        <v>116</v>
      </c>
      <c r="C26" s="942"/>
      <c r="D26" s="943" t="s">
        <v>117</v>
      </c>
      <c r="E26" s="943"/>
      <c r="F26" s="943"/>
      <c r="G26" s="943"/>
      <c r="H26" s="943"/>
      <c r="I26" s="943"/>
      <c r="J26" s="55"/>
      <c r="K26" s="1"/>
      <c r="L26" s="1"/>
      <c r="M26" s="1"/>
      <c r="N26" s="1"/>
    </row>
    <row r="27" spans="2:20" ht="74.25" customHeight="1" x14ac:dyDescent="0.3">
      <c r="B27" s="941" t="s">
        <v>111</v>
      </c>
      <c r="C27" s="941"/>
      <c r="D27" s="943" t="s">
        <v>118</v>
      </c>
      <c r="E27" s="943"/>
      <c r="F27" s="943"/>
      <c r="G27" s="943"/>
      <c r="H27" s="943"/>
      <c r="I27" s="943"/>
      <c r="J27" s="55"/>
      <c r="K27" s="1"/>
      <c r="L27" s="1"/>
      <c r="M27" s="1"/>
      <c r="N27" s="1"/>
    </row>
    <row r="28" spans="2:20" ht="40.15" customHeight="1" x14ac:dyDescent="0.3">
      <c r="B28" s="941"/>
      <c r="C28" s="941"/>
      <c r="D28" s="943"/>
      <c r="E28" s="943"/>
      <c r="F28" s="943"/>
      <c r="G28" s="943"/>
      <c r="H28" s="943"/>
      <c r="I28" s="943"/>
      <c r="J28" s="55"/>
      <c r="K28" s="1"/>
      <c r="L28" s="1"/>
      <c r="M28" s="1"/>
      <c r="N28" s="1"/>
    </row>
    <row r="29" spans="2:20" ht="40.15" hidden="1" customHeight="1" x14ac:dyDescent="0.3">
      <c r="B29" s="941" t="str">
        <f>IF(B20=0,"",B20)</f>
        <v/>
      </c>
      <c r="C29" s="941"/>
      <c r="D29" s="943"/>
      <c r="E29" s="943"/>
      <c r="F29" s="943"/>
      <c r="G29" s="943"/>
      <c r="H29" s="943"/>
      <c r="I29" s="943"/>
      <c r="J29" s="55"/>
      <c r="K29" s="1"/>
      <c r="L29" s="1"/>
      <c r="M29" s="1"/>
      <c r="N29" s="1"/>
    </row>
    <row r="30" spans="2:20" ht="40.15" hidden="1" customHeight="1" x14ac:dyDescent="0.3">
      <c r="B30" s="941" t="str">
        <f>IF(B21=0,"",B21)</f>
        <v/>
      </c>
      <c r="C30" s="941"/>
      <c r="D30" s="943"/>
      <c r="E30" s="943"/>
      <c r="F30" s="943"/>
      <c r="G30" s="943"/>
      <c r="H30" s="943"/>
      <c r="I30" s="943"/>
      <c r="J30" s="55"/>
      <c r="K30" s="1"/>
      <c r="L30" s="1"/>
      <c r="M30" s="1"/>
      <c r="N30" s="1"/>
    </row>
    <row r="31" spans="2:20" ht="8.25" customHeight="1" x14ac:dyDescent="0.3">
      <c r="E31" s="61"/>
      <c r="F31" s="61"/>
      <c r="G31" s="61"/>
      <c r="H31" s="61"/>
      <c r="I31" s="61"/>
      <c r="J31" s="88"/>
    </row>
    <row r="32" spans="2:20" ht="15.5" x14ac:dyDescent="0.35">
      <c r="B32" s="43" t="s">
        <v>119</v>
      </c>
      <c r="C32" s="47"/>
      <c r="D32" s="43" t="s">
        <v>103</v>
      </c>
      <c r="E32" s="48">
        <v>2020</v>
      </c>
      <c r="F32" s="48">
        <f>+E32+1</f>
        <v>2021</v>
      </c>
      <c r="G32" s="48">
        <f>+F32+1</f>
        <v>2022</v>
      </c>
      <c r="H32" s="48">
        <f t="shared" ref="H32:I32" si="21">+G32+1</f>
        <v>2023</v>
      </c>
      <c r="I32" s="89">
        <f t="shared" si="21"/>
        <v>2024</v>
      </c>
      <c r="J32" s="90">
        <f>I32+1</f>
        <v>2025</v>
      </c>
      <c r="K32" s="90">
        <f t="shared" ref="K32:S32" si="22">+J32+1</f>
        <v>2026</v>
      </c>
      <c r="L32" s="90">
        <f t="shared" si="22"/>
        <v>2027</v>
      </c>
      <c r="M32" s="90">
        <f t="shared" si="22"/>
        <v>2028</v>
      </c>
      <c r="N32" s="90">
        <f t="shared" si="22"/>
        <v>2029</v>
      </c>
      <c r="O32" s="90">
        <f t="shared" si="22"/>
        <v>2030</v>
      </c>
      <c r="P32" s="90">
        <f t="shared" si="22"/>
        <v>2031</v>
      </c>
      <c r="Q32" s="90">
        <f t="shared" si="22"/>
        <v>2032</v>
      </c>
      <c r="R32" s="90">
        <f t="shared" si="22"/>
        <v>2033</v>
      </c>
      <c r="S32" s="90">
        <f t="shared" si="22"/>
        <v>2034</v>
      </c>
      <c r="T32" s="90" t="s">
        <v>120</v>
      </c>
    </row>
    <row r="33" spans="2:21" ht="4.1500000000000004" customHeight="1" x14ac:dyDescent="0.35">
      <c r="B33" s="44"/>
      <c r="C33" s="44"/>
      <c r="D33" s="44"/>
      <c r="E33" s="44"/>
      <c r="F33" s="44"/>
      <c r="G33" s="44"/>
      <c r="H33" s="44"/>
      <c r="I33" s="91"/>
      <c r="J33" s="51"/>
      <c r="K33" s="51"/>
      <c r="L33" s="51"/>
      <c r="M33" s="51"/>
      <c r="N33" s="51"/>
      <c r="O33" s="51"/>
      <c r="P33" s="51"/>
      <c r="Q33" s="51"/>
      <c r="R33" s="51"/>
      <c r="S33" s="51"/>
      <c r="T33" s="51"/>
    </row>
    <row r="34" spans="2:21" x14ac:dyDescent="0.3">
      <c r="B34" t="s">
        <v>110</v>
      </c>
      <c r="D34" s="54">
        <f>IFERROR(I34/$I$13,"")</f>
        <v>0.67577680100373239</v>
      </c>
      <c r="E34" s="80">
        <f>+E17</f>
        <v>22536.400000000001</v>
      </c>
      <c r="F34" s="80">
        <f t="shared" ref="F34:I34" si="23">+F17</f>
        <v>30599.71</v>
      </c>
      <c r="G34" s="80">
        <f t="shared" si="23"/>
        <v>28168.799999999999</v>
      </c>
      <c r="H34" s="80">
        <f t="shared" si="23"/>
        <v>20768.66</v>
      </c>
      <c r="I34" s="774">
        <f t="shared" si="23"/>
        <v>44731.66</v>
      </c>
      <c r="J34" s="775">
        <f>+I34*(1+J35)</f>
        <v>49459.796461999998</v>
      </c>
      <c r="K34" s="775">
        <f t="shared" ref="K34:S34" si="24">+J34*(1+K35)</f>
        <v>54687.696948033394</v>
      </c>
      <c r="L34" s="775">
        <f t="shared" si="24"/>
        <v>60468.186515440517</v>
      </c>
      <c r="M34" s="775">
        <f t="shared" si="24"/>
        <v>66859.673830122571</v>
      </c>
      <c r="N34" s="775">
        <f t="shared" si="24"/>
        <v>73926.741353966514</v>
      </c>
      <c r="O34" s="775">
        <f t="shared" si="24"/>
        <v>81740.797915080766</v>
      </c>
      <c r="P34" s="775">
        <f t="shared" si="24"/>
        <v>90380.800254704794</v>
      </c>
      <c r="Q34" s="775">
        <f t="shared" si="24"/>
        <v>99934.05084162709</v>
      </c>
      <c r="R34" s="775">
        <f t="shared" si="24"/>
        <v>110497.08001558707</v>
      </c>
      <c r="S34" s="775">
        <f t="shared" si="24"/>
        <v>122176.62137323461</v>
      </c>
      <c r="T34" s="805" t="s">
        <v>121</v>
      </c>
    </row>
    <row r="35" spans="2:21" ht="14.5" x14ac:dyDescent="0.35">
      <c r="B35" s="244" t="s">
        <v>122</v>
      </c>
      <c r="D35" s="93"/>
      <c r="E35" s="61"/>
      <c r="F35" s="54">
        <f>+F34/E34-1</f>
        <v>0.35779050780071331</v>
      </c>
      <c r="G35" s="54">
        <f t="shared" ref="G35" si="25">+G34/F34-1</f>
        <v>-7.9442256152100765E-2</v>
      </c>
      <c r="H35" s="54">
        <f t="shared" ref="H35" si="26">+H34/G34-1</f>
        <v>-0.2627069665729459</v>
      </c>
      <c r="I35" s="96">
        <f t="shared" ref="I35" si="27">+I34/H34-1</f>
        <v>1.1538057823663155</v>
      </c>
      <c r="J35" s="776">
        <f>+$T$35</f>
        <v>0.1057</v>
      </c>
      <c r="K35" s="776">
        <f t="shared" ref="K35:S35" si="28">+$T$35</f>
        <v>0.1057</v>
      </c>
      <c r="L35" s="776">
        <f t="shared" si="28"/>
        <v>0.1057</v>
      </c>
      <c r="M35" s="776">
        <f t="shared" si="28"/>
        <v>0.1057</v>
      </c>
      <c r="N35" s="776">
        <f t="shared" si="28"/>
        <v>0.1057</v>
      </c>
      <c r="O35" s="776">
        <f t="shared" si="28"/>
        <v>0.1057</v>
      </c>
      <c r="P35" s="776">
        <f t="shared" si="28"/>
        <v>0.1057</v>
      </c>
      <c r="Q35" s="776">
        <f t="shared" si="28"/>
        <v>0.1057</v>
      </c>
      <c r="R35" s="776">
        <f t="shared" si="28"/>
        <v>0.1057</v>
      </c>
      <c r="S35" s="776">
        <f t="shared" si="28"/>
        <v>0.1057</v>
      </c>
      <c r="T35" s="776">
        <v>0.1057</v>
      </c>
    </row>
    <row r="36" spans="2:21" x14ac:dyDescent="0.3">
      <c r="B36" t="s">
        <v>111</v>
      </c>
      <c r="D36" s="54">
        <f>IFERROR(I36/$I$13,"")</f>
        <v>0.29118070731097501</v>
      </c>
      <c r="E36" s="80">
        <f>+E18</f>
        <v>7471.24</v>
      </c>
      <c r="F36" s="80">
        <f t="shared" ref="F36:I36" si="29">+F18</f>
        <v>10529.45</v>
      </c>
      <c r="G36" s="80">
        <f t="shared" si="29"/>
        <v>14183.92</v>
      </c>
      <c r="H36" s="80">
        <f t="shared" si="29"/>
        <v>9653.06</v>
      </c>
      <c r="I36" s="774">
        <f t="shared" si="29"/>
        <v>19274.11</v>
      </c>
      <c r="J36" s="775">
        <f>+I36*(1+J37)</f>
        <v>20353.460160000002</v>
      </c>
      <c r="K36" s="775">
        <f t="shared" ref="K36" si="30">+J36*(1+K37)</f>
        <v>21493.253928960003</v>
      </c>
      <c r="L36" s="775">
        <f t="shared" ref="L36" si="31">+K36*(1+L37)</f>
        <v>22696.876148981763</v>
      </c>
      <c r="M36" s="775">
        <f t="shared" ref="M36" si="32">+L36*(1+M37)</f>
        <v>23967.901213324742</v>
      </c>
      <c r="N36" s="775">
        <f t="shared" ref="N36" si="33">+M36*(1+N37)</f>
        <v>25310.103681270928</v>
      </c>
      <c r="O36" s="775">
        <f t="shared" ref="O36" si="34">+N36*(1+O37)</f>
        <v>26727.469487422102</v>
      </c>
      <c r="P36" s="775">
        <f t="shared" ref="P36" si="35">+O36*(1+P37)</f>
        <v>28224.20777871774</v>
      </c>
      <c r="Q36" s="775">
        <f t="shared" ref="Q36" si="36">+P36*(1+Q37)</f>
        <v>29804.763414325935</v>
      </c>
      <c r="R36" s="775">
        <f t="shared" ref="R36" si="37">+Q36*(1+R37)</f>
        <v>31473.83016552819</v>
      </c>
      <c r="S36" s="775">
        <f t="shared" ref="S36" si="38">+R36*(1+S37)</f>
        <v>33236.36465479777</v>
      </c>
      <c r="T36" s="805" t="s">
        <v>123</v>
      </c>
      <c r="U36" s="806"/>
    </row>
    <row r="37" spans="2:21" ht="14.5" x14ac:dyDescent="0.35">
      <c r="B37" s="244" t="s">
        <v>122</v>
      </c>
      <c r="D37" s="93"/>
      <c r="E37" s="61"/>
      <c r="F37" s="54">
        <f>+F36/E36-1</f>
        <v>0.40933098120258493</v>
      </c>
      <c r="G37" s="54">
        <f t="shared" ref="G37:I37" si="39">+G36/F36-1</f>
        <v>0.34707130951759102</v>
      </c>
      <c r="H37" s="54">
        <f t="shared" si="39"/>
        <v>-0.31943637583968332</v>
      </c>
      <c r="I37" s="96">
        <f t="shared" si="39"/>
        <v>0.99668395306773205</v>
      </c>
      <c r="J37" s="776">
        <f>+$T$37</f>
        <v>5.6000000000000001E-2</v>
      </c>
      <c r="K37" s="776">
        <f t="shared" ref="K37:S37" si="40">+$T$37</f>
        <v>5.6000000000000001E-2</v>
      </c>
      <c r="L37" s="776">
        <f t="shared" si="40"/>
        <v>5.6000000000000001E-2</v>
      </c>
      <c r="M37" s="776">
        <f t="shared" si="40"/>
        <v>5.6000000000000001E-2</v>
      </c>
      <c r="N37" s="776">
        <f t="shared" si="40"/>
        <v>5.6000000000000001E-2</v>
      </c>
      <c r="O37" s="776">
        <f t="shared" si="40"/>
        <v>5.6000000000000001E-2</v>
      </c>
      <c r="P37" s="776">
        <f t="shared" si="40"/>
        <v>5.6000000000000001E-2</v>
      </c>
      <c r="Q37" s="776">
        <f t="shared" si="40"/>
        <v>5.6000000000000001E-2</v>
      </c>
      <c r="R37" s="776">
        <f t="shared" si="40"/>
        <v>5.6000000000000001E-2</v>
      </c>
      <c r="S37" s="776">
        <f t="shared" si="40"/>
        <v>5.6000000000000001E-2</v>
      </c>
      <c r="T37" s="776">
        <v>5.6000000000000001E-2</v>
      </c>
    </row>
    <row r="38" spans="2:21" x14ac:dyDescent="0.3">
      <c r="B38" t="s">
        <v>112</v>
      </c>
      <c r="D38" s="93">
        <f>IFERROR(I38/$I$13,"")</f>
        <v>3.3042491685292767E-2</v>
      </c>
      <c r="E38" s="80">
        <f>+E19</f>
        <v>1892.77</v>
      </c>
      <c r="F38" s="80">
        <f t="shared" ref="F38:I38" si="41">+F19</f>
        <v>1868.63</v>
      </c>
      <c r="G38" s="80">
        <f t="shared" si="41"/>
        <v>2268.84</v>
      </c>
      <c r="H38" s="80">
        <f t="shared" si="41"/>
        <v>2344</v>
      </c>
      <c r="I38" s="774">
        <f t="shared" si="41"/>
        <v>2187.1799999999998</v>
      </c>
      <c r="J38" s="775">
        <f>+I38*(1+J46)</f>
        <v>2364.0135030000001</v>
      </c>
      <c r="K38" s="775">
        <f t="shared" ref="K38:S38" si="42">+J38*(1+K46)</f>
        <v>2555.1439947175504</v>
      </c>
      <c r="L38" s="775">
        <f t="shared" si="42"/>
        <v>2761.7273866904648</v>
      </c>
      <c r="M38" s="775">
        <f t="shared" si="42"/>
        <v>2985.0130459043889</v>
      </c>
      <c r="N38" s="775">
        <f t="shared" si="42"/>
        <v>3226.3513506657591</v>
      </c>
      <c r="O38" s="775">
        <f t="shared" si="42"/>
        <v>3487.2018573670862</v>
      </c>
      <c r="P38" s="775">
        <f t="shared" si="42"/>
        <v>3769.1421275352154</v>
      </c>
      <c r="Q38" s="775">
        <f t="shared" si="42"/>
        <v>4073.8772685464378</v>
      </c>
      <c r="R38" s="775">
        <f t="shared" si="42"/>
        <v>4403.2502457084174</v>
      </c>
      <c r="S38" s="775">
        <f t="shared" si="42"/>
        <v>4759.2530280739429</v>
      </c>
      <c r="T38" s="793"/>
    </row>
    <row r="39" spans="2:21" hidden="1" x14ac:dyDescent="0.3">
      <c r="D39" s="54"/>
      <c r="E39" s="93"/>
      <c r="F39" s="54">
        <f>IFERROR((F38-E38)/E38,"")</f>
        <v>-1.2753794703001354E-2</v>
      </c>
      <c r="G39" s="54">
        <f>IFERROR((G38-F38)/F38,"")</f>
        <v>0.21417295023626937</v>
      </c>
      <c r="H39" s="54">
        <f>IFERROR((H38-G38)/G38,"")</f>
        <v>3.3127060524320733E-2</v>
      </c>
      <c r="I39" s="96">
        <f>IFERROR((I38-H38)/H38,"")</f>
        <v>-6.6902730375426697E-2</v>
      </c>
      <c r="J39" s="95"/>
      <c r="K39" s="95"/>
      <c r="L39" s="95"/>
      <c r="M39" s="95"/>
      <c r="N39" s="95"/>
      <c r="O39" s="95"/>
      <c r="P39" s="95"/>
      <c r="Q39" s="95"/>
      <c r="R39" s="95"/>
      <c r="S39" s="95"/>
      <c r="T39" s="93"/>
    </row>
    <row r="40" spans="2:21" hidden="1" x14ac:dyDescent="0.3">
      <c r="B40" t="s">
        <v>124</v>
      </c>
      <c r="D40" s="54">
        <f>IFERROR(I40/$I$13,"")</f>
        <v>0</v>
      </c>
      <c r="E40" s="80"/>
      <c r="F40" s="80"/>
      <c r="G40" s="80"/>
      <c r="H40" s="80"/>
      <c r="I40" s="97"/>
      <c r="J40" s="92">
        <f>I40*(1+J41)</f>
        <v>0</v>
      </c>
      <c r="K40" s="92">
        <f t="shared" ref="K40:S40" si="43">J40*(1+K41)</f>
        <v>0</v>
      </c>
      <c r="L40" s="92">
        <f t="shared" si="43"/>
        <v>0</v>
      </c>
      <c r="M40" s="92">
        <f t="shared" si="43"/>
        <v>0</v>
      </c>
      <c r="N40" s="92">
        <f t="shared" si="43"/>
        <v>0</v>
      </c>
      <c r="O40" s="92">
        <f t="shared" si="43"/>
        <v>0</v>
      </c>
      <c r="P40" s="92">
        <f t="shared" si="43"/>
        <v>0</v>
      </c>
      <c r="Q40" s="92">
        <f t="shared" si="43"/>
        <v>0</v>
      </c>
      <c r="R40" s="92">
        <f t="shared" si="43"/>
        <v>0</v>
      </c>
      <c r="S40" s="92">
        <f t="shared" si="43"/>
        <v>0</v>
      </c>
      <c r="T40" s="794"/>
    </row>
    <row r="41" spans="2:21" hidden="1" x14ac:dyDescent="0.3">
      <c r="D41" s="54"/>
      <c r="E41" s="93"/>
      <c r="F41" s="93" t="str">
        <f>IFERROR(F40-E40/E40,"")</f>
        <v/>
      </c>
      <c r="G41" s="93" t="str">
        <f t="shared" ref="G41:I41" si="44">IFERROR(G40-F40/F40,"")</f>
        <v/>
      </c>
      <c r="H41" s="93" t="str">
        <f t="shared" si="44"/>
        <v/>
      </c>
      <c r="I41" s="94" t="str">
        <f t="shared" si="44"/>
        <v/>
      </c>
      <c r="J41" s="95"/>
      <c r="K41" s="95"/>
      <c r="L41" s="95"/>
      <c r="M41" s="95"/>
      <c r="N41" s="95"/>
      <c r="O41" s="95"/>
      <c r="P41" s="95"/>
      <c r="Q41" s="95"/>
      <c r="R41" s="95"/>
      <c r="S41" s="95"/>
      <c r="T41" s="93"/>
    </row>
    <row r="42" spans="2:21" hidden="1" x14ac:dyDescent="0.3">
      <c r="B42" t="s">
        <v>125</v>
      </c>
      <c r="D42" s="54">
        <f>IFERROR(I42/$I$13,"")</f>
        <v>0</v>
      </c>
      <c r="E42" s="80"/>
      <c r="F42" s="80"/>
      <c r="G42" s="80"/>
      <c r="H42" s="80"/>
      <c r="I42" s="97"/>
      <c r="J42" s="92">
        <f>I42*(1+J43)</f>
        <v>0</v>
      </c>
      <c r="K42" s="92">
        <f t="shared" ref="K42:S42" si="45">J42*(1+K43)</f>
        <v>0</v>
      </c>
      <c r="L42" s="92">
        <f t="shared" si="45"/>
        <v>0</v>
      </c>
      <c r="M42" s="92">
        <f t="shared" si="45"/>
        <v>0</v>
      </c>
      <c r="N42" s="92">
        <f t="shared" si="45"/>
        <v>0</v>
      </c>
      <c r="O42" s="92">
        <f t="shared" si="45"/>
        <v>0</v>
      </c>
      <c r="P42" s="92">
        <f t="shared" si="45"/>
        <v>0</v>
      </c>
      <c r="Q42" s="92">
        <f t="shared" si="45"/>
        <v>0</v>
      </c>
      <c r="R42" s="92">
        <f t="shared" si="45"/>
        <v>0</v>
      </c>
      <c r="S42" s="92">
        <f t="shared" si="45"/>
        <v>0</v>
      </c>
      <c r="T42" s="794"/>
    </row>
    <row r="43" spans="2:21" hidden="1" x14ac:dyDescent="0.3">
      <c r="D43" s="54"/>
      <c r="E43" s="93"/>
      <c r="F43" s="93" t="str">
        <f>IFERROR(F42-E42/E42,"")</f>
        <v/>
      </c>
      <c r="G43" s="93" t="str">
        <f t="shared" ref="G43:I43" si="46">IFERROR(G42-F42/F42,"")</f>
        <v/>
      </c>
      <c r="H43" s="93" t="str">
        <f t="shared" si="46"/>
        <v/>
      </c>
      <c r="I43" s="94" t="str">
        <f t="shared" si="46"/>
        <v/>
      </c>
      <c r="J43" s="95"/>
      <c r="K43" s="95"/>
      <c r="L43" s="95"/>
      <c r="M43" s="95"/>
      <c r="N43" s="95"/>
      <c r="O43" s="95"/>
      <c r="P43" s="95"/>
      <c r="Q43" s="95"/>
      <c r="R43" s="95"/>
      <c r="S43" s="95"/>
      <c r="T43" s="93"/>
    </row>
    <row r="44" spans="2:21" hidden="1" x14ac:dyDescent="0.3">
      <c r="B44" t="s">
        <v>126</v>
      </c>
      <c r="D44" s="54">
        <f>IFERROR(I44/$I$13,"")</f>
        <v>0</v>
      </c>
      <c r="E44" s="80"/>
      <c r="F44" s="80"/>
      <c r="G44" s="80"/>
      <c r="H44" s="80"/>
      <c r="I44" s="97"/>
      <c r="J44" s="92">
        <f>I44*(1+J45)</f>
        <v>0</v>
      </c>
      <c r="K44" s="92">
        <f t="shared" ref="K44:S44" si="47">J44*(1+K45)</f>
        <v>0</v>
      </c>
      <c r="L44" s="92">
        <f t="shared" si="47"/>
        <v>0</v>
      </c>
      <c r="M44" s="92">
        <f t="shared" si="47"/>
        <v>0</v>
      </c>
      <c r="N44" s="92">
        <f t="shared" si="47"/>
        <v>0</v>
      </c>
      <c r="O44" s="92">
        <f t="shared" si="47"/>
        <v>0</v>
      </c>
      <c r="P44" s="92">
        <f t="shared" si="47"/>
        <v>0</v>
      </c>
      <c r="Q44" s="92">
        <f t="shared" si="47"/>
        <v>0</v>
      </c>
      <c r="R44" s="92">
        <f t="shared" si="47"/>
        <v>0</v>
      </c>
      <c r="S44" s="92">
        <f t="shared" si="47"/>
        <v>0</v>
      </c>
      <c r="T44" s="794"/>
    </row>
    <row r="45" spans="2:21" hidden="1" x14ac:dyDescent="0.3">
      <c r="D45" s="54"/>
      <c r="E45" s="93"/>
      <c r="F45" s="93" t="str">
        <f>IFERROR(F44-E44/E44,"")</f>
        <v/>
      </c>
      <c r="G45" s="93" t="str">
        <f t="shared" ref="G45:I45" si="48">IFERROR(G44-F44/F44,"")</f>
        <v/>
      </c>
      <c r="H45" s="93" t="str">
        <f t="shared" si="48"/>
        <v/>
      </c>
      <c r="I45" s="94" t="str">
        <f t="shared" si="48"/>
        <v/>
      </c>
      <c r="J45" s="95"/>
      <c r="K45" s="95"/>
      <c r="L45" s="95"/>
      <c r="M45" s="95"/>
      <c r="N45" s="95"/>
      <c r="O45" s="95"/>
      <c r="P45" s="95"/>
      <c r="Q45" s="95"/>
      <c r="R45" s="95"/>
      <c r="S45" s="95"/>
      <c r="T45" s="93"/>
    </row>
    <row r="46" spans="2:21" ht="14.5" x14ac:dyDescent="0.35">
      <c r="B46" s="244" t="s">
        <v>122</v>
      </c>
      <c r="D46" s="93"/>
      <c r="E46" s="93"/>
      <c r="F46" s="93">
        <f>+F38/E38-1</f>
        <v>-1.2753794703001309E-2</v>
      </c>
      <c r="G46" s="93">
        <f t="shared" ref="G46:I46" si="49">+G38/F38-1</f>
        <v>0.21417295023626925</v>
      </c>
      <c r="H46" s="93">
        <f t="shared" si="49"/>
        <v>3.3127060524320795E-2</v>
      </c>
      <c r="I46" s="94">
        <f t="shared" si="49"/>
        <v>-6.6902730375426711E-2</v>
      </c>
      <c r="J46" s="776">
        <f>+AVERAGE(J37,J35)</f>
        <v>8.0850000000000005E-2</v>
      </c>
      <c r="K46" s="776">
        <f>+J46</f>
        <v>8.0850000000000005E-2</v>
      </c>
      <c r="L46" s="776">
        <f t="shared" ref="L46:S46" si="50">+K46</f>
        <v>8.0850000000000005E-2</v>
      </c>
      <c r="M46" s="776">
        <f t="shared" si="50"/>
        <v>8.0850000000000005E-2</v>
      </c>
      <c r="N46" s="776">
        <f t="shared" si="50"/>
        <v>8.0850000000000005E-2</v>
      </c>
      <c r="O46" s="776">
        <f t="shared" si="50"/>
        <v>8.0850000000000005E-2</v>
      </c>
      <c r="P46" s="776">
        <f t="shared" si="50"/>
        <v>8.0850000000000005E-2</v>
      </c>
      <c r="Q46" s="776">
        <f t="shared" si="50"/>
        <v>8.0850000000000005E-2</v>
      </c>
      <c r="R46" s="776">
        <f t="shared" si="50"/>
        <v>8.0850000000000005E-2</v>
      </c>
      <c r="S46" s="776">
        <f t="shared" si="50"/>
        <v>8.0850000000000005E-2</v>
      </c>
      <c r="T46" s="776"/>
    </row>
    <row r="47" spans="2:21" x14ac:dyDescent="0.3">
      <c r="B47" s="1" t="s">
        <v>109</v>
      </c>
      <c r="D47" s="81">
        <f>SUM(D34:D44)</f>
        <v>1.0000000000000002</v>
      </c>
      <c r="E47" s="82">
        <f>SUM(E34:E44)</f>
        <v>31900.41</v>
      </c>
      <c r="F47" s="82">
        <f t="shared" ref="F47:S47" si="51">SUM(F34:F44)</f>
        <v>42998.544367694296</v>
      </c>
      <c r="G47" s="82">
        <f t="shared" si="51"/>
        <v>44622.041802003601</v>
      </c>
      <c r="H47" s="82">
        <f t="shared" si="51"/>
        <v>32765.170983718108</v>
      </c>
      <c r="I47" s="98">
        <f t="shared" si="51"/>
        <v>66195.033587005048</v>
      </c>
      <c r="J47" s="82">
        <f t="shared" si="51"/>
        <v>72177.431824999992</v>
      </c>
      <c r="K47" s="82">
        <f t="shared" si="51"/>
        <v>78736.256571710954</v>
      </c>
      <c r="L47" s="82">
        <f t="shared" si="51"/>
        <v>85926.951751112734</v>
      </c>
      <c r="M47" s="82">
        <f t="shared" si="51"/>
        <v>93812.749789351699</v>
      </c>
      <c r="N47" s="82">
        <f t="shared" si="51"/>
        <v>102463.35808590321</v>
      </c>
      <c r="O47" s="82">
        <f t="shared" si="51"/>
        <v>111955.63095986994</v>
      </c>
      <c r="P47" s="82">
        <f t="shared" si="51"/>
        <v>122374.31186095775</v>
      </c>
      <c r="Q47" s="82">
        <f t="shared" si="51"/>
        <v>133812.85322449947</v>
      </c>
      <c r="R47" s="82">
        <f t="shared" si="51"/>
        <v>146374.32212682368</v>
      </c>
      <c r="S47" s="82">
        <f t="shared" si="51"/>
        <v>160172.40075610633</v>
      </c>
      <c r="T47" s="82"/>
    </row>
    <row r="48" spans="2:21" ht="8.25" customHeight="1" x14ac:dyDescent="0.3"/>
    <row r="49" spans="2:15" ht="15.5" x14ac:dyDescent="0.35">
      <c r="B49" s="57" t="s">
        <v>127</v>
      </c>
      <c r="C49" s="58"/>
      <c r="D49" s="57"/>
      <c r="E49" s="58"/>
      <c r="F49" s="58"/>
      <c r="G49" s="58"/>
      <c r="H49" s="58"/>
      <c r="I49" s="58"/>
      <c r="J49" s="85"/>
      <c r="K49" s="86"/>
      <c r="L49" s="86"/>
      <c r="M49" s="86"/>
      <c r="N49" s="86"/>
      <c r="O49" s="86"/>
    </row>
    <row r="50" spans="2:15" ht="4.1500000000000004" customHeight="1" x14ac:dyDescent="0.35">
      <c r="B50" s="59"/>
      <c r="C50" s="59"/>
      <c r="D50" s="59"/>
      <c r="E50" s="59"/>
      <c r="F50" s="59"/>
      <c r="G50" s="59"/>
      <c r="H50" s="59"/>
      <c r="I50" s="59"/>
      <c r="J50" s="87"/>
      <c r="K50" s="87"/>
      <c r="L50" s="87"/>
      <c r="M50" s="87"/>
      <c r="N50" s="87"/>
      <c r="O50" s="87"/>
    </row>
    <row r="51" spans="2:15" ht="40.15" customHeight="1" x14ac:dyDescent="0.3">
      <c r="B51" s="99"/>
      <c r="D51" s="942"/>
      <c r="E51" s="942"/>
      <c r="F51" s="942"/>
      <c r="G51" s="942"/>
      <c r="H51" s="942"/>
      <c r="I51" s="942"/>
      <c r="J51" s="942"/>
      <c r="K51" s="942"/>
      <c r="L51" s="942"/>
      <c r="M51" s="942"/>
      <c r="N51" s="942"/>
      <c r="O51" s="942"/>
    </row>
    <row r="52" spans="2:15" ht="40.15" customHeight="1" x14ac:dyDescent="0.3">
      <c r="B52" s="941"/>
      <c r="C52" s="941"/>
      <c r="D52" s="937"/>
      <c r="E52" s="937"/>
      <c r="F52" s="937"/>
      <c r="G52" s="937"/>
      <c r="H52" s="937"/>
      <c r="I52" s="937"/>
      <c r="J52" s="937"/>
      <c r="K52" s="937"/>
      <c r="L52" s="937"/>
      <c r="M52" s="937"/>
      <c r="N52" s="937"/>
    </row>
    <row r="53" spans="2:15" ht="40.15" customHeight="1" x14ac:dyDescent="0.3">
      <c r="B53" s="941"/>
      <c r="C53" s="941"/>
      <c r="D53" s="937"/>
      <c r="E53" s="937"/>
      <c r="F53" s="937"/>
      <c r="G53" s="937"/>
      <c r="H53" s="937"/>
      <c r="I53" s="937"/>
      <c r="J53" s="937"/>
      <c r="K53" s="937"/>
      <c r="L53" s="937"/>
      <c r="M53" s="937"/>
      <c r="N53" s="937"/>
    </row>
    <row r="54" spans="2:15" ht="40.15" customHeight="1" x14ac:dyDescent="0.3">
      <c r="B54" s="941"/>
      <c r="C54" s="941"/>
      <c r="D54" s="937"/>
      <c r="E54" s="937"/>
      <c r="F54" s="937"/>
      <c r="G54" s="937"/>
      <c r="H54" s="937"/>
      <c r="I54" s="937"/>
      <c r="J54" s="937"/>
      <c r="K54" s="937"/>
      <c r="L54" s="937"/>
      <c r="M54" s="937"/>
      <c r="N54" s="937"/>
    </row>
    <row r="55" spans="2:15" ht="40.15" customHeight="1" x14ac:dyDescent="0.3">
      <c r="B55" s="941"/>
      <c r="C55" s="941"/>
      <c r="D55" s="609"/>
    </row>
  </sheetData>
  <mergeCells count="18">
    <mergeCell ref="B53:C53"/>
    <mergeCell ref="D53:N53"/>
    <mergeCell ref="B54:C54"/>
    <mergeCell ref="D54:N54"/>
    <mergeCell ref="B55:C55"/>
    <mergeCell ref="B52:C52"/>
    <mergeCell ref="D52:N52"/>
    <mergeCell ref="B26:C26"/>
    <mergeCell ref="D26:I26"/>
    <mergeCell ref="B27:C27"/>
    <mergeCell ref="D27:I27"/>
    <mergeCell ref="B28:C28"/>
    <mergeCell ref="D28:I28"/>
    <mergeCell ref="B29:C29"/>
    <mergeCell ref="D29:I29"/>
    <mergeCell ref="B30:C30"/>
    <mergeCell ref="D30:I30"/>
    <mergeCell ref="D51:O51"/>
  </mergeCells>
  <conditionalFormatting sqref="D6:D12">
    <cfRule type="dataBar" priority="9">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8">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4:D46">
    <cfRule type="dataBar" priority="7">
      <dataBar>
        <cfvo type="min"/>
        <cfvo type="max"/>
        <color rgb="FF63C384"/>
      </dataBar>
      <extLst>
        <ext xmlns:x14="http://schemas.microsoft.com/office/spreadsheetml/2009/9/main" uri="{B025F937-C7B1-47D3-B67F-A62EFF666E3E}">
          <x14:id>{8289347D-B214-462A-80A7-26906AF72159}</x14:id>
        </ext>
      </extLst>
    </cfRule>
  </conditionalFormatting>
  <conditionalFormatting sqref="K6:K12 K6:N10">
    <cfRule type="dataBar" priority="16">
      <dataBar>
        <cfvo type="min"/>
        <cfvo type="max"/>
        <color rgb="FF63C384"/>
      </dataBar>
      <extLst>
        <ext xmlns:x14="http://schemas.microsoft.com/office/spreadsheetml/2009/9/main" uri="{B025F937-C7B1-47D3-B67F-A62EFF666E3E}">
          <x14:id>{CE64AA8B-8C2B-4BA4-B159-A0DEB993C03C}</x14:id>
        </ext>
      </extLst>
    </cfRule>
  </conditionalFormatting>
  <conditionalFormatting sqref="K13">
    <cfRule type="dataBar" priority="1">
      <dataBar>
        <cfvo type="min"/>
        <cfvo type="max"/>
        <color rgb="FF63C384"/>
      </dataBar>
      <extLst>
        <ext xmlns:x14="http://schemas.microsoft.com/office/spreadsheetml/2009/9/main" uri="{B025F937-C7B1-47D3-B67F-A62EFF666E3E}">
          <x14:id>{DFE18135-7F00-4A40-814B-FD0B3A56094B}</x14:id>
        </ext>
      </extLst>
    </cfRule>
  </conditionalFormatting>
  <conditionalFormatting sqref="K17:K22 K17:N21">
    <cfRule type="dataBar" priority="13">
      <dataBar>
        <cfvo type="min"/>
        <cfvo type="max"/>
        <color rgb="FF63C384"/>
      </dataBar>
      <extLst>
        <ext xmlns:x14="http://schemas.microsoft.com/office/spreadsheetml/2009/9/main" uri="{B025F937-C7B1-47D3-B67F-A62EFF666E3E}">
          <x14:id>{EBD56D69-4BB4-43B8-8D45-285F41F83244}</x14:id>
        </ext>
      </extLst>
    </cfRule>
  </conditionalFormatting>
  <conditionalFormatting sqref="L6">
    <cfRule type="dataBar" priority="5">
      <dataBar>
        <cfvo type="min"/>
        <cfvo type="max"/>
        <color rgb="FF63C384"/>
      </dataBar>
      <extLst>
        <ext xmlns:x14="http://schemas.microsoft.com/office/spreadsheetml/2009/9/main" uri="{B025F937-C7B1-47D3-B67F-A62EFF666E3E}">
          <x14:id>{D88E6CD7-7339-4BC3-AE7D-007197489E96}</x14:id>
        </ext>
      </extLst>
    </cfRule>
  </conditionalFormatting>
  <conditionalFormatting sqref="L7:L12">
    <cfRule type="dataBar" priority="15">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3">
    <cfRule type="dataBar" priority="2">
      <dataBar>
        <cfvo type="min"/>
        <cfvo type="max"/>
        <color rgb="FF63C384"/>
      </dataBar>
      <extLst>
        <ext xmlns:x14="http://schemas.microsoft.com/office/spreadsheetml/2009/9/main" uri="{B025F937-C7B1-47D3-B67F-A62EFF666E3E}">
          <x14:id>{69F79790-8773-40FB-A3C5-EECE0653C206}</x14:id>
        </ext>
      </extLst>
    </cfRule>
  </conditionalFormatting>
  <conditionalFormatting sqref="L17:L22">
    <cfRule type="dataBar" priority="12">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
    <cfRule type="dataBar" priority="4">
      <dataBar>
        <cfvo type="min"/>
        <cfvo type="max"/>
        <color rgb="FF63C384"/>
      </dataBar>
      <extLst>
        <ext xmlns:x14="http://schemas.microsoft.com/office/spreadsheetml/2009/9/main" uri="{B025F937-C7B1-47D3-B67F-A62EFF666E3E}">
          <x14:id>{BBB92F52-8D30-4FBA-909A-9DCA61D11DD1}</x14:id>
        </ext>
      </extLst>
    </cfRule>
  </conditionalFormatting>
  <conditionalFormatting sqref="M7:M13">
    <cfRule type="dataBar" priority="14">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11">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
    <cfRule type="dataBar" priority="3">
      <dataBar>
        <cfvo type="min"/>
        <cfvo type="max"/>
        <color rgb="FF63C384"/>
      </dataBar>
      <extLst>
        <ext xmlns:x14="http://schemas.microsoft.com/office/spreadsheetml/2009/9/main" uri="{B025F937-C7B1-47D3-B67F-A62EFF666E3E}">
          <x14:id>{322992FA-29E1-4C0C-835C-9750097E7C59}</x14:id>
        </ext>
      </extLst>
    </cfRule>
  </conditionalFormatting>
  <conditionalFormatting sqref="N7:N13">
    <cfRule type="dataBar" priority="6">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10">
      <dataBar>
        <cfvo type="min"/>
        <cfvo type="max"/>
        <color rgb="FF63C384"/>
      </dataBar>
      <extLst>
        <ext xmlns:x14="http://schemas.microsoft.com/office/spreadsheetml/2009/9/main" uri="{B025F937-C7B1-47D3-B67F-A62EFF666E3E}">
          <x14:id>{7B3C7607-6293-4B76-B5C4-D8046AB98ECC}</x14:id>
        </ext>
      </extLst>
    </cfRule>
  </conditionalFormatting>
  <hyperlinks>
    <hyperlink ref="T36" r:id="rId1" xr:uid="{9EC4074D-C688-4906-916F-511DDFE86DEC}"/>
    <hyperlink ref="T34" r:id="rId2" xr:uid="{A8E7F20E-C7B3-40F5-8AD5-21433DB13519}"/>
  </hyperlinks>
  <pageMargins left="0.7" right="0.7" top="0.75" bottom="0.75" header="0.3" footer="0.3"/>
  <pageSetup paperSize="9" orientation="portrait" r:id="rId3"/>
  <drawing r:id="rId4"/>
  <legacyDrawing r:id="rId5"/>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D34:D46</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K6:K12 K6:N10</xm:sqref>
        </x14:conditionalFormatting>
        <x14:conditionalFormatting xmlns:xm="http://schemas.microsoft.com/office/excel/2006/main">
          <x14:cfRule type="dataBar" id="{DFE18135-7F00-4A40-814B-FD0B3A56094B}">
            <x14:dataBar minLength="0" maxLength="100" gradient="0">
              <x14:cfvo type="autoMin"/>
              <x14:cfvo type="autoMax"/>
              <x14:negativeFillColor rgb="FFFF0000"/>
              <x14:axisColor rgb="FF000000"/>
            </x14:dataBar>
          </x14:cfRule>
          <xm:sqref>K13</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 K17:N21</xm:sqref>
        </x14:conditionalFormatting>
        <x14:conditionalFormatting xmlns:xm="http://schemas.microsoft.com/office/excel/2006/main">
          <x14:cfRule type="dataBar" id="{D88E6CD7-7339-4BC3-AE7D-007197489E96}">
            <x14:dataBar minLength="0" maxLength="100" gradient="0">
              <x14:cfvo type="autoMin"/>
              <x14:cfvo type="autoMax"/>
              <x14:negativeFillColor rgb="FFFF0000"/>
              <x14:axisColor rgb="FF000000"/>
            </x14:dataBar>
          </x14:cfRule>
          <xm:sqref>L6</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L7:L12</xm:sqref>
        </x14:conditionalFormatting>
        <x14:conditionalFormatting xmlns:xm="http://schemas.microsoft.com/office/excel/2006/main">
          <x14:cfRule type="dataBar" id="{69F79790-8773-40FB-A3C5-EECE0653C206}">
            <x14:dataBar minLength="0" maxLength="100" gradient="0">
              <x14:cfvo type="autoMin"/>
              <x14:cfvo type="autoMax"/>
              <x14:negativeFillColor rgb="FFFF0000"/>
              <x14:axisColor rgb="FF000000"/>
            </x14:dataBar>
          </x14:cfRule>
          <xm:sqref>L13</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BBB92F52-8D30-4FBA-909A-9DCA61D11DD1}">
            <x14:dataBar minLength="0" maxLength="100" gradient="0">
              <x14:cfvo type="autoMin"/>
              <x14:cfvo type="autoMax"/>
              <x14:negativeFillColor rgb="FFFF0000"/>
              <x14:axisColor rgb="FF000000"/>
            </x14:dataBar>
          </x14:cfRule>
          <xm:sqref>M6</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M7:M13</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322992FA-29E1-4C0C-835C-9750097E7C59}">
            <x14:dataBar minLength="0" maxLength="100" gradient="0">
              <x14:cfvo type="autoMin"/>
              <x14:cfvo type="autoMax"/>
              <x14:negativeFillColor rgb="FFFF0000"/>
              <x14:axisColor rgb="FF000000"/>
            </x14:dataBar>
          </x14:cfRule>
          <xm:sqref>N6</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N7:N13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R74"/>
  <sheetViews>
    <sheetView showGridLines="0" topLeftCell="A49" zoomScale="85" zoomScaleNormal="85" workbookViewId="0">
      <selection activeCell="B45" sqref="B45"/>
    </sheetView>
  </sheetViews>
  <sheetFormatPr defaultRowHeight="14" x14ac:dyDescent="0.3"/>
  <cols>
    <col min="1" max="1" width="2.25" customWidth="1"/>
    <col min="2" max="2" width="35.75" customWidth="1"/>
    <col min="4" max="4" width="11" customWidth="1"/>
    <col min="5" max="5" width="13.25" customWidth="1"/>
    <col min="6" max="16" width="12.58203125" customWidth="1"/>
    <col min="17" max="17" width="21.75" style="6" customWidth="1"/>
    <col min="18" max="18" width="23.75" customWidth="1"/>
    <col min="19" max="32" width="12.58203125" customWidth="1"/>
  </cols>
  <sheetData>
    <row r="2" spans="2:18" s="35" customFormat="1" ht="20.25" customHeight="1" x14ac:dyDescent="0.4">
      <c r="B2" s="34" t="s">
        <v>128</v>
      </c>
      <c r="Q2" s="36"/>
    </row>
    <row r="3" spans="2:18" x14ac:dyDescent="0.3">
      <c r="E3" s="664">
        <v>584.16999999999996</v>
      </c>
      <c r="F3" s="664">
        <v>627.76</v>
      </c>
      <c r="G3" s="664">
        <v>676.06</v>
      </c>
      <c r="H3" s="664">
        <v>729.63</v>
      </c>
      <c r="I3" s="664">
        <v>789.13</v>
      </c>
      <c r="J3" s="664">
        <v>855.3</v>
      </c>
      <c r="K3" s="664">
        <v>929</v>
      </c>
      <c r="L3" s="664">
        <v>997.69</v>
      </c>
      <c r="M3" s="664">
        <v>1067.6300000000001</v>
      </c>
      <c r="N3" s="664">
        <v>1137.57</v>
      </c>
      <c r="O3" s="664">
        <v>1207.51</v>
      </c>
    </row>
    <row r="4" spans="2:18" ht="15.5" x14ac:dyDescent="0.35">
      <c r="B4" s="43" t="s">
        <v>129</v>
      </c>
      <c r="C4" s="47"/>
      <c r="D4" s="47"/>
      <c r="E4" s="43" t="s">
        <v>103</v>
      </c>
      <c r="F4" s="48">
        <v>2025</v>
      </c>
      <c r="G4" s="48">
        <f>+F4+1</f>
        <v>2026</v>
      </c>
      <c r="H4" s="48">
        <f>+G4+1</f>
        <v>2027</v>
      </c>
      <c r="I4" s="48">
        <f t="shared" ref="I4:P4" si="0">+H4+1</f>
        <v>2028</v>
      </c>
      <c r="J4" s="48">
        <f t="shared" si="0"/>
        <v>2029</v>
      </c>
      <c r="K4" s="48">
        <f t="shared" si="0"/>
        <v>2030</v>
      </c>
      <c r="L4" s="48">
        <f t="shared" si="0"/>
        <v>2031</v>
      </c>
      <c r="M4" s="48">
        <f t="shared" si="0"/>
        <v>2032</v>
      </c>
      <c r="N4" s="48">
        <f t="shared" si="0"/>
        <v>2033</v>
      </c>
      <c r="O4" s="48">
        <f t="shared" si="0"/>
        <v>2034</v>
      </c>
      <c r="P4" s="48">
        <f t="shared" si="0"/>
        <v>2035</v>
      </c>
      <c r="Q4" s="49" t="str">
        <f>"CAGR "&amp;$F$4&amp;" - "&amp;$P$4</f>
        <v>CAGR 2025 - 2035</v>
      </c>
      <c r="R4" s="50" t="s">
        <v>130</v>
      </c>
    </row>
    <row r="5" spans="2:18" ht="4.1500000000000004" customHeight="1" x14ac:dyDescent="0.35">
      <c r="B5" s="44"/>
      <c r="C5" s="44"/>
      <c r="D5" s="44"/>
      <c r="E5" s="44"/>
      <c r="F5" s="44"/>
      <c r="G5" s="44"/>
      <c r="H5" s="44"/>
      <c r="I5" s="44"/>
      <c r="J5" s="44"/>
      <c r="K5" s="44"/>
      <c r="L5" s="44"/>
      <c r="M5" s="44"/>
      <c r="N5" s="44"/>
      <c r="O5" s="44"/>
      <c r="P5" s="44"/>
      <c r="Q5" s="51"/>
      <c r="R5" s="51"/>
    </row>
    <row r="6" spans="2:18" ht="14.25" customHeight="1" x14ac:dyDescent="0.3">
      <c r="B6" t="s">
        <v>131</v>
      </c>
      <c r="D6" s="52"/>
      <c r="E6" s="95">
        <v>1</v>
      </c>
      <c r="F6" s="95">
        <f t="shared" ref="F6:O6" si="1">(F3-E3)/E3</f>
        <v>7.4618689764965732E-2</v>
      </c>
      <c r="G6" s="95">
        <f t="shared" si="1"/>
        <v>7.6940231935771555E-2</v>
      </c>
      <c r="H6" s="95">
        <f t="shared" si="1"/>
        <v>7.9238529124633986E-2</v>
      </c>
      <c r="I6" s="95">
        <f t="shared" si="1"/>
        <v>8.1548181955237581E-2</v>
      </c>
      <c r="J6" s="95">
        <f t="shared" si="1"/>
        <v>8.3851836832967902E-2</v>
      </c>
      <c r="K6" s="95">
        <f t="shared" si="1"/>
        <v>8.6168595814334212E-2</v>
      </c>
      <c r="L6" s="95">
        <f t="shared" si="1"/>
        <v>7.3939720129171216E-2</v>
      </c>
      <c r="M6" s="95">
        <f t="shared" si="1"/>
        <v>7.0101935470937918E-2</v>
      </c>
      <c r="N6" s="95">
        <f t="shared" si="1"/>
        <v>6.5509586654552435E-2</v>
      </c>
      <c r="O6" s="95">
        <f t="shared" si="1"/>
        <v>6.1481930782281584E-2</v>
      </c>
      <c r="P6" s="95"/>
      <c r="Q6" s="682" t="s">
        <v>132</v>
      </c>
      <c r="R6" s="927" t="s">
        <v>133</v>
      </c>
    </row>
    <row r="7" spans="2:18" x14ac:dyDescent="0.3">
      <c r="B7" s="761"/>
      <c r="D7" s="52"/>
      <c r="E7" s="95"/>
      <c r="F7" s="95"/>
      <c r="G7" s="95"/>
      <c r="H7" s="95"/>
      <c r="I7" s="95"/>
      <c r="J7" s="95"/>
      <c r="K7" s="95"/>
      <c r="L7" s="95"/>
      <c r="M7" s="95"/>
      <c r="N7" s="95"/>
      <c r="O7" s="95"/>
      <c r="P7" s="95"/>
      <c r="Q7" s="682"/>
      <c r="R7" s="759"/>
    </row>
    <row r="8" spans="2:18" x14ac:dyDescent="0.3">
      <c r="D8" s="52"/>
      <c r="E8" s="95"/>
      <c r="F8" s="95"/>
      <c r="G8" s="95"/>
      <c r="H8" s="95"/>
      <c r="I8" s="95"/>
      <c r="J8" s="95"/>
      <c r="K8" s="95"/>
      <c r="L8" s="95"/>
      <c r="M8" s="95"/>
      <c r="N8" s="95"/>
      <c r="O8" s="95"/>
      <c r="P8" s="95"/>
      <c r="Q8" s="682"/>
      <c r="R8" s="759"/>
    </row>
    <row r="9" spans="2:18" x14ac:dyDescent="0.3">
      <c r="B9" s="761"/>
      <c r="D9" s="52"/>
      <c r="E9" s="95"/>
      <c r="F9" s="95"/>
      <c r="G9" s="95"/>
      <c r="H9" s="95"/>
      <c r="I9" s="95"/>
      <c r="J9" s="95"/>
      <c r="K9" s="95"/>
      <c r="L9" s="95"/>
      <c r="M9" s="95"/>
      <c r="N9" s="95"/>
      <c r="O9" s="95"/>
      <c r="P9" s="95"/>
      <c r="Q9" s="682"/>
      <c r="R9" s="759"/>
    </row>
    <row r="10" spans="2:18" hidden="1" x14ac:dyDescent="0.3">
      <c r="D10" s="52"/>
      <c r="E10" s="95"/>
      <c r="F10" s="95"/>
      <c r="G10" s="95"/>
      <c r="H10" s="95"/>
      <c r="I10" s="95"/>
      <c r="J10" s="95"/>
      <c r="K10" s="95"/>
      <c r="L10" s="95"/>
      <c r="M10" s="95"/>
      <c r="N10" s="95"/>
      <c r="O10" s="95"/>
      <c r="P10" s="95"/>
      <c r="Q10" s="682"/>
      <c r="R10" s="54"/>
    </row>
    <row r="11" spans="2:18" ht="20.25" customHeight="1" x14ac:dyDescent="0.3">
      <c r="B11" s="1" t="s">
        <v>134</v>
      </c>
      <c r="E11" s="81">
        <f>SUM(E6:E10)</f>
        <v>1</v>
      </c>
      <c r="F11" s="81">
        <f t="shared" ref="F11:P11" si="2">SUMPRODUCT(F6:F10,$E$6:$E$10)</f>
        <v>7.4618689764965732E-2</v>
      </c>
      <c r="G11" s="81">
        <f t="shared" si="2"/>
        <v>7.6940231935771555E-2</v>
      </c>
      <c r="H11" s="81">
        <f t="shared" si="2"/>
        <v>7.9238529124633986E-2</v>
      </c>
      <c r="I11" s="81">
        <f t="shared" si="2"/>
        <v>8.1548181955237581E-2</v>
      </c>
      <c r="J11" s="81">
        <f t="shared" si="2"/>
        <v>8.3851836832967902E-2</v>
      </c>
      <c r="K11" s="81">
        <f t="shared" si="2"/>
        <v>8.6168595814334212E-2</v>
      </c>
      <c r="L11" s="81">
        <f t="shared" si="2"/>
        <v>7.3939720129171216E-2</v>
      </c>
      <c r="M11" s="81">
        <f t="shared" si="2"/>
        <v>7.0101935470937918E-2</v>
      </c>
      <c r="N11" s="81">
        <f t="shared" si="2"/>
        <v>6.5509586654552435E-2</v>
      </c>
      <c r="O11" s="81">
        <f t="shared" si="2"/>
        <v>6.1481930782281584E-2</v>
      </c>
      <c r="P11" s="81">
        <f t="shared" si="2"/>
        <v>0</v>
      </c>
      <c r="Q11" s="760">
        <f t="shared" ref="Q11" si="3">IFERROR(((1+F11)*(1+G11)*(1+H11)*(1+I11)*(1+J11)*(1+K11)*(1+L11)*(1+M11)*(1+N11)*(1+O11)*(1+P11))^(1/COUNT($F$4:$P$4))-1,"")</f>
        <v>6.8238723199352647E-2</v>
      </c>
      <c r="R11" s="56"/>
    </row>
    <row r="12" spans="2:18" ht="8.25" customHeight="1" x14ac:dyDescent="0.3"/>
    <row r="13" spans="2:18" ht="15" customHeight="1" x14ac:dyDescent="0.35">
      <c r="B13" s="57" t="s">
        <v>135</v>
      </c>
      <c r="C13" s="58"/>
      <c r="D13" s="58"/>
      <c r="E13" s="57" t="s">
        <v>114</v>
      </c>
      <c r="F13" s="58"/>
      <c r="G13" s="58"/>
      <c r="H13" s="58"/>
      <c r="I13" s="58"/>
      <c r="J13" s="58"/>
      <c r="K13" s="58"/>
      <c r="L13" s="58"/>
      <c r="M13" s="58"/>
      <c r="N13" s="58"/>
      <c r="O13" s="58"/>
      <c r="P13" s="58"/>
      <c r="Q13"/>
      <c r="R13" s="55"/>
    </row>
    <row r="14" spans="2:18" ht="4.1500000000000004" customHeight="1" x14ac:dyDescent="0.35">
      <c r="B14" s="59"/>
      <c r="C14" s="59"/>
      <c r="D14" s="59"/>
      <c r="E14" s="59"/>
      <c r="F14" s="59"/>
      <c r="G14" s="59"/>
      <c r="H14" s="59"/>
      <c r="I14" s="59"/>
      <c r="J14" s="59"/>
      <c r="K14" s="59"/>
      <c r="L14" s="59"/>
      <c r="M14" s="59"/>
      <c r="N14" s="59"/>
      <c r="O14" s="59"/>
      <c r="P14" s="59"/>
      <c r="Q14" s="55"/>
      <c r="R14" s="55"/>
    </row>
    <row r="15" spans="2:18" ht="40.15" customHeight="1" x14ac:dyDescent="0.3">
      <c r="B15" s="99" t="s">
        <v>136</v>
      </c>
      <c r="C15" s="99"/>
      <c r="D15" s="758"/>
      <c r="E15" s="943" t="s">
        <v>137</v>
      </c>
      <c r="F15" s="943"/>
      <c r="G15" s="943"/>
      <c r="H15" s="943"/>
      <c r="I15" s="943"/>
      <c r="J15" s="943"/>
      <c r="K15" s="943"/>
      <c r="L15" s="943"/>
      <c r="M15" s="943"/>
      <c r="N15" s="943"/>
      <c r="O15" s="943"/>
      <c r="P15" s="943"/>
      <c r="Q15" s="55"/>
      <c r="R15" s="1"/>
    </row>
    <row r="16" spans="2:18" ht="40.15" customHeight="1" x14ac:dyDescent="0.3">
      <c r="B16" s="99" t="s">
        <v>138</v>
      </c>
      <c r="C16" s="99"/>
      <c r="D16" s="758"/>
      <c r="E16" s="943" t="s">
        <v>139</v>
      </c>
      <c r="F16" s="943"/>
      <c r="G16" s="943"/>
      <c r="H16" s="943"/>
      <c r="I16" s="943"/>
      <c r="J16" s="943"/>
      <c r="K16" s="943"/>
      <c r="L16" s="943"/>
      <c r="M16" s="943"/>
      <c r="N16" s="943"/>
      <c r="O16" s="943"/>
      <c r="P16" s="943"/>
    </row>
    <row r="17" spans="2:16" ht="40.15" customHeight="1" x14ac:dyDescent="0.3">
      <c r="B17" s="99" t="s">
        <v>140</v>
      </c>
      <c r="C17" s="99"/>
      <c r="D17" s="758"/>
      <c r="E17" s="943" t="s">
        <v>141</v>
      </c>
      <c r="F17" s="943"/>
      <c r="G17" s="943"/>
      <c r="H17" s="943"/>
      <c r="I17" s="943"/>
      <c r="J17" s="943"/>
      <c r="K17" s="943"/>
      <c r="L17" s="943"/>
      <c r="M17" s="943"/>
      <c r="N17" s="943"/>
      <c r="O17" s="943"/>
      <c r="P17" s="943"/>
    </row>
    <row r="18" spans="2:16" ht="40.15" customHeight="1" x14ac:dyDescent="0.3">
      <c r="B18" s="99" t="s">
        <v>142</v>
      </c>
      <c r="C18" s="99"/>
      <c r="D18" s="758"/>
      <c r="E18" s="943" t="s">
        <v>143</v>
      </c>
      <c r="F18" s="943"/>
      <c r="G18" s="943"/>
      <c r="H18" s="943"/>
      <c r="I18" s="943"/>
      <c r="J18" s="943"/>
      <c r="K18" s="943"/>
      <c r="L18" s="943"/>
      <c r="M18" s="943"/>
      <c r="N18" s="943"/>
      <c r="O18" s="943"/>
      <c r="P18" s="943"/>
    </row>
    <row r="19" spans="2:16" ht="8.25" customHeight="1" x14ac:dyDescent="0.3">
      <c r="F19" s="61"/>
      <c r="G19" s="61"/>
      <c r="H19" s="61"/>
      <c r="I19" s="61"/>
      <c r="J19" s="61"/>
      <c r="K19" s="61"/>
      <c r="L19" s="61"/>
      <c r="M19" s="61"/>
      <c r="N19" s="61"/>
      <c r="O19" s="61"/>
      <c r="P19" s="61"/>
    </row>
    <row r="20" spans="2:16" ht="15.5" x14ac:dyDescent="0.35">
      <c r="B20" s="57" t="s">
        <v>144</v>
      </c>
      <c r="C20" s="58"/>
      <c r="D20" s="58"/>
      <c r="E20" s="57" t="s">
        <v>114</v>
      </c>
      <c r="F20" s="58"/>
      <c r="G20" s="58"/>
      <c r="H20" s="58"/>
      <c r="I20" s="58"/>
      <c r="J20" s="58"/>
      <c r="K20" s="58"/>
      <c r="L20" s="58"/>
      <c r="M20" s="58"/>
      <c r="N20" s="58"/>
      <c r="O20" s="58"/>
      <c r="P20" s="58"/>
    </row>
    <row r="21" spans="2:16" ht="4.1500000000000004" customHeight="1" x14ac:dyDescent="0.35">
      <c r="B21" s="59"/>
      <c r="C21" s="59"/>
      <c r="D21" s="59"/>
      <c r="E21" s="59"/>
      <c r="F21" s="59"/>
      <c r="G21" s="59"/>
      <c r="H21" s="59"/>
      <c r="I21" s="59"/>
      <c r="J21" s="59"/>
      <c r="K21" s="59"/>
      <c r="L21" s="59"/>
      <c r="M21" s="59"/>
      <c r="N21" s="59"/>
      <c r="O21" s="59"/>
      <c r="P21" s="59"/>
    </row>
    <row r="22" spans="2:16" ht="40.15" customHeight="1" x14ac:dyDescent="0.3">
      <c r="B22" s="941" t="s">
        <v>145</v>
      </c>
      <c r="C22" s="941"/>
      <c r="D22" s="60"/>
      <c r="E22" s="943" t="s">
        <v>146</v>
      </c>
      <c r="F22" s="943"/>
      <c r="G22" s="943"/>
      <c r="H22" s="943"/>
      <c r="I22" s="943"/>
      <c r="J22" s="943"/>
      <c r="K22" s="943"/>
      <c r="L22" s="943"/>
      <c r="M22" s="943"/>
      <c r="N22" s="943"/>
      <c r="O22" s="943"/>
      <c r="P22" s="943"/>
    </row>
    <row r="23" spans="2:16" ht="37.5" customHeight="1" x14ac:dyDescent="0.3">
      <c r="B23" s="941" t="s">
        <v>147</v>
      </c>
      <c r="C23" s="941"/>
      <c r="D23" s="60"/>
      <c r="E23" s="943" t="s">
        <v>148</v>
      </c>
      <c r="F23" s="943"/>
      <c r="G23" s="943"/>
      <c r="H23" s="943"/>
      <c r="I23" s="943"/>
      <c r="J23" s="943"/>
      <c r="K23" s="943"/>
      <c r="L23" s="943"/>
      <c r="M23" s="943"/>
      <c r="N23" s="943"/>
      <c r="O23" s="943"/>
      <c r="P23" s="943"/>
    </row>
    <row r="24" spans="2:16" ht="40.15" customHeight="1" x14ac:dyDescent="0.3">
      <c r="B24" s="941" t="s">
        <v>149</v>
      </c>
      <c r="C24" s="941"/>
      <c r="D24" s="60"/>
      <c r="E24" s="943" t="s">
        <v>150</v>
      </c>
      <c r="F24" s="943"/>
      <c r="G24" s="943"/>
      <c r="H24" s="943"/>
      <c r="I24" s="943"/>
      <c r="J24" s="943"/>
      <c r="K24" s="943"/>
      <c r="L24" s="943"/>
      <c r="M24" s="943"/>
      <c r="N24" s="943"/>
      <c r="O24" s="943"/>
      <c r="P24" s="943"/>
    </row>
    <row r="25" spans="2:16" ht="32.25" customHeight="1" x14ac:dyDescent="0.3">
      <c r="B25" s="941" t="s">
        <v>151</v>
      </c>
      <c r="C25" s="941"/>
      <c r="D25" s="60"/>
      <c r="E25" s="943" t="s">
        <v>152</v>
      </c>
      <c r="F25" s="943"/>
      <c r="G25" s="943"/>
      <c r="H25" s="943"/>
      <c r="I25" s="943"/>
      <c r="J25" s="943"/>
      <c r="K25" s="943"/>
      <c r="L25" s="943"/>
      <c r="M25" s="943"/>
      <c r="N25" s="943"/>
      <c r="O25" s="943"/>
      <c r="P25" s="943"/>
    </row>
    <row r="26" spans="2:16" ht="32.25" customHeight="1" x14ac:dyDescent="0.3">
      <c r="B26" s="60" t="s">
        <v>153</v>
      </c>
      <c r="C26" s="60"/>
      <c r="D26" s="60"/>
      <c r="E26" s="937" t="s">
        <v>154</v>
      </c>
      <c r="F26" s="937"/>
      <c r="G26" s="937"/>
      <c r="H26" s="937"/>
      <c r="I26" s="937"/>
      <c r="J26" s="937"/>
      <c r="K26" s="937"/>
      <c r="L26" s="937"/>
      <c r="M26" s="937"/>
      <c r="N26" s="937"/>
      <c r="O26" s="937"/>
      <c r="P26" s="937"/>
    </row>
    <row r="27" spans="2:16" ht="15.5" x14ac:dyDescent="0.35">
      <c r="B27" s="43" t="s">
        <v>155</v>
      </c>
      <c r="C27" s="47"/>
      <c r="D27" s="47"/>
      <c r="E27" s="43" t="s">
        <v>156</v>
      </c>
      <c r="F27" s="43"/>
      <c r="G27" s="62" t="s">
        <v>157</v>
      </c>
      <c r="H27" s="63" t="s">
        <v>158</v>
      </c>
      <c r="I27" s="48" t="s">
        <v>159</v>
      </c>
      <c r="J27" s="48"/>
      <c r="K27" s="48"/>
      <c r="L27" s="48"/>
      <c r="M27" s="48"/>
      <c r="N27" s="48"/>
      <c r="O27" s="48"/>
      <c r="P27" s="48"/>
    </row>
    <row r="28" spans="2:16" ht="4.1500000000000004" customHeight="1" x14ac:dyDescent="0.35">
      <c r="B28" s="44"/>
      <c r="C28" s="44"/>
      <c r="D28" s="44"/>
      <c r="E28" s="44"/>
      <c r="F28" s="44"/>
      <c r="G28" s="44"/>
      <c r="H28" s="44"/>
      <c r="I28" s="44"/>
      <c r="J28" s="44"/>
      <c r="K28" s="44"/>
      <c r="L28" s="44"/>
      <c r="M28" s="44"/>
      <c r="N28" s="44"/>
      <c r="O28" s="44"/>
      <c r="P28" s="44"/>
    </row>
    <row r="29" spans="2:16" x14ac:dyDescent="0.3">
      <c r="B29" s="64" t="str" cm="1">
        <f t="array" aca="1" ref="B29" ca="1">+_FV(DCF!R4,"Name")</f>
        <v>SK hynix Inc.</v>
      </c>
      <c r="C29" s="64"/>
      <c r="D29" s="64"/>
      <c r="E29" s="65" t="s">
        <v>104</v>
      </c>
      <c r="F29" s="65"/>
      <c r="G29" s="66">
        <f>+Peers!D99</f>
        <v>66193</v>
      </c>
      <c r="H29" s="64"/>
      <c r="I29" s="67">
        <f t="shared" ref="I29:I36" si="4">IFERROR(G29/$G$41,"")</f>
        <v>0.28516592639183874</v>
      </c>
    </row>
    <row r="30" spans="2:16" x14ac:dyDescent="0.3">
      <c r="B30" t="str" cm="1">
        <f t="array" aca="1" ref="B30" ca="1">+_FV(Peers!A8,"Name")</f>
        <v>Samsung Electronics Co., Ltd.</v>
      </c>
      <c r="E30" s="68" t="s">
        <v>104</v>
      </c>
      <c r="F30" s="68"/>
      <c r="G30" s="69">
        <v>84500</v>
      </c>
      <c r="I30" s="70">
        <f t="shared" si="4"/>
        <v>0.36403427522714449</v>
      </c>
    </row>
    <row r="31" spans="2:16" x14ac:dyDescent="0.3">
      <c r="B31" t="str" cm="1">
        <f t="array" aca="1" ref="B31" ca="1">+_FV(Peers!A9,"Name")</f>
        <v>MICRON TECHNOLOGY, INC.</v>
      </c>
      <c r="E31" s="68" t="s">
        <v>107</v>
      </c>
      <c r="F31" s="68"/>
      <c r="G31" s="69">
        <v>33767</v>
      </c>
      <c r="I31" s="70">
        <f t="shared" si="4"/>
        <v>0.14547154285911226</v>
      </c>
    </row>
    <row r="32" spans="2:16" x14ac:dyDescent="0.3">
      <c r="B32" t="str" cm="1">
        <f t="array" aca="1" ref="B32" ca="1">+_FV(Peers!A10,"Name")</f>
        <v>Kioxia Holdings Corporation</v>
      </c>
      <c r="E32" s="68" t="s">
        <v>160</v>
      </c>
      <c r="F32" s="68"/>
      <c r="G32" s="69">
        <v>9842</v>
      </c>
      <c r="I32" s="70">
        <f t="shared" si="4"/>
        <v>4.2400299843616047E-2</v>
      </c>
    </row>
    <row r="33" spans="2:16" x14ac:dyDescent="0.3">
      <c r="B33" t="str" cm="1">
        <f t="array" aca="1" ref="B33" ca="1">+_FV(Peers!A11,"Name")</f>
        <v>WESTERN DIGITAL CORPORATION</v>
      </c>
      <c r="E33" s="68" t="s">
        <v>107</v>
      </c>
      <c r="F33" s="68"/>
      <c r="G33" s="69">
        <f>+Peers!H99</f>
        <v>17344.599999999999</v>
      </c>
      <c r="I33" s="70">
        <f t="shared" si="4"/>
        <v>7.4722235385854791E-2</v>
      </c>
    </row>
    <row r="34" spans="2:16" x14ac:dyDescent="0.3">
      <c r="E34" s="68"/>
      <c r="F34" s="68"/>
      <c r="G34" s="69"/>
      <c r="I34" s="70">
        <f t="shared" si="4"/>
        <v>0</v>
      </c>
    </row>
    <row r="35" spans="2:16" x14ac:dyDescent="0.3">
      <c r="E35" s="68"/>
      <c r="F35" s="68"/>
      <c r="G35" s="69"/>
      <c r="I35" s="70">
        <f t="shared" si="4"/>
        <v>0</v>
      </c>
    </row>
    <row r="36" spans="2:16" x14ac:dyDescent="0.3">
      <c r="E36" s="68"/>
      <c r="F36" s="68"/>
      <c r="G36" s="69"/>
      <c r="I36" s="70">
        <f t="shared" si="4"/>
        <v>0</v>
      </c>
    </row>
    <row r="37" spans="2:16" x14ac:dyDescent="0.3">
      <c r="E37" s="68"/>
      <c r="F37" s="68"/>
      <c r="G37" s="69"/>
      <c r="I37" s="70">
        <f>IFERROR(G37/$G$41,"")</f>
        <v>0</v>
      </c>
    </row>
    <row r="38" spans="2:16" x14ac:dyDescent="0.3">
      <c r="E38" s="68"/>
      <c r="F38" s="68"/>
      <c r="G38" s="69"/>
      <c r="I38" s="70">
        <f t="shared" ref="I38:I39" si="5">IFERROR(G38/$G$41,"")</f>
        <v>0</v>
      </c>
    </row>
    <row r="39" spans="2:16" x14ac:dyDescent="0.3">
      <c r="E39" s="68"/>
      <c r="F39" s="68"/>
      <c r="G39" s="69"/>
      <c r="I39" s="70">
        <f t="shared" si="5"/>
        <v>0</v>
      </c>
    </row>
    <row r="40" spans="2:16" x14ac:dyDescent="0.3">
      <c r="B40" s="32" t="s">
        <v>69</v>
      </c>
      <c r="C40" s="32"/>
      <c r="D40" s="32"/>
      <c r="E40" s="71" t="s">
        <v>161</v>
      </c>
      <c r="F40" s="32"/>
      <c r="G40" s="72">
        <f>+G41-SUM(G29:G39)</f>
        <v>20474.399999999994</v>
      </c>
      <c r="H40" s="32"/>
      <c r="I40" s="73">
        <f t="shared" ref="I40" si="6">IFERROR(G40/$G$41,"")</f>
        <v>8.8205720292433662E-2</v>
      </c>
    </row>
    <row r="41" spans="2:16" ht="14.5" x14ac:dyDescent="0.35">
      <c r="B41" s="1" t="s">
        <v>162</v>
      </c>
      <c r="E41" s="74" t="s">
        <v>161</v>
      </c>
      <c r="G41" s="69">
        <v>232121</v>
      </c>
      <c r="H41" s="926" t="s">
        <v>163</v>
      </c>
      <c r="I41" s="75">
        <v>1</v>
      </c>
    </row>
    <row r="42" spans="2:16" ht="8.25" customHeight="1" x14ac:dyDescent="0.3"/>
    <row r="43" spans="2:16" ht="15.5" x14ac:dyDescent="0.35">
      <c r="B43" s="43" t="s">
        <v>164</v>
      </c>
      <c r="C43" s="47"/>
      <c r="D43" s="43"/>
      <c r="E43" s="43" t="s">
        <v>165</v>
      </c>
      <c r="F43" s="48"/>
      <c r="G43" s="48"/>
      <c r="H43" s="944" t="s">
        <v>166</v>
      </c>
      <c r="I43" s="944"/>
      <c r="J43" s="48"/>
      <c r="K43" s="48"/>
      <c r="P43" s="76"/>
    </row>
    <row r="44" spans="2:16" ht="4.1500000000000004" customHeight="1" x14ac:dyDescent="0.35">
      <c r="B44" s="44"/>
      <c r="C44" s="44"/>
      <c r="D44" s="44"/>
      <c r="E44" s="44"/>
      <c r="F44" s="44"/>
      <c r="G44" s="44"/>
      <c r="H44" s="44"/>
      <c r="I44" s="44"/>
      <c r="J44" s="44"/>
      <c r="K44" s="44"/>
    </row>
    <row r="45" spans="2:16" x14ac:dyDescent="0.3">
      <c r="B45" s="1" t="s">
        <v>167</v>
      </c>
      <c r="E45" s="365">
        <f>IFERROR(AVERAGE(E46:E51),"")</f>
        <v>1.5</v>
      </c>
    </row>
    <row r="46" spans="2:16" x14ac:dyDescent="0.3">
      <c r="B46" s="19" t="s">
        <v>168</v>
      </c>
      <c r="E46" s="78">
        <v>1</v>
      </c>
    </row>
    <row r="47" spans="2:16" x14ac:dyDescent="0.3">
      <c r="B47" s="19" t="s">
        <v>169</v>
      </c>
      <c r="E47" s="78">
        <v>2</v>
      </c>
    </row>
    <row r="48" spans="2:16" x14ac:dyDescent="0.3">
      <c r="B48" s="19" t="s">
        <v>170</v>
      </c>
      <c r="E48" s="78">
        <v>1</v>
      </c>
    </row>
    <row r="49" spans="2:5" x14ac:dyDescent="0.3">
      <c r="B49" s="19" t="s">
        <v>171</v>
      </c>
      <c r="E49" s="78">
        <v>2</v>
      </c>
    </row>
    <row r="50" spans="2:5" x14ac:dyDescent="0.3">
      <c r="B50" s="19" t="s">
        <v>172</v>
      </c>
      <c r="E50" s="78">
        <v>2</v>
      </c>
    </row>
    <row r="51" spans="2:5" x14ac:dyDescent="0.3">
      <c r="B51" s="19" t="s">
        <v>173</v>
      </c>
      <c r="E51" s="78">
        <v>1</v>
      </c>
    </row>
    <row r="52" spans="2:5" x14ac:dyDescent="0.3">
      <c r="B52" s="1" t="s">
        <v>174</v>
      </c>
      <c r="E52" s="77">
        <f>IFERROR(AVERAGE(E53:E57),"")</f>
        <v>4.25</v>
      </c>
    </row>
    <row r="53" spans="2:5" x14ac:dyDescent="0.3">
      <c r="B53" s="19" t="s">
        <v>175</v>
      </c>
      <c r="E53" s="78">
        <v>4</v>
      </c>
    </row>
    <row r="54" spans="2:5" x14ac:dyDescent="0.3">
      <c r="B54" s="19" t="s">
        <v>176</v>
      </c>
      <c r="E54" s="78">
        <v>5</v>
      </c>
    </row>
    <row r="55" spans="2:5" x14ac:dyDescent="0.3">
      <c r="B55" s="19" t="s">
        <v>177</v>
      </c>
      <c r="E55" s="78">
        <v>3</v>
      </c>
    </row>
    <row r="56" spans="2:5" x14ac:dyDescent="0.3">
      <c r="B56" s="19" t="s">
        <v>178</v>
      </c>
      <c r="E56" s="78"/>
    </row>
    <row r="57" spans="2:5" x14ac:dyDescent="0.3">
      <c r="B57" s="19" t="s">
        <v>179</v>
      </c>
      <c r="E57" s="78">
        <v>5</v>
      </c>
    </row>
    <row r="58" spans="2:5" x14ac:dyDescent="0.3">
      <c r="B58" s="1" t="s">
        <v>180</v>
      </c>
      <c r="E58" s="77">
        <f>IFERROR(AVERAGE(E59:E63),"")</f>
        <v>2.8</v>
      </c>
    </row>
    <row r="59" spans="2:5" x14ac:dyDescent="0.3">
      <c r="B59" s="19" t="s">
        <v>181</v>
      </c>
      <c r="E59" s="78">
        <v>3</v>
      </c>
    </row>
    <row r="60" spans="2:5" x14ac:dyDescent="0.3">
      <c r="B60" s="19" t="s">
        <v>182</v>
      </c>
      <c r="E60" s="78">
        <v>2</v>
      </c>
    </row>
    <row r="61" spans="2:5" x14ac:dyDescent="0.3">
      <c r="B61" s="19" t="s">
        <v>173</v>
      </c>
      <c r="E61" s="78">
        <v>2</v>
      </c>
    </row>
    <row r="62" spans="2:5" x14ac:dyDescent="0.3">
      <c r="B62" s="19" t="s">
        <v>183</v>
      </c>
      <c r="E62" s="78">
        <v>2</v>
      </c>
    </row>
    <row r="63" spans="2:5" x14ac:dyDescent="0.3">
      <c r="B63" s="19" t="s">
        <v>184</v>
      </c>
      <c r="E63" s="78">
        <v>5</v>
      </c>
    </row>
    <row r="64" spans="2:5" x14ac:dyDescent="0.3">
      <c r="B64" s="1" t="s">
        <v>185</v>
      </c>
      <c r="E64" s="77">
        <f>IFERROR(AVERAGE(E65:E69),"")</f>
        <v>4.5999999999999996</v>
      </c>
    </row>
    <row r="65" spans="2:5" x14ac:dyDescent="0.3">
      <c r="B65" s="19" t="s">
        <v>186</v>
      </c>
      <c r="E65" s="78">
        <v>5</v>
      </c>
    </row>
    <row r="66" spans="2:5" x14ac:dyDescent="0.3">
      <c r="B66" s="19" t="s">
        <v>187</v>
      </c>
      <c r="E66" s="78">
        <v>4</v>
      </c>
    </row>
    <row r="67" spans="2:5" x14ac:dyDescent="0.3">
      <c r="B67" s="19" t="s">
        <v>188</v>
      </c>
      <c r="E67" s="78">
        <v>4</v>
      </c>
    </row>
    <row r="68" spans="2:5" x14ac:dyDescent="0.3">
      <c r="B68" s="19" t="s">
        <v>189</v>
      </c>
      <c r="E68" s="78">
        <v>5</v>
      </c>
    </row>
    <row r="69" spans="2:5" x14ac:dyDescent="0.3">
      <c r="B69" s="19" t="s">
        <v>190</v>
      </c>
      <c r="E69" s="78">
        <v>5</v>
      </c>
    </row>
    <row r="70" spans="2:5" x14ac:dyDescent="0.3">
      <c r="B70" s="1" t="s">
        <v>191</v>
      </c>
      <c r="E70" s="77">
        <f>IFERROR(AVERAGE(E71:E75),"")</f>
        <v>1.75</v>
      </c>
    </row>
    <row r="71" spans="2:5" x14ac:dyDescent="0.3">
      <c r="B71" s="19" t="s">
        <v>192</v>
      </c>
      <c r="E71" s="78">
        <v>3</v>
      </c>
    </row>
    <row r="72" spans="2:5" x14ac:dyDescent="0.3">
      <c r="B72" s="19" t="s">
        <v>193</v>
      </c>
      <c r="E72" s="78">
        <v>1</v>
      </c>
    </row>
    <row r="73" spans="2:5" x14ac:dyDescent="0.3">
      <c r="B73" s="19" t="s">
        <v>194</v>
      </c>
      <c r="E73" s="78">
        <v>1</v>
      </c>
    </row>
    <row r="74" spans="2:5" x14ac:dyDescent="0.3">
      <c r="B74" s="19" t="s">
        <v>195</v>
      </c>
      <c r="E74" s="78">
        <v>2</v>
      </c>
    </row>
  </sheetData>
  <mergeCells count="14">
    <mergeCell ref="E18:P18"/>
    <mergeCell ref="E15:P15"/>
    <mergeCell ref="E16:P16"/>
    <mergeCell ref="E17:P17"/>
    <mergeCell ref="B22:C22"/>
    <mergeCell ref="E22:P22"/>
    <mergeCell ref="B23:C23"/>
    <mergeCell ref="E23:P23"/>
    <mergeCell ref="H43:I43"/>
    <mergeCell ref="B24:C24"/>
    <mergeCell ref="E24:P24"/>
    <mergeCell ref="B25:C25"/>
    <mergeCell ref="E25:P25"/>
    <mergeCell ref="E26:P26"/>
  </mergeCells>
  <conditionalFormatting sqref="I29:I40">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10">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6:R10">
    <cfRule type="dataBar" priority="88">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89">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0">
      <dataBar>
        <cfvo type="min"/>
        <cfvo type="max"/>
        <color rgb="FF63C384"/>
      </dataBar>
      <extLst>
        <ext xmlns:x14="http://schemas.microsoft.com/office/spreadsheetml/2009/9/main" uri="{B025F937-C7B1-47D3-B67F-A62EFF666E3E}">
          <x14:id>{A2AA1478-7F03-4C3E-A93E-071B3A585FDF}</x14:id>
        </ext>
      </extLst>
    </cfRule>
  </conditionalFormatting>
  <conditionalFormatting sqref="U7:U10">
    <cfRule type="dataBar" priority="91">
      <dataBar>
        <cfvo type="min"/>
        <cfvo type="max"/>
        <color rgb="FF63C384"/>
      </dataBar>
      <extLst>
        <ext xmlns:x14="http://schemas.microsoft.com/office/spreadsheetml/2009/9/main" uri="{B025F937-C7B1-47D3-B67F-A62EFF666E3E}">
          <x14:id>{CCBBEFF5-0753-47A4-B215-F44790A6C2E6}</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U7:U10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83"/>
  <sheetViews>
    <sheetView showGridLines="0" tabSelected="1" topLeftCell="A3" zoomScaleNormal="100" workbookViewId="0">
      <pane xSplit="3" topLeftCell="D1" activePane="topRight" state="frozen"/>
      <selection pane="topRight" activeCell="D40" sqref="D40"/>
    </sheetView>
  </sheetViews>
  <sheetFormatPr defaultColWidth="9" defaultRowHeight="14.25" customHeight="1" x14ac:dyDescent="0.3"/>
  <cols>
    <col min="1" max="1" width="2.08203125" style="347" customWidth="1"/>
    <col min="2" max="2" width="31" style="347" customWidth="1"/>
    <col min="3" max="3" width="7.58203125" style="347" customWidth="1"/>
    <col min="4" max="19" width="19.58203125" style="347" customWidth="1"/>
    <col min="20" max="20" width="9.08203125" style="347" bestFit="1" customWidth="1"/>
    <col min="21" max="21" width="11.58203125" style="347" bestFit="1" customWidth="1"/>
    <col min="22" max="22" width="9.08203125" style="347" bestFit="1" customWidth="1"/>
    <col min="23" max="23" width="22.75" style="347" bestFit="1" customWidth="1"/>
    <col min="24" max="16384" width="9" style="347"/>
  </cols>
  <sheetData>
    <row r="1" spans="1:52" s="346" customFormat="1" ht="12" customHeight="1" x14ac:dyDescent="0.3">
      <c r="A1" s="366"/>
      <c r="B1" s="366"/>
      <c r="C1" s="367"/>
      <c r="D1" s="366"/>
      <c r="E1" s="366"/>
      <c r="F1" s="366"/>
      <c r="G1" s="366"/>
      <c r="H1" s="366"/>
      <c r="I1" s="366"/>
      <c r="J1" s="366"/>
      <c r="K1" s="366"/>
      <c r="L1" s="366"/>
      <c r="M1" s="366"/>
      <c r="N1" s="366"/>
      <c r="O1" s="366"/>
      <c r="P1" s="366"/>
      <c r="Q1" s="366"/>
      <c r="R1" s="366"/>
      <c r="S1" s="366"/>
      <c r="T1" s="366"/>
      <c r="U1" s="366"/>
      <c r="V1" s="366"/>
      <c r="W1" s="366"/>
      <c r="X1" s="366"/>
      <c r="Y1" s="366"/>
      <c r="Z1" s="366"/>
      <c r="AA1" s="366"/>
      <c r="AB1" s="366"/>
      <c r="AC1" s="366"/>
      <c r="AD1" s="366"/>
      <c r="AE1" s="366"/>
      <c r="AF1" s="366"/>
      <c r="AG1" s="366"/>
      <c r="AH1" s="366"/>
      <c r="AI1" s="366"/>
      <c r="AJ1" s="366"/>
      <c r="AK1" s="366"/>
      <c r="AL1" s="366"/>
      <c r="AM1" s="366"/>
      <c r="AN1" s="366"/>
      <c r="AO1" s="366"/>
      <c r="AP1" s="366"/>
      <c r="AQ1" s="366"/>
      <c r="AR1" s="366"/>
      <c r="AS1" s="366"/>
      <c r="AT1" s="366"/>
      <c r="AU1" s="366"/>
      <c r="AV1" s="366"/>
      <c r="AW1" s="366"/>
      <c r="AX1" s="366"/>
      <c r="AY1" s="366"/>
      <c r="AZ1" s="366"/>
    </row>
    <row r="2" spans="1:52" s="346" customFormat="1" ht="14" x14ac:dyDescent="0.3">
      <c r="A2" s="366"/>
      <c r="B2" s="368"/>
      <c r="C2" s="368"/>
      <c r="D2" s="948"/>
      <c r="E2" s="949"/>
      <c r="F2" s="465"/>
      <c r="G2" s="454"/>
      <c r="H2" s="465"/>
      <c r="I2" s="454"/>
      <c r="J2" s="465"/>
      <c r="K2" s="480"/>
      <c r="L2" s="486"/>
      <c r="M2" s="480"/>
      <c r="N2" s="368"/>
      <c r="O2" s="368"/>
      <c r="P2" s="370"/>
      <c r="Q2" s="370"/>
      <c r="R2" s="370"/>
      <c r="S2" s="366"/>
      <c r="T2" s="370"/>
      <c r="U2" s="370"/>
      <c r="V2" s="366"/>
      <c r="W2" s="371"/>
      <c r="X2" s="371"/>
      <c r="Y2" s="371"/>
      <c r="Z2" s="371"/>
      <c r="AA2" s="371"/>
      <c r="AB2" s="371"/>
      <c r="AC2" s="366"/>
      <c r="AD2" s="371"/>
      <c r="AE2" s="371"/>
      <c r="AF2" s="371"/>
      <c r="AG2" s="371"/>
      <c r="AH2" s="371"/>
      <c r="AI2" s="366"/>
      <c r="AJ2" s="371"/>
      <c r="AK2" s="372"/>
      <c r="AL2" s="372"/>
      <c r="AM2" s="372"/>
      <c r="AN2" s="372"/>
      <c r="AO2" s="366"/>
      <c r="AP2" s="371"/>
      <c r="AQ2" s="366"/>
      <c r="AR2" s="366"/>
      <c r="AS2" s="366"/>
      <c r="AT2" s="366"/>
      <c r="AU2" s="366"/>
      <c r="AV2" s="366"/>
      <c r="AW2" s="366"/>
      <c r="AX2" s="366"/>
      <c r="AY2" s="366"/>
      <c r="AZ2" s="366"/>
    </row>
    <row r="3" spans="1:52" s="346" customFormat="1" ht="14" x14ac:dyDescent="0.3">
      <c r="A3" s="366"/>
      <c r="B3" s="368"/>
      <c r="C3" s="368"/>
      <c r="D3" s="952" t="s">
        <v>196</v>
      </c>
      <c r="E3" s="951"/>
      <c r="F3" s="950" t="s">
        <v>35</v>
      </c>
      <c r="G3" s="951"/>
      <c r="H3" s="950" t="s">
        <v>197</v>
      </c>
      <c r="I3" s="951"/>
      <c r="J3" s="950" t="s">
        <v>198</v>
      </c>
      <c r="K3" s="951"/>
      <c r="L3" s="950" t="s">
        <v>13</v>
      </c>
      <c r="M3" s="951"/>
      <c r="N3" s="952" t="s">
        <v>17</v>
      </c>
      <c r="O3" s="952"/>
      <c r="P3" s="370"/>
      <c r="Q3" s="567"/>
      <c r="R3" s="370"/>
      <c r="S3" s="370"/>
      <c r="T3" s="370"/>
      <c r="U3" s="370"/>
      <c r="V3" s="370"/>
      <c r="W3" s="370"/>
      <c r="X3" s="370"/>
      <c r="Y3" s="370"/>
      <c r="Z3" s="370"/>
      <c r="AA3" s="370"/>
      <c r="AB3" s="370"/>
      <c r="AC3" s="370"/>
      <c r="AD3" s="370"/>
      <c r="AE3" s="370"/>
      <c r="AF3" s="370"/>
      <c r="AG3" s="370"/>
      <c r="AH3" s="370"/>
      <c r="AI3" s="370"/>
      <c r="AJ3" s="370"/>
      <c r="AK3" s="370"/>
      <c r="AL3" s="370"/>
      <c r="AM3" s="370"/>
      <c r="AN3" s="370"/>
      <c r="AO3" s="366"/>
      <c r="AP3" s="370"/>
      <c r="AQ3" s="366"/>
      <c r="AR3" s="366"/>
      <c r="AS3" s="366"/>
      <c r="AT3" s="366"/>
      <c r="AU3" s="366"/>
      <c r="AV3" s="366"/>
      <c r="AW3" s="366"/>
      <c r="AX3" s="366"/>
      <c r="AY3" s="366"/>
      <c r="AZ3" s="366"/>
    </row>
    <row r="4" spans="1:52" s="346" customFormat="1" ht="14" x14ac:dyDescent="0.3">
      <c r="A4" s="366"/>
      <c r="B4" s="368" t="s">
        <v>199</v>
      </c>
      <c r="C4" s="368" t="s">
        <v>200</v>
      </c>
      <c r="D4" s="369" t="str">
        <f>+Inputs!O4&amp;"-"&amp;Inputs!P4</f>
        <v>2022-2023</v>
      </c>
      <c r="E4" s="454" t="str">
        <f>+Inputs!P4&amp;"-"&amp;Inputs!Q4</f>
        <v>2023-2024</v>
      </c>
      <c r="F4" s="465">
        <v>2023</v>
      </c>
      <c r="G4" s="454">
        <v>2024</v>
      </c>
      <c r="H4" s="465" t="str">
        <f>+Inputs!O4&amp;"-"&amp;Inputs!P4</f>
        <v>2022-2023</v>
      </c>
      <c r="I4" s="454" t="str">
        <f>+Inputs!P4&amp;"-"&amp;Inputs!Q4</f>
        <v>2023-2024</v>
      </c>
      <c r="J4" s="465">
        <v>2023</v>
      </c>
      <c r="K4" s="454">
        <v>2024</v>
      </c>
      <c r="L4" s="465">
        <v>2023</v>
      </c>
      <c r="M4" s="454">
        <v>2024</v>
      </c>
      <c r="N4" s="369">
        <v>2023</v>
      </c>
      <c r="O4" s="369">
        <v>2024</v>
      </c>
      <c r="P4" s="370"/>
      <c r="Q4" s="567"/>
      <c r="R4" s="370"/>
      <c r="S4" s="370"/>
      <c r="T4" s="370"/>
      <c r="U4" s="370"/>
      <c r="V4" s="370"/>
      <c r="W4" s="370"/>
      <c r="X4" s="370"/>
      <c r="Y4" s="370"/>
      <c r="Z4" s="370"/>
      <c r="AA4" s="370"/>
      <c r="AB4" s="370"/>
      <c r="AC4" s="370"/>
      <c r="AD4" s="370"/>
      <c r="AE4" s="370"/>
      <c r="AF4" s="370"/>
      <c r="AG4" s="370"/>
      <c r="AH4" s="370"/>
      <c r="AI4" s="370"/>
      <c r="AJ4" s="370"/>
      <c r="AK4" s="370"/>
      <c r="AL4" s="370"/>
      <c r="AM4" s="370"/>
      <c r="AN4" s="370"/>
      <c r="AO4" s="366"/>
      <c r="AP4" s="370"/>
      <c r="AQ4" s="366"/>
      <c r="AR4" s="366"/>
      <c r="AS4" s="366"/>
      <c r="AT4" s="366"/>
      <c r="AU4" s="366"/>
      <c r="AV4" s="366"/>
      <c r="AW4" s="366"/>
      <c r="AX4" s="366"/>
      <c r="AY4" s="366"/>
      <c r="AZ4" s="366"/>
    </row>
    <row r="5" spans="1:52" s="346" customFormat="1" ht="3.75" customHeight="1" x14ac:dyDescent="0.3">
      <c r="A5" s="366"/>
      <c r="B5" s="373"/>
      <c r="C5" s="373"/>
      <c r="D5" s="373"/>
      <c r="E5" s="455"/>
      <c r="F5" s="466"/>
      <c r="G5" s="455"/>
      <c r="H5" s="466"/>
      <c r="I5" s="455"/>
      <c r="J5" s="466"/>
      <c r="K5" s="455"/>
      <c r="L5" s="466"/>
      <c r="M5" s="455"/>
      <c r="N5" s="373"/>
      <c r="O5" s="373"/>
      <c r="P5" s="374"/>
      <c r="Q5" s="567"/>
      <c r="R5" s="374"/>
      <c r="S5" s="374"/>
      <c r="T5" s="374"/>
      <c r="U5" s="374"/>
      <c r="V5" s="374"/>
      <c r="W5" s="374"/>
      <c r="X5" s="374"/>
      <c r="Y5" s="374"/>
      <c r="Z5" s="374"/>
      <c r="AA5" s="374"/>
      <c r="AB5" s="374"/>
      <c r="AC5" s="374"/>
      <c r="AD5" s="374"/>
      <c r="AE5" s="374"/>
      <c r="AF5" s="374"/>
      <c r="AG5" s="374"/>
      <c r="AH5" s="374"/>
      <c r="AI5" s="374"/>
      <c r="AJ5" s="374"/>
      <c r="AK5" s="374"/>
      <c r="AL5" s="374"/>
      <c r="AM5" s="374"/>
      <c r="AN5" s="374"/>
      <c r="AO5" s="374"/>
      <c r="AP5" s="374"/>
      <c r="AQ5" s="374"/>
      <c r="AR5" s="374"/>
      <c r="AS5" s="374"/>
      <c r="AT5" s="374"/>
      <c r="AU5" s="374"/>
      <c r="AV5" s="374"/>
      <c r="AW5" s="374"/>
      <c r="AX5" s="374"/>
      <c r="AY5" s="374"/>
      <c r="AZ5" s="374"/>
    </row>
    <row r="6" spans="1:52" s="350" customFormat="1" ht="17.25" customHeight="1" x14ac:dyDescent="0.3">
      <c r="A6" s="375" t="e" vm="2">
        <f>+D93</f>
        <v>#VALUE!</v>
      </c>
      <c r="B6" s="376" t="str" cm="1">
        <f t="array" aca="1" ref="B6" ca="1">IFERROR(_FV(A6,"Name"),"")</f>
        <v>SK hynix Inc.</v>
      </c>
      <c r="C6" s="377" t="str" cm="1">
        <f t="array" aca="1" ref="C6" ca="1">IFERROR(_FV(A6,"Ticker symbol",TRUE),"")</f>
        <v>000660</v>
      </c>
      <c r="D6" s="456">
        <f>IFERROR(D96/D95-1,"")</f>
        <v>-0.26569867508112655</v>
      </c>
      <c r="E6" s="457">
        <f>IFERROR(D99/D96-1,"")</f>
        <v>1.0201918469619145</v>
      </c>
      <c r="F6" s="467">
        <f>IFERROR(D97/D96,"")</f>
        <v>-0.2180115181424476</v>
      </c>
      <c r="G6" s="468">
        <f>IFERROR(D102/D99,"")</f>
        <v>0.36298400132944564</v>
      </c>
      <c r="H6" s="474">
        <f>IFERROR(D98/D96,"")</f>
        <v>-0.27887699637120511</v>
      </c>
      <c r="I6" s="457">
        <f>IFERROR(D107/D99,"")</f>
        <v>0.29908147387185946</v>
      </c>
      <c r="J6" s="503" cm="1">
        <f t="array" aca="1" ref="J6" ca="1">IFERROR((_FV(A6,"Market cap",TRUE)/1000000000+D$123-D$113)/D$96,"")</f>
        <v>4.2752359937373532</v>
      </c>
      <c r="K6" s="504" cm="1">
        <f t="array" aca="1" ref="K6" ca="1">IFERROR((_FV(A6,"Market cap",TRUE)/1000000000+D$123-D$113)/D$99,"")</f>
        <v>2.1162524738265378</v>
      </c>
      <c r="L6" s="505" cm="1">
        <f t="array" aca="1" ref="L6" ca="1">+IFERROR((_FV(A6,"Market cap",TRUE)/1000000000+D$123-D$113)/D$97,"")</f>
        <v>-19.610138171433384</v>
      </c>
      <c r="M6" s="506" cm="1">
        <f t="array" aca="1" ref="M6" ca="1">IFERROR((_FV(A6,"Market cap",TRUE)/1000000000+D$123-D$113)/D$102,"")</f>
        <v>5.8301535772256221</v>
      </c>
      <c r="N6" s="507" cm="1">
        <f t="array" aca="1" ref="N6" ca="1">IFERROR((_FV(A6,"Market cap",TRUE)/1000000000)/D$98,"")</f>
        <v>-14.205349325862379</v>
      </c>
      <c r="O6" s="508" cm="1">
        <f t="array" aca="1" ref="O6" ca="1">IFERROR((_FV(A6,"Market cap",TRUE)/1000000000)/D$107,"")</f>
        <v>6.556657288188676</v>
      </c>
      <c r="P6" s="379"/>
      <c r="Q6" s="567"/>
      <c r="R6" s="382"/>
      <c r="S6" s="383"/>
      <c r="T6" s="382"/>
      <c r="U6" s="382"/>
      <c r="V6" s="383"/>
      <c r="W6" s="382"/>
      <c r="X6" s="382"/>
      <c r="Y6" s="382"/>
      <c r="Z6" s="382"/>
      <c r="AA6" s="382"/>
      <c r="AB6" s="383"/>
      <c r="AC6" s="383"/>
      <c r="AD6" s="378"/>
      <c r="AE6" s="378"/>
      <c r="AF6" s="378"/>
      <c r="AG6" s="378"/>
      <c r="AH6" s="378"/>
      <c r="AI6" s="383"/>
      <c r="AJ6" s="383"/>
      <c r="AK6" s="383"/>
      <c r="AL6" s="384"/>
      <c r="AM6" s="385"/>
      <c r="AN6" s="386"/>
      <c r="AO6" s="383"/>
      <c r="AP6" s="383"/>
    </row>
    <row r="7" spans="1:52" ht="3.75" customHeight="1" x14ac:dyDescent="0.3">
      <c r="A7" s="375"/>
      <c r="B7" s="387"/>
      <c r="C7" s="388"/>
      <c r="E7" s="458"/>
      <c r="F7" s="469"/>
      <c r="G7" s="470"/>
      <c r="H7" s="475"/>
      <c r="I7" s="476"/>
      <c r="J7" s="475"/>
      <c r="K7" s="476"/>
      <c r="L7" s="489"/>
      <c r="M7" s="490"/>
      <c r="N7" s="392"/>
      <c r="O7" s="393"/>
      <c r="P7" s="390"/>
      <c r="Q7" s="379"/>
      <c r="R7" s="394"/>
      <c r="S7" s="393"/>
      <c r="T7" s="394"/>
      <c r="U7" s="394"/>
      <c r="V7" s="393"/>
      <c r="W7" s="394"/>
      <c r="X7" s="394"/>
      <c r="Y7" s="394"/>
      <c r="Z7" s="394"/>
      <c r="AA7" s="394"/>
      <c r="AB7" s="393"/>
      <c r="AC7" s="393"/>
      <c r="AD7" s="389"/>
      <c r="AE7" s="389"/>
      <c r="AF7" s="389"/>
      <c r="AG7" s="389"/>
      <c r="AH7" s="389"/>
      <c r="AI7" s="393"/>
      <c r="AJ7" s="393"/>
      <c r="AK7" s="393"/>
      <c r="AL7" s="395"/>
      <c r="AM7" s="396"/>
      <c r="AN7" s="397"/>
      <c r="AO7" s="393"/>
      <c r="AP7" s="393"/>
    </row>
    <row r="8" spans="1:52" s="349" customFormat="1" ht="17.25" customHeight="1" x14ac:dyDescent="0.3">
      <c r="A8" s="375" t="e" vm="3">
        <f>+E93</f>
        <v>#VALUE!</v>
      </c>
      <c r="B8" s="376" t="str" cm="1">
        <f t="array" aca="1" ref="B8" ca="1">IFERROR(_FV(A8,"Name"),"")</f>
        <v>Samsung Electronics Co., Ltd.</v>
      </c>
      <c r="C8" s="377" t="str" cm="1">
        <f t="array" aca="1" ref="C8" ca="1">+IFERROR(_FV(A8,"Ticker symbol",TRUE),"")</f>
        <v>005930</v>
      </c>
      <c r="D8" s="459">
        <f>+IFERROR(E96/E95-1,"")</f>
        <v>-0.14325414235582412</v>
      </c>
      <c r="E8" s="460">
        <f>IFERROR(E99/E96-1,"")</f>
        <v>0.16195307325569508</v>
      </c>
      <c r="F8" s="471">
        <f>IFERROR(E97/E96,"")</f>
        <v>0.17469022208233326</v>
      </c>
      <c r="G8" s="460">
        <f>+IFERROR(E102/E99,"")</f>
        <v>0.25046224144641438</v>
      </c>
      <c r="H8" s="471">
        <f>IFERROR(E98/E96,"")</f>
        <v>5.5895773271722106E-2</v>
      </c>
      <c r="I8" s="460">
        <f>+IFERROR(E107/E101,"")</f>
        <v>0.29412835079775268</v>
      </c>
      <c r="J8" s="481" cm="1">
        <f t="array" aca="1" ref="J8" ca="1">+IFERROR((_FV(A8,"Market cap",TRUE)/1000000000+E$123-E$113)/E$96,"")</f>
        <v>1.2860565662105041</v>
      </c>
      <c r="K8" s="482" cm="1">
        <f t="array" aca="1" ref="K8" ca="1">IFERROR(+(_FV(A8,"Market cap",TRUE)/1000000000+E$123-E$113)/E$99,"")</f>
        <v>1.1068059423493597</v>
      </c>
      <c r="L8" s="487" cm="1">
        <f t="array" aca="1" ref="L8" ca="1">IFERROR(+(_FV(A8,"Market cap",TRUE)/1000000000+E$123-E$113)/E$97,"")</f>
        <v>7.3619264483181714</v>
      </c>
      <c r="M8" s="488" cm="1">
        <f t="array" aca="1" ref="M8" ca="1">IFERROR(+(_FV(A8,"Market cap",TRUE)/1000000000+E$123-E$113)/E$102,"")</f>
        <v>4.4190530914263872</v>
      </c>
      <c r="N8" s="381" cm="1">
        <f t="array" aca="1" ref="N8" ca="1">IFERROR(+(_FV(A8,"Market cap",TRUE)/1000000000)/E$98,"")</f>
        <v>25.383192615418629</v>
      </c>
      <c r="O8" s="380" cm="1">
        <f t="array" aca="1" ref="O8" ca="1">IFERROR(+(_FV(A8,"Market cap",TRUE)/1000000000)/E$107,"")</f>
        <v>10.927001850012193</v>
      </c>
      <c r="P8" s="375"/>
      <c r="Q8" s="379"/>
      <c r="R8" s="382"/>
      <c r="S8" s="383"/>
      <c r="T8" s="382"/>
      <c r="U8" s="382"/>
      <c r="V8" s="383"/>
      <c r="W8" s="382"/>
      <c r="X8" s="382"/>
      <c r="Y8" s="382"/>
      <c r="Z8" s="382"/>
      <c r="AA8" s="382"/>
      <c r="AB8" s="383"/>
      <c r="AC8" s="383"/>
      <c r="AD8" s="378"/>
      <c r="AE8" s="378"/>
      <c r="AF8" s="378"/>
      <c r="AG8" s="378"/>
      <c r="AH8" s="378"/>
      <c r="AI8" s="383"/>
      <c r="AJ8" s="383"/>
      <c r="AK8" s="383"/>
      <c r="AL8" s="384"/>
      <c r="AM8" s="385"/>
      <c r="AN8" s="386"/>
      <c r="AO8" s="383"/>
      <c r="AP8" s="383"/>
      <c r="AQ8" s="375"/>
      <c r="AR8" s="375"/>
      <c r="AS8" s="375"/>
      <c r="AT8" s="375"/>
      <c r="AU8" s="375"/>
      <c r="AV8" s="375"/>
      <c r="AW8" s="375"/>
      <c r="AX8" s="375"/>
      <c r="AY8" s="375"/>
      <c r="AZ8" s="375"/>
    </row>
    <row r="9" spans="1:52" s="349" customFormat="1" ht="17.25" customHeight="1" x14ac:dyDescent="0.3">
      <c r="A9" s="398" t="e" vm="4">
        <f>+F93</f>
        <v>#VALUE!</v>
      </c>
      <c r="B9" s="376" t="str" cm="1">
        <f t="array" aca="1" ref="B9" ca="1">IFERROR(_FV(A9,"Name"),"")</f>
        <v>MICRON TECHNOLOGY, INC.</v>
      </c>
      <c r="C9" s="377" t="str" cm="1">
        <f t="array" aca="1" ref="C9" ca="1">+IFERROR(_FV(A9,"Ticker symbol",TRUE),"")</f>
        <v>MU</v>
      </c>
      <c r="D9" s="459">
        <f>IFERROR(F96/F95-1,"")</f>
        <v>-0.45743750445877707</v>
      </c>
      <c r="E9" s="460">
        <f>IFERROR(+F99/F96-1,"")</f>
        <v>0.6444224756747281</v>
      </c>
      <c r="F9" s="471">
        <f>IFERROR(F97/F96,"")</f>
        <v>0.15868648401203844</v>
      </c>
      <c r="G9" s="460">
        <f>IFERROR(F102/F99,"")</f>
        <v>0.3577704793747723</v>
      </c>
      <c r="H9" s="471">
        <f>IFERROR(F98/F96,"")</f>
        <v>-0.37535428699438012</v>
      </c>
      <c r="I9" s="460">
        <f>+IFERROR(F107/F99,"")</f>
        <v>3.0983004066112079E-2</v>
      </c>
      <c r="J9" s="481" cm="1">
        <f t="array" aca="1" ref="J9" ca="1">IFERROR(+(_FV(A9,"Market cap",TRUE)*Q9/1000000000+Q9+F$123-F$113)/F$96,"")</f>
        <v>6.5140537488872221</v>
      </c>
      <c r="K9" s="482" cm="1">
        <f t="array" aca="1" ref="K9" ca="1">IFERROR(+(_FV(A9,"Market cap",TRUE)*Q9/1000000000+F$123-F$113)/F$99,"")</f>
        <v>3.918734692565796</v>
      </c>
      <c r="L9" s="487" cm="1">
        <f t="array" aca="1" ref="L9" ca="1">IFERROR(+(_FV(A9,"Market cap",TRUE)*Q9/1000000000+F$123-F$113)/F$97,"")</f>
        <v>40.608722568789311</v>
      </c>
      <c r="M9" s="488" cm="1">
        <f t="array" aca="1" ref="M9" ca="1">IFERROR(+(_FV(A9,"Market cap",TRUE)*Q9/1000000000+F$123-F$113)/F$102,"")</f>
        <v>10.953208602940201</v>
      </c>
      <c r="N9" s="381" cm="1">
        <f t="array" aca="1" ref="N9" ca="1">IFERROR(+(_FV(A9,"Market cap",TRUE)*Q9/1000000000)/F$98,"")</f>
        <v>-16.13522010618091</v>
      </c>
      <c r="O9" s="380" cm="1">
        <f t="array" aca="1" ref="O9" ca="1">IFERROR(+(_FV(A9,"Market cap",TRUE)*Q9/1000000000)/F$107,"")</f>
        <v>118.87193891263618</v>
      </c>
      <c r="P9" s="375" t="e" vm="5">
        <v>#VALUE!</v>
      </c>
      <c r="Q9" s="856" cm="1">
        <f t="array" aca="1" ref="Q9" ca="1">+_FV(P9,"Price")</f>
        <v>1437.36</v>
      </c>
      <c r="R9" s="379" t="s">
        <v>201</v>
      </c>
      <c r="S9" s="383"/>
      <c r="T9" s="382"/>
      <c r="U9" s="382"/>
      <c r="V9" s="383"/>
      <c r="W9" s="382"/>
      <c r="X9" s="382"/>
      <c r="Y9" s="382"/>
      <c r="Z9" s="382"/>
      <c r="AA9" s="382"/>
      <c r="AB9" s="383"/>
      <c r="AC9" s="383"/>
      <c r="AD9" s="378"/>
      <c r="AE9" s="378"/>
      <c r="AF9" s="378"/>
      <c r="AG9" s="378"/>
      <c r="AH9" s="378"/>
      <c r="AI9" s="383"/>
      <c r="AJ9" s="383"/>
      <c r="AK9" s="383"/>
      <c r="AL9" s="384"/>
      <c r="AM9" s="385"/>
      <c r="AN9" s="386"/>
      <c r="AO9" s="383"/>
      <c r="AP9" s="383"/>
      <c r="AQ9" s="375"/>
      <c r="AR9" s="375"/>
      <c r="AS9" s="375"/>
      <c r="AT9" s="375"/>
      <c r="AU9" s="375"/>
      <c r="AV9" s="375"/>
      <c r="AW9" s="375"/>
      <c r="AX9" s="375"/>
      <c r="AY9" s="375"/>
      <c r="AZ9" s="375"/>
    </row>
    <row r="10" spans="1:52" s="349" customFormat="1" ht="17.25" customHeight="1" x14ac:dyDescent="0.3">
      <c r="A10" s="398" t="e" vm="6">
        <f>+G93</f>
        <v>#VALUE!</v>
      </c>
      <c r="B10" s="376" t="str" cm="1">
        <f t="array" aca="1" ref="B10" ca="1">IFERROR(_FV(A10,"Name"),"")</f>
        <v>Kioxia Holdings Corporation</v>
      </c>
      <c r="C10" s="377" t="str" cm="1">
        <f t="array" aca="1" ref="C10" ca="1">IFERROR(_FV(A10,"Ticker symbol",TRUE),"")</f>
        <v>KI5</v>
      </c>
      <c r="D10" s="459">
        <f>+IFERROR(G96/G95-1,"")</f>
        <v>-0.21842906587483213</v>
      </c>
      <c r="E10" s="460">
        <f>IFERROR(G99/G96-1,"")</f>
        <v>-0.20612719001064772</v>
      </c>
      <c r="F10" s="471">
        <f>IFERROR(G97/G96,"")</f>
        <v>0.25037105152776434</v>
      </c>
      <c r="G10" s="460">
        <f>IFERROR(G102/G99,"")</f>
        <v>7.4844032595663398E-2</v>
      </c>
      <c r="H10" s="471">
        <f>IFERROR(G98/G96,"")</f>
        <v>-0.10775013712773851</v>
      </c>
      <c r="I10" s="460">
        <f>+IFERROR(G107/G99,"")</f>
        <v>-0.22639151374748523</v>
      </c>
      <c r="J10" s="481" cm="1">
        <f t="array" aca="1" ref="J10" ca="1">IFERROR(+(_FV(A10,"Market cap",TRUE)*Q10/1000000000+G$123-G$113)/G$96,"")</f>
        <v>1.8184335685469302</v>
      </c>
      <c r="K10" s="482" cm="1">
        <f t="array" aca="1" ref="K10" ca="1">IFERROR(+(_FV(A10,"Market cap",TRUE)*Q10/1000000000+G$123-G$113)/G$99,"")</f>
        <v>2.2905855266302919</v>
      </c>
      <c r="L10" s="487" cm="1">
        <f t="array" aca="1" ref="L10" ca="1">IFERROR(+(_FV(A10,"Market cap",TRUE)*Q10/1000000000+G$123-G$113)/G$97,"")</f>
        <v>7.2629545526563364</v>
      </c>
      <c r="M10" s="488" cm="1">
        <f t="array" aca="1" ref="M10" ca="1">IFERROR(+(_FV(A10,"Market cap",TRUE)*Q10/1000000000+G$123-G$113)/G$102,"")</f>
        <v>30.604785006774375</v>
      </c>
      <c r="N10" s="381" cm="1">
        <f t="array" aca="1" ref="N10" ca="1">IFERROR(+(_FV(A10,"Market cap",TRUE)*Q10/1000000000)/G$98,"")</f>
        <v>-7.3211443599266364</v>
      </c>
      <c r="O10" s="380" cm="1">
        <f t="array" aca="1" ref="O10" ca="1">IFERROR(+(_FV(A10,"Market cap",TRUE)*Q10/1000000000)/G$107,"")</f>
        <v>-4.3892036425609264</v>
      </c>
      <c r="P10" s="375" t="e" vm="7">
        <v>#VALUE!</v>
      </c>
      <c r="Q10" s="857" cm="1">
        <f t="array" aca="1" ref="Q10" ca="1">+_FV(P10,"Price")</f>
        <v>10.001099999999999</v>
      </c>
      <c r="R10" s="379" t="s">
        <v>202</v>
      </c>
      <c r="S10" s="383"/>
      <c r="T10" s="382"/>
      <c r="U10" s="382"/>
      <c r="V10" s="383"/>
      <c r="W10" s="382"/>
      <c r="X10" s="382"/>
      <c r="Y10" s="382"/>
      <c r="Z10" s="382"/>
      <c r="AA10" s="382"/>
      <c r="AB10" s="383"/>
      <c r="AC10" s="383"/>
      <c r="AD10" s="378"/>
      <c r="AE10" s="378"/>
      <c r="AF10" s="378"/>
      <c r="AG10" s="378"/>
      <c r="AH10" s="378"/>
      <c r="AI10" s="383"/>
      <c r="AJ10" s="383"/>
      <c r="AK10" s="383"/>
      <c r="AL10" s="384"/>
      <c r="AM10" s="385"/>
      <c r="AN10" s="386"/>
      <c r="AO10" s="383"/>
      <c r="AP10" s="383"/>
      <c r="AQ10" s="375"/>
      <c r="AR10" s="375"/>
      <c r="AS10" s="375"/>
      <c r="AT10" s="375"/>
      <c r="AU10" s="375"/>
      <c r="AV10" s="375"/>
      <c r="AW10" s="375"/>
      <c r="AX10" s="375"/>
      <c r="AY10" s="375"/>
      <c r="AZ10" s="375"/>
    </row>
    <row r="11" spans="1:52" s="349" customFormat="1" ht="17.25" customHeight="1" x14ac:dyDescent="0.3">
      <c r="A11" s="398" t="e" vm="8">
        <f>+H93</f>
        <v>#VALUE!</v>
      </c>
      <c r="B11" s="376" t="str" cm="1">
        <f t="array" aca="1" ref="B11" ca="1">IFERROR(_FV(A11,"Name"),"")</f>
        <v>WESTERN DIGITAL CORPORATION</v>
      </c>
      <c r="C11" s="377" t="str" cm="1">
        <f t="array" aca="1" ref="C11" ca="1">IFERROR(_FV(A11,"Ticker symbol",TRUE),"")</f>
        <v>WDC</v>
      </c>
      <c r="D11" s="459">
        <f>IFERROR(H96/H95-1,"")</f>
        <v>-0.27908375608698921</v>
      </c>
      <c r="E11" s="460">
        <f>IFERROR(H99/H96-1,"")</f>
        <v>6.4105474333883361E-2</v>
      </c>
      <c r="F11" s="471">
        <f>IFERROR(H97/H96,"")</f>
        <v>-1.2420842101388368E-2</v>
      </c>
      <c r="G11" s="460">
        <f>IFERROR(H102/H99,"")</f>
        <v>7.3060203175628155E-2</v>
      </c>
      <c r="H11" s="471">
        <f>IFERROR(H98/H96,"")</f>
        <v>-0.13670803757124364</v>
      </c>
      <c r="I11" s="460">
        <f>+IFERROR(H107/H104,"")</f>
        <v>-2.1110251680847267</v>
      </c>
      <c r="J11" s="481" cm="1">
        <f t="array" aca="1" ref="J11" ca="1">IFERROR((_FV(A11,"Market cap",TRUE)*Q11/1000000000+H$123-H$113)/H$96,"")</f>
        <v>1.7503565097311675</v>
      </c>
      <c r="K11" s="482" cm="1">
        <f t="array" aca="1" ref="K11" ca="1">IFERROR(+(_FV(A11,"Market cap",TRUE)*Q11/1000000000+H$123-H$113)/H$99,"")</f>
        <v>1.6449088478065286</v>
      </c>
      <c r="L11" s="487" cm="1">
        <f t="array" aca="1" ref="L11" ca="1">IFERROR(+(_FV(A11,"Market cap",TRUE)*Q11/1000000000+H$123-H$113)/H$97,"")</f>
        <v>-140.92092109725132</v>
      </c>
      <c r="M11" s="488" cm="1">
        <f t="array" aca="1" ref="M11" ca="1">IFERROR(+(_FV(A11,"Market cap",TRUE)*Q11/1000000000+H$123-H$113)/H$102,"")</f>
        <v>22.514430241212999</v>
      </c>
      <c r="N11" s="381" cm="1">
        <f t="array" aca="1" ref="N11" ca="1">IFERROR(+(_FV(A11,"Market cap",TRUE)*Q11/1000000000)/H$98,"")</f>
        <v>-9.1495247505565303</v>
      </c>
      <c r="O11" s="380" cm="1">
        <f t="array" aca="1" ref="O11" ca="1">IFERROR(+(_FV(A11,"Market cap",TRUE)*Q11/1000000000)/H$107,"")</f>
        <v>-19.154346112049151</v>
      </c>
      <c r="P11" s="375" t="e" vm="5">
        <v>#VALUE!</v>
      </c>
      <c r="Q11" s="856" cm="1">
        <f t="array" aca="1" ref="Q11" ca="1">+_FV(P11,"Price")</f>
        <v>1437.36</v>
      </c>
      <c r="R11" s="379" t="s">
        <v>201</v>
      </c>
      <c r="S11" s="383"/>
      <c r="T11" s="382"/>
      <c r="U11" s="382"/>
      <c r="V11" s="383"/>
      <c r="W11" s="382"/>
      <c r="X11" s="382"/>
      <c r="Y11" s="382"/>
      <c r="Z11" s="382"/>
      <c r="AA11" s="382"/>
      <c r="AB11" s="383"/>
      <c r="AC11" s="383"/>
      <c r="AD11" s="378"/>
      <c r="AE11" s="378"/>
      <c r="AF11" s="378"/>
      <c r="AG11" s="378"/>
      <c r="AH11" s="378"/>
      <c r="AI11" s="383"/>
      <c r="AJ11" s="383"/>
      <c r="AK11" s="383"/>
      <c r="AL11" s="384"/>
      <c r="AM11" s="385"/>
      <c r="AN11" s="386"/>
      <c r="AO11" s="383"/>
      <c r="AP11" s="383"/>
      <c r="AQ11" s="375"/>
      <c r="AR11" s="375"/>
      <c r="AS11" s="375"/>
      <c r="AT11" s="375"/>
      <c r="AU11" s="375"/>
      <c r="AV11" s="375"/>
      <c r="AW11" s="375"/>
      <c r="AX11" s="375"/>
      <c r="AY11" s="375"/>
      <c r="AZ11" s="375"/>
    </row>
    <row r="12" spans="1:52" s="349" customFormat="1" ht="17.25" hidden="1" customHeight="1" x14ac:dyDescent="0.3">
      <c r="A12" s="398" t="str">
        <f>+I93</f>
        <v>PEER 5</v>
      </c>
      <c r="B12" s="376" t="str" cm="1">
        <f t="array" ref="B12">IFERROR(_FV(A12,"Name"),"")</f>
        <v/>
      </c>
      <c r="C12" s="377" t="str" cm="1">
        <f t="array" ref="C12">IFERROR(_FV(A12,"Ticker symbol",TRUE),"")</f>
        <v/>
      </c>
      <c r="D12" s="459" t="str">
        <f>+IFERROR(I96/I95-1,"")</f>
        <v/>
      </c>
      <c r="E12" s="460" t="str">
        <f>IFERROR(I99/I96-1,"")</f>
        <v/>
      </c>
      <c r="F12" s="471" t="str">
        <f>IFERROR(I97/I96,"")</f>
        <v/>
      </c>
      <c r="G12" s="460" t="str">
        <f>IFERROR(I102/I99,"")</f>
        <v/>
      </c>
      <c r="H12" s="471" t="str">
        <f>IFERROR(I98/I96,"")</f>
        <v/>
      </c>
      <c r="I12" s="460" t="str">
        <f>+IFERROR(I107/I99,"")</f>
        <v/>
      </c>
      <c r="J12" s="481" t="str" cm="1">
        <f t="array" ref="J12">IFERROR((_FV(A12,"Market cap",TRUE)/1000000+I$123-I$113)/I$96,"")</f>
        <v/>
      </c>
      <c r="K12" s="482" t="str" cm="1">
        <f t="array" ref="K12">IFERROR(+(_FV(A12,"Market cap",TRUE)/1000000+I$123-I$113)/I$99,"")</f>
        <v/>
      </c>
      <c r="L12" s="487" t="str" cm="1">
        <f t="array" ref="L12">IFERROR(+(_FV(A12,"Market cap",TRUE)/1000000+I$123-I$113)/I$97,"")</f>
        <v/>
      </c>
      <c r="M12" s="488" t="str" cm="1">
        <f t="array" ref="M12">IFERROR(+(_FV(A12,"Market cap",TRUE)/1000000+I$123-I$113)/I$102,"")</f>
        <v/>
      </c>
      <c r="N12" s="381" t="str" cm="1">
        <f t="array" ref="N12">IFERROR(+(_FV(A12,"Market cap",TRUE)/1000000)/I$98,"")</f>
        <v/>
      </c>
      <c r="O12" s="380" t="str" cm="1">
        <f t="array" ref="O12">IFERROR(+(_FV(A12,"Market cap",TRUE)/1000000)/I$107,"")</f>
        <v/>
      </c>
      <c r="P12" s="379"/>
      <c r="Q12" s="379"/>
      <c r="R12" s="379"/>
      <c r="S12" s="383" t="s">
        <v>203</v>
      </c>
      <c r="T12" s="382"/>
      <c r="U12" s="382"/>
      <c r="V12" s="383"/>
      <c r="W12" s="382"/>
      <c r="X12" s="382"/>
      <c r="Y12" s="382"/>
      <c r="Z12" s="382"/>
      <c r="AA12" s="382"/>
      <c r="AB12" s="383"/>
      <c r="AC12" s="383"/>
      <c r="AD12" s="378"/>
      <c r="AE12" s="378"/>
      <c r="AF12" s="378"/>
      <c r="AG12" s="378"/>
      <c r="AH12" s="378"/>
      <c r="AI12" s="383"/>
      <c r="AJ12" s="383"/>
      <c r="AK12" s="383"/>
      <c r="AL12" s="384"/>
      <c r="AM12" s="385"/>
      <c r="AN12" s="386"/>
      <c r="AO12" s="383"/>
      <c r="AP12" s="383"/>
      <c r="AQ12" s="375"/>
      <c r="AR12" s="375"/>
      <c r="AS12" s="375"/>
      <c r="AT12" s="375"/>
      <c r="AU12" s="375"/>
      <c r="AV12" s="375"/>
      <c r="AW12" s="375"/>
      <c r="AX12" s="375"/>
      <c r="AY12" s="375"/>
      <c r="AZ12" s="375"/>
    </row>
    <row r="13" spans="1:52" s="349" customFormat="1" ht="17.25" hidden="1" customHeight="1" x14ac:dyDescent="0.3">
      <c r="A13" s="398" t="str">
        <f>+J93</f>
        <v>PEER 6</v>
      </c>
      <c r="B13" s="376" t="str" cm="1">
        <f t="array" ref="B13">IFERROR(_FV(A13,"Name"),"")</f>
        <v/>
      </c>
      <c r="C13" s="377" t="str" cm="1">
        <f t="array" ref="C13">IFERROR(_FV(A13,"Ticker symbol",TRUE),"")</f>
        <v/>
      </c>
      <c r="D13" s="459" t="str">
        <f>IFERROR(J96/J95-1,"")</f>
        <v/>
      </c>
      <c r="E13" s="460" t="str">
        <f>IFERROR(J99/J96-1,"")</f>
        <v/>
      </c>
      <c r="F13" s="471" t="str">
        <f>IFERROR(J97/J96,"")</f>
        <v/>
      </c>
      <c r="G13" s="460" t="str">
        <f>IFERROR(J102/J99,"")</f>
        <v/>
      </c>
      <c r="H13" s="477" t="str">
        <f>IFERROR(J98/J96,"")</f>
        <v/>
      </c>
      <c r="I13" s="460" t="str">
        <f>+IFERROR(J107/J99,"")</f>
        <v/>
      </c>
      <c r="J13" s="481" t="str" cm="1">
        <f t="array" ref="J13">IFERROR(+(_FV(A13,"Market cap",TRUE)/1000000+J$123-J$113)/J$96,"")</f>
        <v/>
      </c>
      <c r="K13" s="482" t="str" cm="1">
        <f t="array" ref="K13">IFERROR(+(_FV(A13,"Market cap",TRUE)/1000000+J$123-J$113)/J$99,"")</f>
        <v/>
      </c>
      <c r="L13" s="487" t="str" cm="1">
        <f t="array" ref="L13">IFERROR(+(_FV(A13,"Market cap",TRUE)/1000000+J$123-J$113)/J$97,"")</f>
        <v/>
      </c>
      <c r="M13" s="488" t="str" cm="1">
        <f t="array" ref="M13">IFERROR(+(_FV(A13,"Market cap",TRUE)/1000000+J$123-J$113)/J$102,"")</f>
        <v/>
      </c>
      <c r="N13" s="381" t="str" cm="1">
        <f t="array" ref="N13">IFERROR(+(_FV(A13,"Market cap",TRUE)/1000000)/J$98,"")</f>
        <v/>
      </c>
      <c r="O13" s="380" t="str" cm="1">
        <f t="array" ref="O13">IFERROR(+(_FV(A13,"Market cap",TRUE)/1000000)/J$107,"")</f>
        <v/>
      </c>
      <c r="P13" s="379"/>
      <c r="Q13" s="379"/>
      <c r="R13" s="379"/>
      <c r="S13" s="383" t="s">
        <v>204</v>
      </c>
      <c r="T13" s="382"/>
      <c r="U13" s="382"/>
      <c r="V13" s="383"/>
      <c r="W13" s="382"/>
      <c r="X13" s="382"/>
      <c r="Y13" s="382"/>
      <c r="Z13" s="382"/>
      <c r="AA13" s="382"/>
      <c r="AB13" s="383"/>
      <c r="AC13" s="383"/>
      <c r="AD13" s="378"/>
      <c r="AE13" s="378"/>
      <c r="AF13" s="378"/>
      <c r="AG13" s="378"/>
      <c r="AH13" s="378"/>
      <c r="AI13" s="383"/>
      <c r="AJ13" s="383"/>
      <c r="AK13" s="383"/>
      <c r="AL13" s="384"/>
      <c r="AM13" s="385"/>
      <c r="AN13" s="386"/>
      <c r="AO13" s="383"/>
      <c r="AP13" s="383"/>
      <c r="AQ13" s="375"/>
      <c r="AR13" s="375"/>
      <c r="AS13" s="375"/>
      <c r="AT13" s="375"/>
      <c r="AU13" s="375"/>
      <c r="AV13" s="375"/>
      <c r="AW13" s="375"/>
      <c r="AX13" s="375"/>
      <c r="AY13" s="375"/>
      <c r="AZ13" s="375"/>
    </row>
    <row r="14" spans="1:52" s="349" customFormat="1" ht="17.25" hidden="1" customHeight="1" x14ac:dyDescent="0.3">
      <c r="A14" s="398" t="str">
        <f>+K93</f>
        <v>PEER 7</v>
      </c>
      <c r="B14" s="376" t="str" cm="1">
        <f t="array" ref="B14">IFERROR(_FV(A14,"Name"),"")</f>
        <v/>
      </c>
      <c r="C14" s="377" t="str" cm="1">
        <f t="array" ref="C14">IFERROR(_FV(A14,"Ticker symbol",TRUE),"")</f>
        <v/>
      </c>
      <c r="D14" s="459" t="str">
        <f>IFERROR(K96/K95-1,"")</f>
        <v/>
      </c>
      <c r="E14" s="460" t="str">
        <f>IFERROR(K99/K96-1,"")</f>
        <v/>
      </c>
      <c r="F14" s="471" t="str">
        <f>+IFERROR(K97/K96,"")</f>
        <v/>
      </c>
      <c r="G14" s="460" t="str">
        <f>IFERROR(K102/K99,"")</f>
        <v/>
      </c>
      <c r="H14" s="477" t="str">
        <f>IFERROR(K98/K96,"")</f>
        <v/>
      </c>
      <c r="I14" s="460" t="str">
        <f>+IFERROR(K107/K99,"")</f>
        <v/>
      </c>
      <c r="J14" s="481" t="str" cm="1">
        <f t="array" ref="J14">IFERROR((_FV(A14,"Market cap",TRUE)/1000000+D$123-K$113)/K$96,"")</f>
        <v/>
      </c>
      <c r="K14" s="482" t="str" cm="1">
        <f t="array" ref="K14">IFERROR(+(_FV(A14,"Market cap",TRUE)/1000000+D$123-K$113)/K$99,"")</f>
        <v/>
      </c>
      <c r="L14" s="487" t="str" cm="1">
        <f t="array" ref="L14">IFERROR(+(_FV(A14,"Market cap",TRUE)/1000000+D$123-K$113)/K$97,"")</f>
        <v/>
      </c>
      <c r="M14" s="488" t="str" cm="1">
        <f t="array" ref="M14">IFERROR(+(_FV(A14,"Market cap",TRUE)/1000000+D$123-K$113)/K$102,"")</f>
        <v/>
      </c>
      <c r="N14" s="381" t="str" cm="1">
        <f t="array" ref="N14">IFERROR(+(_FV(A14,"Market cap",TRUE)/1000000)/K$98,"")</f>
        <v/>
      </c>
      <c r="O14" s="380" t="str" cm="1">
        <f t="array" ref="O14">IFERROR(+(_FV(A14,"Market cap",TRUE)/1000000)/K$107,"")</f>
        <v/>
      </c>
      <c r="P14" s="379"/>
      <c r="Q14" s="379"/>
      <c r="R14" s="379"/>
      <c r="S14" s="383" t="s">
        <v>205</v>
      </c>
      <c r="T14" s="382"/>
      <c r="U14" s="382"/>
      <c r="V14" s="383"/>
      <c r="W14" s="382"/>
      <c r="X14" s="382"/>
      <c r="Y14" s="382"/>
      <c r="Z14" s="382"/>
      <c r="AA14" s="382"/>
      <c r="AB14" s="383"/>
      <c r="AC14" s="383"/>
      <c r="AD14" s="378"/>
      <c r="AE14" s="378"/>
      <c r="AF14" s="378"/>
      <c r="AG14" s="378"/>
      <c r="AH14" s="378"/>
      <c r="AI14" s="383"/>
      <c r="AJ14" s="383"/>
      <c r="AK14" s="383"/>
      <c r="AL14" s="384"/>
      <c r="AM14" s="385"/>
      <c r="AN14" s="386"/>
      <c r="AO14" s="383"/>
      <c r="AP14" s="383"/>
      <c r="AQ14" s="375"/>
      <c r="AR14" s="375"/>
      <c r="AS14" s="375"/>
      <c r="AT14" s="375"/>
      <c r="AU14" s="375"/>
      <c r="AV14" s="375"/>
      <c r="AW14" s="375"/>
      <c r="AX14" s="375"/>
      <c r="AY14" s="375"/>
      <c r="AZ14" s="375"/>
    </row>
    <row r="15" spans="1:52" s="349" customFormat="1" ht="17.25" hidden="1" customHeight="1" x14ac:dyDescent="0.3">
      <c r="A15" s="398" t="str">
        <f>+L93</f>
        <v>PEER 8</v>
      </c>
      <c r="B15" s="376" t="str" cm="1">
        <f t="array" ref="B15">IFERROR(_FV(A15,"Name"),"")</f>
        <v/>
      </c>
      <c r="C15" s="377" t="str" cm="1">
        <f t="array" ref="C15">IFERROR(_FV(A15,"Ticker symbol",TRUE),"")</f>
        <v/>
      </c>
      <c r="D15" s="459" t="str">
        <f>+IFERROR(L96/L95,"")</f>
        <v/>
      </c>
      <c r="E15" s="460" t="str">
        <f>IFERROR(L99/L96,"")</f>
        <v/>
      </c>
      <c r="F15" s="471" t="str">
        <f>IFERROR(L97/L96,"")</f>
        <v/>
      </c>
      <c r="G15" s="460" t="str">
        <f>IFERROR(L102/L99,"")</f>
        <v/>
      </c>
      <c r="H15" s="477" t="str">
        <f>IFERROR(L98/L96,"")</f>
        <v/>
      </c>
      <c r="I15" s="460" t="str">
        <f>+IFERROR(L107/L99,"")</f>
        <v/>
      </c>
      <c r="J15" s="481" t="str" cm="1">
        <f t="array" ref="J15">IFERROR(+(_FV(A15,"Market cap",TRUE)/1000000+L$123-L$113)/L$96,"")</f>
        <v/>
      </c>
      <c r="K15" s="482" t="str" cm="1">
        <f t="array" ref="K15">IFERROR(+(_FV(A15,"Market cap",TRUE)/1000000+L$123-L$113)/L$99,"")</f>
        <v/>
      </c>
      <c r="L15" s="487" t="str" cm="1">
        <f t="array" ref="L15">IFERROR(+(_FV(A15,"Market cap",TRUE)/1000000+L$123-L$113)/L$97,"")</f>
        <v/>
      </c>
      <c r="M15" s="488" t="str" cm="1">
        <f t="array" ref="M15">IFERROR(+(_FV(A15,"Market cap",TRUE)/1000000+L$123-L$113)/L$102,"")</f>
        <v/>
      </c>
      <c r="N15" s="381" t="str" cm="1">
        <f t="array" ref="N15">IFERROR(+(_FV(A15,"Market cap",TRUE)/1000000)/L$98,"")</f>
        <v/>
      </c>
      <c r="O15" s="380" t="str" cm="1">
        <f t="array" ref="O15">IFERROR(+(_FV(A15,"Market cap",TRUE)/1000000)/L$107,"")</f>
        <v/>
      </c>
      <c r="P15" s="379"/>
      <c r="Q15" s="379"/>
      <c r="R15" s="379"/>
      <c r="S15" s="383"/>
      <c r="T15" s="382"/>
      <c r="U15" s="382"/>
      <c r="V15" s="383"/>
      <c r="W15" s="382"/>
      <c r="X15" s="382"/>
      <c r="Y15" s="382"/>
      <c r="Z15" s="382"/>
      <c r="AA15" s="382"/>
      <c r="AB15" s="383"/>
      <c r="AC15" s="383"/>
      <c r="AD15" s="378"/>
      <c r="AE15" s="378"/>
      <c r="AF15" s="378"/>
      <c r="AG15" s="378"/>
      <c r="AH15" s="378"/>
      <c r="AI15" s="383"/>
      <c r="AJ15" s="383"/>
      <c r="AK15" s="383"/>
      <c r="AL15" s="384"/>
      <c r="AM15" s="385"/>
      <c r="AN15" s="386"/>
      <c r="AO15" s="383"/>
      <c r="AP15" s="383"/>
      <c r="AQ15" s="375"/>
      <c r="AR15" s="375"/>
      <c r="AS15" s="375"/>
      <c r="AT15" s="375"/>
      <c r="AU15" s="375"/>
      <c r="AV15" s="375"/>
      <c r="AW15" s="375"/>
      <c r="AX15" s="375"/>
      <c r="AY15" s="375"/>
      <c r="AZ15" s="375"/>
    </row>
    <row r="16" spans="1:52" s="349" customFormat="1" ht="17.25" hidden="1" customHeight="1" x14ac:dyDescent="0.3">
      <c r="A16" s="398" t="str">
        <f>+M93</f>
        <v>PEER 9</v>
      </c>
      <c r="B16" s="376" t="str" cm="1">
        <f t="array" ref="B16">IFERROR(_FV(A16,"Name"),"")</f>
        <v/>
      </c>
      <c r="C16" s="377" t="str" cm="1">
        <f t="array" ref="C16">IFERROR(_FV(A16,"Ticker symbol",TRUE),"")</f>
        <v/>
      </c>
      <c r="D16" s="459" t="str">
        <f>IFERROR(M96/M95-1,"")</f>
        <v/>
      </c>
      <c r="E16" s="460" t="str">
        <f>IFERROR(M99/M96-1,"")</f>
        <v/>
      </c>
      <c r="F16" s="471" t="str">
        <f>IFERROR(M97/M96,"")</f>
        <v/>
      </c>
      <c r="G16" s="460" t="str">
        <f>IFERROR(M102/M99,"")</f>
        <v/>
      </c>
      <c r="H16" s="477" t="str">
        <f>IFERROR(M98/M96,"")</f>
        <v/>
      </c>
      <c r="I16" s="460" t="str">
        <f>+IFERROR(M107/M99,"")</f>
        <v/>
      </c>
      <c r="J16" s="481" t="str" cm="1">
        <f t="array" ref="J16">IFERROR(+(_FV(A16,"Market cap",TRUE)/1000000+M$123-M$113)/M$96,"")</f>
        <v/>
      </c>
      <c r="K16" s="482" t="str" cm="1">
        <f t="array" ref="K16">IFERROR(+(_FV(A16,"Market cap",TRUE)/1000000+M$123-M$113)/M$99,"")</f>
        <v/>
      </c>
      <c r="L16" s="487" t="str" cm="1">
        <f t="array" ref="L16">IFERROR(+(_FV(A16,"Market cap",TRUE)/1000000+M$123-M$113)/M$97,"")</f>
        <v/>
      </c>
      <c r="M16" s="488" t="str" cm="1">
        <f t="array" ref="M16">IFERROR(+(_FV(A16,"Market cap",TRUE)/1000000+M$123-M$113)/M$102,"")</f>
        <v/>
      </c>
      <c r="N16" s="381" t="str" cm="1">
        <f t="array" ref="N16">IFERROR(+(_FV(A16,"Market cap",TRUE)/1000000)/M$98,"")</f>
        <v/>
      </c>
      <c r="O16" s="380" t="str" cm="1">
        <f t="array" ref="O16">IFERROR(+(_FV(A16,"Market cap",TRUE)/1000000)/M$107,"")</f>
        <v/>
      </c>
      <c r="P16" s="379"/>
      <c r="Q16" s="379"/>
      <c r="R16" s="379"/>
      <c r="S16" s="383"/>
      <c r="T16" s="382"/>
      <c r="U16" s="382"/>
      <c r="V16" s="383"/>
      <c r="W16" s="382"/>
      <c r="X16" s="382"/>
      <c r="Y16" s="382"/>
      <c r="Z16" s="382"/>
      <c r="AA16" s="382"/>
      <c r="AB16" s="383"/>
      <c r="AC16" s="383"/>
      <c r="AD16" s="378"/>
      <c r="AE16" s="378"/>
      <c r="AF16" s="378"/>
      <c r="AG16" s="378"/>
      <c r="AH16" s="378"/>
      <c r="AI16" s="383"/>
      <c r="AJ16" s="383"/>
      <c r="AK16" s="383"/>
      <c r="AL16" s="384"/>
      <c r="AM16" s="385"/>
      <c r="AN16" s="386"/>
      <c r="AO16" s="383"/>
      <c r="AP16" s="383"/>
      <c r="AQ16" s="375"/>
      <c r="AR16" s="375"/>
      <c r="AS16" s="375"/>
      <c r="AT16" s="375"/>
      <c r="AU16" s="375"/>
      <c r="AV16" s="375"/>
      <c r="AW16" s="375"/>
      <c r="AX16" s="375"/>
      <c r="AY16" s="375"/>
      <c r="AZ16" s="375"/>
    </row>
    <row r="17" spans="1:42" s="349" customFormat="1" ht="17.25" hidden="1" customHeight="1" x14ac:dyDescent="0.3">
      <c r="A17" s="398" t="str">
        <f>+N93</f>
        <v>PEER 10</v>
      </c>
      <c r="B17" s="510" t="str" cm="1">
        <f t="array" ref="B17">IFERROR(_FV(A17,"Name"),"")</f>
        <v/>
      </c>
      <c r="C17" s="511" t="str" cm="1">
        <f t="array" ref="C17">+IFERROR(_FV(A17,"Ticker symbol",TRUE),"")</f>
        <v/>
      </c>
      <c r="D17" s="512" t="str">
        <f>IFERROR(N96/N95-1,"")</f>
        <v/>
      </c>
      <c r="E17" s="513" t="str">
        <f>IFERROR(N99/N96-1,"")</f>
        <v/>
      </c>
      <c r="F17" s="514" t="str">
        <f>IFERROR(N97/N96,"")</f>
        <v/>
      </c>
      <c r="G17" s="513" t="str">
        <f>IFERROR(N102/N99,"")</f>
        <v/>
      </c>
      <c r="H17" s="515" t="str">
        <f>IFERROR(N98/N96,"")</f>
        <v/>
      </c>
      <c r="I17" s="513" t="str">
        <f>+IFERROR(N107/N99,"")</f>
        <v/>
      </c>
      <c r="J17" s="516" t="str" cm="1">
        <f t="array" ref="J17">IFERROR(+(_FV(A17,"Market cap",TRUE)/1000000+N$123-N$113)/N$96,"")</f>
        <v/>
      </c>
      <c r="K17" s="517" t="str" cm="1">
        <f t="array" ref="K17">IFERROR(+(_FV(A17,"Market cap",TRUE)/1000000+N$123-N$113)/N$99,"")</f>
        <v/>
      </c>
      <c r="L17" s="518" t="str" cm="1">
        <f t="array" ref="L17">IFERROR(+(_FV(A17,"Market cap",TRUE)/1000000+N$123-N$113)/N$97,"")</f>
        <v/>
      </c>
      <c r="M17" s="519" t="str" cm="1">
        <f t="array" ref="M17">IFERROR(+(_FV(A17,"Market cap",TRUE)/1000000+N$123-N$113)/N$102,"")</f>
        <v/>
      </c>
      <c r="N17" s="520" t="str" cm="1">
        <f t="array" ref="N17">IFERROR(+(_FV(A17,"Market cap",TRUE)/1000000)/N$98,"")</f>
        <v/>
      </c>
      <c r="O17" s="521" t="str" cm="1">
        <f t="array" ref="O17">IFERROR(+(_FV(A17,"Market cap",TRUE)/1000000)/N$107,"")</f>
        <v/>
      </c>
      <c r="P17" s="379"/>
      <c r="Q17" s="379"/>
      <c r="R17" s="379"/>
      <c r="S17" s="383"/>
      <c r="T17" s="382"/>
      <c r="U17" s="382"/>
      <c r="V17" s="383"/>
      <c r="W17" s="382"/>
      <c r="X17" s="382"/>
      <c r="Y17" s="382"/>
      <c r="Z17" s="382"/>
      <c r="AA17" s="382"/>
      <c r="AB17" s="383"/>
      <c r="AC17" s="383"/>
      <c r="AD17" s="378"/>
      <c r="AE17" s="378"/>
      <c r="AF17" s="378"/>
      <c r="AG17" s="378"/>
      <c r="AH17" s="378"/>
      <c r="AI17" s="383"/>
      <c r="AJ17" s="383"/>
      <c r="AK17" s="383"/>
      <c r="AL17" s="384"/>
      <c r="AM17" s="385"/>
      <c r="AN17" s="386"/>
      <c r="AO17" s="383"/>
      <c r="AP17" s="383"/>
    </row>
    <row r="18" spans="1:42" s="346" customFormat="1" ht="15.75" customHeight="1" x14ac:dyDescent="0.3">
      <c r="A18" s="398"/>
      <c r="B18" s="348" t="s">
        <v>206</v>
      </c>
      <c r="C18" s="348"/>
      <c r="D18" s="461">
        <f t="shared" ref="D18:O18" si="0">IFERROR(AVERAGE(D6:D17),"")</f>
        <v>-0.27278062877150983</v>
      </c>
      <c r="E18" s="462">
        <f t="shared" si="0"/>
        <v>0.33690913604311462</v>
      </c>
      <c r="F18" s="472">
        <f t="shared" si="0"/>
        <v>7.0663079475660015E-2</v>
      </c>
      <c r="G18" s="462">
        <f t="shared" si="0"/>
        <v>0.22382419158438477</v>
      </c>
      <c r="H18" s="478">
        <f t="shared" si="0"/>
        <v>-0.16855873695856904</v>
      </c>
      <c r="I18" s="479">
        <f t="shared" si="0"/>
        <v>-0.34264477061929755</v>
      </c>
      <c r="J18" s="483">
        <f t="shared" ca="1" si="0"/>
        <v>3.1288272774226353</v>
      </c>
      <c r="K18" s="484">
        <f t="shared" ca="1" si="0"/>
        <v>2.2154574966357026</v>
      </c>
      <c r="L18" s="483">
        <f t="shared" ca="1" si="0"/>
        <v>-21.059491139784178</v>
      </c>
      <c r="M18" s="484">
        <f t="shared" ca="1" si="0"/>
        <v>14.864326103915914</v>
      </c>
      <c r="N18" s="360">
        <f t="shared" ca="1" si="0"/>
        <v>-4.2856091854215652</v>
      </c>
      <c r="O18" s="360">
        <f t="shared" ca="1" si="0"/>
        <v>22.562409659245397</v>
      </c>
      <c r="P18" s="379"/>
      <c r="Q18" s="399"/>
      <c r="R18" s="399"/>
      <c r="S18" s="393"/>
      <c r="T18" s="399"/>
      <c r="U18" s="399"/>
      <c r="V18" s="393"/>
      <c r="W18" s="399"/>
      <c r="X18" s="399"/>
      <c r="Y18" s="399"/>
      <c r="Z18" s="399"/>
      <c r="AA18" s="399"/>
      <c r="AB18" s="399"/>
      <c r="AC18" s="393"/>
      <c r="AD18" s="399"/>
      <c r="AE18" s="399"/>
      <c r="AF18" s="399"/>
      <c r="AG18" s="399"/>
      <c r="AH18" s="399"/>
      <c r="AI18" s="393"/>
      <c r="AJ18" s="400"/>
      <c r="AK18" s="393"/>
      <c r="AL18" s="400"/>
      <c r="AM18" s="396"/>
      <c r="AN18" s="400"/>
      <c r="AO18" s="393"/>
      <c r="AP18" s="400"/>
    </row>
    <row r="19" spans="1:42" s="346" customFormat="1" ht="15.75" customHeight="1" x14ac:dyDescent="0.3">
      <c r="A19" s="398"/>
      <c r="B19" s="401" t="s">
        <v>207</v>
      </c>
      <c r="C19" s="348"/>
      <c r="D19" s="463">
        <f>IFERROR(+D18-D6,"")</f>
        <v>-7.0819536903832803E-3</v>
      </c>
      <c r="E19" s="464">
        <f>IFERROR(E18-E6,"")</f>
        <v>-0.68328271091879977</v>
      </c>
      <c r="F19" s="473">
        <f>+IFERROR(F18-F6,"")</f>
        <v>0.2886745976181076</v>
      </c>
      <c r="G19" s="464">
        <f>IFERROR(G18-G6,"")</f>
        <v>-0.13915980974506087</v>
      </c>
      <c r="H19" s="473">
        <f>IFERROR(+H6-H18,"")</f>
        <v>-0.11031825941263607</v>
      </c>
      <c r="I19" s="464">
        <f>+IFERROR(I6-I18,"")</f>
        <v>0.64172624449115701</v>
      </c>
      <c r="J19" s="509">
        <f ca="1">+IFERROR(J6-J18,"")</f>
        <v>1.1464087163147179</v>
      </c>
      <c r="K19" s="485">
        <f ca="1">+IFERROR(K6-K18,"")</f>
        <v>-9.9205022809164767E-2</v>
      </c>
      <c r="L19" s="509">
        <f ca="1">IFERROR(+L6-L18,"")</f>
        <v>1.4493529683507944</v>
      </c>
      <c r="M19" s="485">
        <f ca="1">IFERROR(M6-M18,"")</f>
        <v>-9.0341725266902912</v>
      </c>
      <c r="N19" s="509">
        <f ca="1">IFERROR(+N6-N18,"")</f>
        <v>-9.9197401404408136</v>
      </c>
      <c r="O19" s="509">
        <f ca="1">IFERROR(+O6-O18,"")</f>
        <v>-16.005752371056722</v>
      </c>
      <c r="P19" s="501"/>
      <c r="Q19" s="394"/>
      <c r="R19" s="394"/>
      <c r="S19" s="393"/>
      <c r="T19" s="394"/>
      <c r="U19" s="394"/>
      <c r="V19" s="393"/>
      <c r="W19" s="394"/>
      <c r="X19" s="394"/>
      <c r="Y19" s="394"/>
      <c r="Z19" s="394"/>
      <c r="AA19" s="394"/>
      <c r="AB19" s="394"/>
      <c r="AC19" s="393"/>
      <c r="AD19" s="394"/>
      <c r="AE19" s="394"/>
      <c r="AF19" s="394"/>
      <c r="AG19" s="394"/>
      <c r="AH19" s="394"/>
      <c r="AI19" s="393"/>
      <c r="AJ19" s="402"/>
      <c r="AK19" s="393"/>
      <c r="AL19" s="402"/>
      <c r="AM19" s="393"/>
      <c r="AN19" s="402"/>
      <c r="AO19" s="393"/>
      <c r="AP19" s="402"/>
    </row>
    <row r="20" spans="1:42" s="346" customFormat="1" ht="14.25" customHeight="1" x14ac:dyDescent="0.3">
      <c r="A20" s="366"/>
      <c r="B20" s="390"/>
      <c r="C20" s="366"/>
      <c r="D20" s="366"/>
      <c r="E20" s="366"/>
      <c r="F20" s="366"/>
      <c r="G20" s="366"/>
      <c r="H20" s="366"/>
      <c r="I20" s="366"/>
      <c r="J20" s="366"/>
      <c r="K20" s="366"/>
      <c r="L20" s="366"/>
      <c r="M20" s="366"/>
      <c r="N20" s="366"/>
      <c r="O20" s="366"/>
      <c r="P20" s="404"/>
      <c r="Q20" s="366"/>
      <c r="R20" s="366"/>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row>
    <row r="21" spans="1:42" s="346" customFormat="1" ht="14" x14ac:dyDescent="0.3">
      <c r="A21" s="366"/>
      <c r="B21" s="403"/>
      <c r="C21" s="403"/>
      <c r="D21" s="947" t="s">
        <v>208</v>
      </c>
      <c r="E21" s="947"/>
      <c r="F21" s="947"/>
      <c r="G21" s="572" t="s">
        <v>209</v>
      </c>
      <c r="H21" s="572" t="s">
        <v>210</v>
      </c>
      <c r="I21" s="572" t="s">
        <v>211</v>
      </c>
      <c r="J21" s="947" t="s">
        <v>212</v>
      </c>
      <c r="K21" s="947"/>
      <c r="L21" s="947"/>
      <c r="M21" s="947" t="s">
        <v>213</v>
      </c>
      <c r="N21" s="947"/>
      <c r="O21" s="947"/>
      <c r="P21" s="499"/>
      <c r="Q21" s="404"/>
      <c r="R21" s="404"/>
      <c r="S21" s="404"/>
      <c r="T21" s="404"/>
      <c r="U21" s="404"/>
      <c r="V21" s="404"/>
      <c r="W21" s="404"/>
      <c r="X21" s="404"/>
      <c r="Y21" s="366"/>
      <c r="Z21" s="366"/>
      <c r="AA21" s="366"/>
      <c r="AB21" s="366"/>
      <c r="AC21" s="366"/>
      <c r="AD21" s="366"/>
      <c r="AE21" s="366"/>
      <c r="AF21" s="366"/>
      <c r="AG21" s="366"/>
      <c r="AH21" s="366"/>
      <c r="AI21" s="366"/>
      <c r="AJ21" s="366"/>
      <c r="AK21" s="366"/>
      <c r="AL21" s="366"/>
      <c r="AM21" s="366"/>
      <c r="AN21" s="366"/>
      <c r="AO21" s="366"/>
      <c r="AP21" s="366"/>
    </row>
    <row r="22" spans="1:42" s="346" customFormat="1" ht="14.25" customHeight="1" x14ac:dyDescent="0.3">
      <c r="A22" s="366"/>
      <c r="B22" s="405" t="s">
        <v>214</v>
      </c>
      <c r="C22" s="403"/>
      <c r="D22" s="369" t="s">
        <v>215</v>
      </c>
      <c r="E22" s="369" t="s">
        <v>216</v>
      </c>
      <c r="F22" s="369" t="s">
        <v>217</v>
      </c>
      <c r="G22" s="369" t="s">
        <v>218</v>
      </c>
      <c r="H22" s="369" t="s">
        <v>219</v>
      </c>
      <c r="I22" s="369" t="s">
        <v>220</v>
      </c>
      <c r="J22" s="369" t="s">
        <v>215</v>
      </c>
      <c r="K22" s="369" t="s">
        <v>216</v>
      </c>
      <c r="L22" s="369" t="s">
        <v>217</v>
      </c>
      <c r="M22" s="369" t="s">
        <v>215</v>
      </c>
      <c r="N22" s="369" t="s">
        <v>216</v>
      </c>
      <c r="O22" s="369" t="s">
        <v>217</v>
      </c>
      <c r="P22" s="499" t="s">
        <v>221</v>
      </c>
      <c r="Q22" s="404"/>
      <c r="R22" s="404"/>
      <c r="S22" s="404"/>
      <c r="T22" s="404"/>
      <c r="U22" s="404"/>
      <c r="V22" s="404"/>
      <c r="W22" s="404"/>
      <c r="X22" s="404"/>
      <c r="Y22" s="366"/>
      <c r="Z22" s="366"/>
      <c r="AA22" s="366"/>
      <c r="AB22" s="366"/>
      <c r="AC22" s="366"/>
      <c r="AD22" s="366"/>
      <c r="AE22" s="366"/>
      <c r="AF22" s="366"/>
      <c r="AG22" s="366"/>
      <c r="AH22" s="366"/>
      <c r="AI22" s="366"/>
      <c r="AJ22" s="366"/>
      <c r="AK22" s="366"/>
      <c r="AL22" s="366"/>
      <c r="AM22" s="366"/>
      <c r="AN22" s="366"/>
      <c r="AO22" s="366"/>
      <c r="AP22" s="366"/>
    </row>
    <row r="23" spans="1:42" s="346" customFormat="1" ht="3.75" customHeight="1" x14ac:dyDescent="0.3">
      <c r="A23" s="366"/>
      <c r="B23" s="406"/>
      <c r="C23" s="407"/>
      <c r="D23" s="494"/>
      <c r="E23" s="496"/>
      <c r="F23" s="491"/>
      <c r="G23" s="494"/>
      <c r="H23" s="496"/>
      <c r="I23" s="491"/>
      <c r="J23" s="407"/>
      <c r="K23" s="407"/>
      <c r="L23" s="491"/>
      <c r="M23" s="407"/>
      <c r="N23" s="407"/>
      <c r="O23" s="407"/>
      <c r="P23" s="500"/>
      <c r="Q23" s="404"/>
      <c r="R23" s="404"/>
      <c r="S23" s="404"/>
      <c r="T23" s="404"/>
      <c r="U23" s="404"/>
      <c r="V23" s="404"/>
      <c r="W23" s="404"/>
      <c r="X23" s="404"/>
      <c r="Y23" s="366"/>
      <c r="Z23" s="366"/>
      <c r="AA23" s="366"/>
      <c r="AB23" s="366"/>
      <c r="AC23" s="366"/>
      <c r="AD23" s="366"/>
      <c r="AE23" s="366"/>
      <c r="AF23" s="366"/>
      <c r="AG23" s="366"/>
      <c r="AH23" s="366"/>
      <c r="AI23" s="366"/>
      <c r="AJ23" s="366"/>
      <c r="AK23" s="366"/>
      <c r="AL23" s="366"/>
      <c r="AM23" s="366"/>
      <c r="AN23" s="366"/>
      <c r="AO23" s="366"/>
      <c r="AP23" s="366"/>
    </row>
    <row r="24" spans="1:42" s="346" customFormat="1" ht="14" x14ac:dyDescent="0.3">
      <c r="A24" s="366"/>
      <c r="B24" s="366" t="s">
        <v>222</v>
      </c>
      <c r="C24" s="366"/>
      <c r="D24" s="495">
        <f ca="1">+MIN(K6:K11)</f>
        <v>1.1068059423493597</v>
      </c>
      <c r="E24" s="497">
        <f ca="1">MIN(M6:M11)</f>
        <v>4.4190530914263872</v>
      </c>
      <c r="F24" s="492">
        <f ca="1">MIN(O6:O11)</f>
        <v>-19.154346112049151</v>
      </c>
      <c r="G24" s="495">
        <f>-Inputs!$Q$99+Inputs!$Q$100</f>
        <v>7555.4000000000015</v>
      </c>
      <c r="H24" s="497">
        <f>+Inputs!$Q$101</f>
        <v>0</v>
      </c>
      <c r="I24" s="492">
        <f>+Inputs!$Q$102</f>
        <v>12.3</v>
      </c>
      <c r="J24" s="408">
        <f ca="1">IFERROR(+D24*$D$99+G24+H24+I24,"")</f>
        <v>80830.505741931163</v>
      </c>
      <c r="K24" s="408">
        <f ca="1">IFERROR(E24*$D$102+G24+H24+I24,"")</f>
        <v>113744.2886277018</v>
      </c>
      <c r="L24" s="493">
        <f ca="1">IFERROR(F24*$D$107,"")</f>
        <v>-379200.50541484816</v>
      </c>
      <c r="M24" s="498" cm="1">
        <f t="array" aca="1" ref="M24" ca="1">IFERROR(+(J24/_FV($A$6,"Shares outstanding",TRUE)*1000000000)/$P$24-1,"")</f>
        <v>-0.39788205831941659</v>
      </c>
      <c r="N24" s="498" cm="1">
        <f t="array" aca="1" ref="N24" ca="1">IFERROR((+K24/_FV($A$6,"Shares outstanding",TRUE)*1000000000)/$P$24-1,"")</f>
        <v>-0.15270260506478761</v>
      </c>
      <c r="O24" s="498" cm="1">
        <f t="array" aca="1" ref="O24" ca="1">IFERROR(+(L24/_FV($A$6,"Shares outstanding",TRUE)*1000000000)/$P$24-1,"")</f>
        <v>-3.824718535519215</v>
      </c>
      <c r="P24" s="502" cm="1">
        <f t="array" aca="1" ref="P24" ca="1">+_FV(A6,"Price")</f>
        <v>184400</v>
      </c>
      <c r="Q24" s="366"/>
      <c r="R24" s="366"/>
      <c r="S24" s="366"/>
      <c r="T24" s="366"/>
      <c r="U24" s="366"/>
      <c r="V24" s="366"/>
      <c r="W24" s="366"/>
      <c r="X24" s="366"/>
      <c r="Y24" s="366"/>
      <c r="Z24" s="366"/>
      <c r="AA24" s="366"/>
      <c r="AB24" s="366"/>
      <c r="AC24" s="366"/>
      <c r="AD24" s="366"/>
      <c r="AE24" s="366"/>
      <c r="AF24" s="366"/>
      <c r="AG24" s="366"/>
      <c r="AH24" s="366"/>
      <c r="AI24" s="366"/>
      <c r="AJ24" s="366"/>
      <c r="AK24" s="366"/>
      <c r="AL24" s="366"/>
      <c r="AM24" s="366"/>
      <c r="AN24" s="366"/>
      <c r="AO24" s="366"/>
      <c r="AP24" s="366"/>
    </row>
    <row r="25" spans="1:42" ht="14" x14ac:dyDescent="0.3">
      <c r="B25" s="366" t="s">
        <v>206</v>
      </c>
      <c r="C25" s="366"/>
      <c r="D25" s="495">
        <f ca="1">+IFERROR(AVERAGE(K6:K17),"")</f>
        <v>2.2154574966357026</v>
      </c>
      <c r="E25" s="497">
        <f ca="1">IFERROR(+AVERAGE(M6:M17),"")</f>
        <v>14.864326103915914</v>
      </c>
      <c r="F25" s="492">
        <f ca="1">IFERROR(+AVERAGE(O6:O17),"")</f>
        <v>22.562409659245397</v>
      </c>
      <c r="G25" s="495">
        <f>-Inputs!$Q$99+Inputs!$Q$100</f>
        <v>7555.4000000000015</v>
      </c>
      <c r="H25" s="497">
        <f>+Inputs!$Q$101</f>
        <v>0</v>
      </c>
      <c r="I25" s="492">
        <f>+Inputs!$Q$102</f>
        <v>12.3</v>
      </c>
      <c r="J25" s="408">
        <f ca="1">IFERROR(+D25*$D$99+G25+H25+I25,"")</f>
        <v>154215.47807480703</v>
      </c>
      <c r="K25" s="408">
        <f ca="1">IFERROR(E25*$D$102+G25+H25+I25,"")</f>
        <v>364712.86329878762</v>
      </c>
      <c r="L25" s="493">
        <f ca="1">IFERROR(+F25*$D$107,"")</f>
        <v>446670.28026504692</v>
      </c>
      <c r="M25" s="498" cm="1">
        <f t="array" aca="1" ref="M25" ca="1">IFERROR(+(J25/_FV($A$6,"Shares outstanding",TRUE)*1000000000)/$P$24-1,"")</f>
        <v>0.14877304529248492</v>
      </c>
      <c r="N25" s="498" cm="1">
        <f t="array" aca="1" ref="N25" ca="1">IFERROR((+K25/_FV($A$6,"Shares outstanding",TRUE)*1000000000)/$P$24-1,"")</f>
        <v>1.7167980274058769</v>
      </c>
      <c r="O25" s="498" cm="1">
        <f t="array" aca="1" ref="O25" ca="1">IFERROR(+(L25/_FV($A$6,"Shares outstanding",TRUE)*1000000000)/$P$24-1,"")</f>
        <v>2.3273104911870095</v>
      </c>
      <c r="P25" s="499"/>
    </row>
    <row r="26" spans="1:42" s="346" customFormat="1" ht="14" x14ac:dyDescent="0.3">
      <c r="A26" s="366"/>
      <c r="B26" s="366" t="s">
        <v>223</v>
      </c>
      <c r="C26" s="366"/>
      <c r="D26" s="495">
        <f ca="1">IFERROR(MEDIAN(K6:K17),"")</f>
        <v>2.1162524738265378</v>
      </c>
      <c r="E26" s="497">
        <f ca="1">IFERROR(MEDIAN(M6:M17),"")</f>
        <v>10.953208602940201</v>
      </c>
      <c r="F26" s="492">
        <f ca="1">IFERROR(MEDIAN(O6:O17),"")</f>
        <v>6.556657288188676</v>
      </c>
      <c r="G26" s="495">
        <f>-Inputs!$Q$99+Inputs!$Q$100</f>
        <v>7555.4000000000015</v>
      </c>
      <c r="H26" s="497">
        <f>+Inputs!$Q$101</f>
        <v>0</v>
      </c>
      <c r="I26" s="492">
        <f>+Inputs!$Q$102</f>
        <v>12.3</v>
      </c>
      <c r="J26" s="408">
        <f ca="1">IFERROR(D26*$D$99+G26+H26+I26,"")</f>
        <v>147648.79999999999</v>
      </c>
      <c r="K26" s="408">
        <f ca="1">IFERROR(E26*$D$102+G26+H26+I26,"")</f>
        <v>270740.44310284418</v>
      </c>
      <c r="L26" s="493">
        <f ca="1">IFERROR(+F26*$D$107,"")</f>
        <v>129802.8</v>
      </c>
      <c r="M26" s="498" cm="1">
        <f t="array" aca="1" ref="M26" ca="1">IFERROR(+(J26/_FV($A$6,"Shares outstanding",TRUE)*1000000000)/$P$24-1,"")</f>
        <v>9.9856925693956544E-2</v>
      </c>
      <c r="N26" s="498" cm="1">
        <f t="array" aca="1" ref="N26" ca="1">IFERROR((+K26/_FV($A$6,"Shares outstanding",TRUE)*1000000000)/$P$24-1,"")</f>
        <v>1.0167840945006921</v>
      </c>
      <c r="O26" s="498" cm="1">
        <f t="array" aca="1" ref="O26" ca="1">+IFERROR((L26/_FV($A$6,"Shares outstanding",TRUE)*1000000000)/$P$24-1,"")</f>
        <v>-3.3080468283741449E-2</v>
      </c>
      <c r="P26" s="500"/>
      <c r="Q26" s="366"/>
      <c r="R26" s="366"/>
      <c r="S26" s="366"/>
      <c r="T26" s="366"/>
      <c r="U26" s="366"/>
      <c r="V26" s="366"/>
      <c r="W26" s="366"/>
      <c r="X26" s="366"/>
      <c r="Y26" s="366"/>
      <c r="Z26" s="366"/>
      <c r="AA26" s="366"/>
      <c r="AB26" s="366"/>
      <c r="AC26" s="366"/>
      <c r="AD26" s="366"/>
      <c r="AE26" s="366"/>
      <c r="AF26" s="366"/>
      <c r="AG26" s="366"/>
      <c r="AH26" s="366"/>
      <c r="AI26" s="366"/>
      <c r="AJ26" s="366"/>
      <c r="AK26" s="366"/>
      <c r="AL26" s="366"/>
      <c r="AM26" s="366"/>
      <c r="AN26" s="366"/>
      <c r="AO26" s="366"/>
      <c r="AP26" s="366"/>
    </row>
    <row r="27" spans="1:42" s="346" customFormat="1" ht="14" x14ac:dyDescent="0.3">
      <c r="A27" s="366"/>
      <c r="B27" s="366" t="s">
        <v>224</v>
      </c>
      <c r="C27" s="366"/>
      <c r="D27" s="495">
        <f ca="1">+MAX(K6:K11)</f>
        <v>3.918734692565796</v>
      </c>
      <c r="E27" s="497">
        <f ca="1">+MAX(M6:M11)</f>
        <v>30.604785006774375</v>
      </c>
      <c r="F27" s="492">
        <f ca="1">MAX(O6:O11)</f>
        <v>118.87193891263618</v>
      </c>
      <c r="G27" s="495">
        <f>-Inputs!$Q$99+Inputs!$Q$100</f>
        <v>7555.4000000000015</v>
      </c>
      <c r="H27" s="497">
        <f>+Inputs!$Q$101</f>
        <v>0</v>
      </c>
      <c r="I27" s="492">
        <f>+Inputs!$Q$102</f>
        <v>12.3</v>
      </c>
      <c r="J27" s="408">
        <f ca="1">IFERROR(+D27*$D$99+G27+H27+I27,"")</f>
        <v>266960.50550500775</v>
      </c>
      <c r="K27" s="408">
        <f ca="1">IFERROR(E27*$D$102+G27+H27+I27,"")</f>
        <v>742908.86935776786</v>
      </c>
      <c r="L27" s="493">
        <f ca="1">IFERROR(+F27*$D$107,"")</f>
        <v>2353319.6618473493</v>
      </c>
      <c r="M27" s="498" cm="1">
        <f t="array" aca="1" ref="M27" ca="1">IFERROR(+(J27/_FV($A$6,"Shares outstanding",TRUE)*1000000000)/$P$24-1,"")</f>
        <v>0.98862680134510006</v>
      </c>
      <c r="N27" s="498" cm="1">
        <f t="array" aca="1" ref="N27" ca="1">IFERROR((+K27/_FV($A$6,"Shares outstanding",TRUE)*1000000000)/$P$24-1,"")</f>
        <v>4.5340339042552866</v>
      </c>
      <c r="O27" s="498" cm="1">
        <f t="array" aca="1" ref="O27" ca="1">+IFERROR((L27/_FV($A$6,"Shares outstanding",TRUE)*1000000000)/$P$24-1,"")</f>
        <v>16.530213103354495</v>
      </c>
      <c r="P27" s="500"/>
      <c r="Q27" s="366"/>
      <c r="R27" s="366"/>
      <c r="S27" s="366"/>
      <c r="T27" s="366"/>
      <c r="U27" s="366"/>
      <c r="V27" s="366"/>
      <c r="W27" s="366"/>
      <c r="X27" s="366"/>
      <c r="Y27" s="366"/>
      <c r="Z27" s="366"/>
      <c r="AA27" s="366"/>
      <c r="AB27" s="366"/>
      <c r="AC27" s="366"/>
      <c r="AD27" s="366"/>
      <c r="AE27" s="366"/>
      <c r="AF27" s="366"/>
      <c r="AG27" s="366"/>
      <c r="AH27" s="366"/>
      <c r="AI27" s="366"/>
      <c r="AJ27" s="366"/>
      <c r="AK27" s="366"/>
      <c r="AL27" s="366"/>
      <c r="AM27" s="366"/>
      <c r="AN27" s="366"/>
      <c r="AO27" s="366"/>
      <c r="AP27" s="366"/>
    </row>
    <row r="28" spans="1:42" s="346" customFormat="1" ht="14.25" customHeight="1" x14ac:dyDescent="0.3">
      <c r="A28" s="366"/>
      <c r="B28" s="366"/>
      <c r="C28" s="366"/>
      <c r="D28" s="366"/>
      <c r="E28" s="366"/>
      <c r="F28" s="366"/>
      <c r="G28" s="366"/>
      <c r="H28" s="366"/>
      <c r="I28" s="366"/>
      <c r="J28" s="366"/>
      <c r="K28" s="366"/>
      <c r="L28" s="366"/>
      <c r="M28" s="366"/>
      <c r="N28" s="366"/>
      <c r="O28" s="410"/>
      <c r="P28" s="366"/>
      <c r="Q28" s="366"/>
      <c r="R28" s="366"/>
      <c r="S28" s="366"/>
      <c r="T28" s="366"/>
      <c r="U28" s="366"/>
      <c r="V28" s="366"/>
      <c r="W28" s="366"/>
      <c r="X28" s="366"/>
      <c r="Y28" s="366"/>
      <c r="Z28" s="366"/>
      <c r="AA28" s="366"/>
      <c r="AB28" s="366"/>
      <c r="AC28" s="366"/>
      <c r="AD28" s="366"/>
      <c r="AE28" s="366"/>
      <c r="AF28" s="366"/>
      <c r="AG28" s="366"/>
      <c r="AH28" s="366"/>
      <c r="AI28" s="366"/>
      <c r="AJ28" s="366"/>
      <c r="AK28" s="366"/>
      <c r="AL28" s="366"/>
      <c r="AM28" s="366"/>
      <c r="AN28" s="366"/>
      <c r="AO28" s="366"/>
      <c r="AP28" s="366"/>
    </row>
    <row r="29" spans="1:42" s="349" customFormat="1" ht="14.25" customHeight="1" x14ac:dyDescent="0.3">
      <c r="A29" s="375"/>
      <c r="B29" s="569" t="s">
        <v>225</v>
      </c>
      <c r="C29" s="570"/>
      <c r="D29" s="351" t="str">
        <f ca="1">+LEFT(B6, FIND(" ", B6 &amp; " ") - 1)</f>
        <v>SK</v>
      </c>
      <c r="E29" s="351" t="str">
        <f ca="1">+LEFT(B8, FIND(" ", B8 &amp; " ") - 1)</f>
        <v>Samsung</v>
      </c>
      <c r="F29" s="351" t="str">
        <f ca="1">+LEFT(B9, FIND(" ", B9 &amp; " ") - 1)</f>
        <v>MICRON</v>
      </c>
      <c r="G29" s="351" t="str">
        <f ca="1">+LEFT(B10, FIND(" ", B10 &amp; " ") - 1)</f>
        <v>Kioxia</v>
      </c>
      <c r="H29" s="351" t="str">
        <f ca="1">+LEFT(B11, FIND(" ", B11 &amp; " ") - 1)</f>
        <v>WESTERN</v>
      </c>
      <c r="I29" s="351" t="str">
        <f>+LEFT(B12, FIND(" ", B12 &amp; " ") - 1)</f>
        <v/>
      </c>
      <c r="J29" s="351" t="str">
        <f>+LEFT(C12, FIND(" ", C12 &amp; " ") - 1)</f>
        <v/>
      </c>
      <c r="K29" s="351" t="str">
        <f>+LEFT(B14, FIND(" ", B14 &amp; " ") - 1)</f>
        <v/>
      </c>
      <c r="L29" s="351" t="str">
        <f>+LEFT(B15, FIND(" ", B15 &amp; " ") - 1)</f>
        <v/>
      </c>
      <c r="M29" s="351" t="str">
        <f>+LEFT(B16, FIND(" ", B16 &amp; " ") - 1)</f>
        <v/>
      </c>
      <c r="N29" s="351" t="str">
        <f>+LEFT(B17, FIND(" ", B17 &amp; " ") - 1)</f>
        <v/>
      </c>
      <c r="O29" s="411" t="s">
        <v>206</v>
      </c>
      <c r="P29" s="375"/>
      <c r="Q29" s="375" t="s">
        <v>226</v>
      </c>
      <c r="R29" s="375"/>
      <c r="S29" s="375"/>
      <c r="T29" s="375"/>
      <c r="U29" s="375"/>
      <c r="V29" s="375"/>
      <c r="W29" s="375"/>
      <c r="X29" s="375"/>
      <c r="Y29" s="375"/>
      <c r="Z29" s="375"/>
      <c r="AA29" s="375"/>
      <c r="AB29" s="375"/>
      <c r="AC29" s="375"/>
      <c r="AD29" s="375"/>
      <c r="AE29" s="375"/>
      <c r="AF29" s="375"/>
      <c r="AG29" s="375"/>
      <c r="AH29" s="375"/>
      <c r="AI29" s="375"/>
      <c r="AJ29" s="375"/>
      <c r="AK29" s="375"/>
      <c r="AL29" s="375"/>
      <c r="AM29" s="375"/>
      <c r="AN29" s="375"/>
      <c r="AO29" s="375"/>
      <c r="AP29" s="375"/>
    </row>
    <row r="30" spans="1:42" s="346" customFormat="1" ht="3.75" customHeight="1" x14ac:dyDescent="0.3">
      <c r="A30" s="366"/>
      <c r="B30" s="401"/>
      <c r="C30" s="401"/>
      <c r="D30" s="401"/>
      <c r="E30" s="401"/>
      <c r="F30" s="401"/>
      <c r="G30" s="401"/>
      <c r="H30" s="401"/>
      <c r="I30" s="401"/>
      <c r="J30" s="401"/>
      <c r="K30" s="401"/>
      <c r="L30" s="401"/>
      <c r="M30" s="401"/>
      <c r="N30" s="401"/>
      <c r="O30" s="412"/>
      <c r="P30" s="366"/>
      <c r="Q30" s="366"/>
      <c r="R30" s="413"/>
      <c r="S30" s="366"/>
      <c r="T30" s="366"/>
      <c r="U30" s="366"/>
      <c r="V30" s="366"/>
      <c r="W30" s="366"/>
      <c r="X30" s="366"/>
      <c r="Y30" s="366"/>
      <c r="Z30" s="366"/>
      <c r="AA30" s="366"/>
      <c r="AB30" s="366"/>
      <c r="AC30" s="366"/>
      <c r="AD30" s="366"/>
      <c r="AE30" s="366"/>
      <c r="AF30" s="366"/>
      <c r="AG30" s="366"/>
      <c r="AH30" s="366"/>
      <c r="AI30" s="366"/>
      <c r="AJ30" s="366"/>
      <c r="AK30" s="366"/>
      <c r="AL30" s="366"/>
      <c r="AM30" s="366"/>
      <c r="AN30" s="366"/>
      <c r="AO30" s="366"/>
      <c r="AP30" s="366"/>
    </row>
    <row r="31" spans="1:42" s="346" customFormat="1" ht="14.25" customHeight="1" x14ac:dyDescent="0.3">
      <c r="A31" s="366"/>
      <c r="B31" s="366" t="s">
        <v>227</v>
      </c>
      <c r="C31" s="366"/>
      <c r="D31" s="414">
        <f>IFERROR(D103/D99,"")</f>
        <v>0.35452993518952153</v>
      </c>
      <c r="E31" s="414">
        <f t="shared" ref="E31:N31" si="1">IFERROR(E103/E99,"")</f>
        <v>0.10877090473023479</v>
      </c>
      <c r="F31" s="414">
        <f t="shared" si="1"/>
        <v>4.2372856258643815E-2</v>
      </c>
      <c r="G31" s="414">
        <f t="shared" si="1"/>
        <v>-0.24660123148204599</v>
      </c>
      <c r="H31" s="414">
        <f t="shared" si="1"/>
        <v>2.445585369509819E-2</v>
      </c>
      <c r="I31" s="414" t="str">
        <f t="shared" si="1"/>
        <v/>
      </c>
      <c r="J31" s="414" t="str">
        <f t="shared" si="1"/>
        <v/>
      </c>
      <c r="K31" s="414" t="str">
        <f t="shared" si="1"/>
        <v/>
      </c>
      <c r="L31" s="414" t="str">
        <f t="shared" si="1"/>
        <v/>
      </c>
      <c r="M31" s="414" t="str">
        <f t="shared" si="1"/>
        <v/>
      </c>
      <c r="N31" s="414" t="str">
        <f t="shared" si="1"/>
        <v/>
      </c>
      <c r="O31" s="634">
        <f t="shared" ref="O31:O36" si="2">IFERROR(+AVERAGE(D31:N31),"")</f>
        <v>5.6705663678290476E-2</v>
      </c>
      <c r="P31" s="366"/>
      <c r="Q31" s="366"/>
      <c r="R31" s="413"/>
      <c r="S31" s="366"/>
      <c r="T31" s="366"/>
      <c r="U31" s="366"/>
      <c r="V31" s="366"/>
      <c r="W31" s="366"/>
      <c r="X31" s="366"/>
      <c r="Y31" s="366"/>
      <c r="Z31" s="366"/>
      <c r="AA31" s="366"/>
      <c r="AB31" s="366"/>
      <c r="AC31" s="366"/>
      <c r="AD31" s="366"/>
      <c r="AE31" s="366"/>
      <c r="AF31" s="366"/>
      <c r="AG31" s="366"/>
      <c r="AH31" s="366"/>
      <c r="AI31" s="366"/>
      <c r="AJ31" s="366"/>
      <c r="AK31" s="366"/>
      <c r="AL31" s="366"/>
      <c r="AM31" s="366"/>
      <c r="AN31" s="366"/>
      <c r="AO31" s="366"/>
      <c r="AP31" s="366"/>
    </row>
    <row r="32" spans="1:42" s="346" customFormat="1" ht="14.25" customHeight="1" x14ac:dyDescent="0.3">
      <c r="A32" s="366"/>
      <c r="B32" s="366" t="s">
        <v>41</v>
      </c>
      <c r="C32" s="366"/>
      <c r="D32" s="414">
        <f>IFERROR(D107/D99,"")</f>
        <v>0.29908147387185946</v>
      </c>
      <c r="E32" s="414">
        <f t="shared" ref="E32:N32" si="3">IFERROR(E107/E99,"")</f>
        <v>0.11174693198976704</v>
      </c>
      <c r="F32" s="414">
        <f t="shared" si="3"/>
        <v>3.0983004066112079E-2</v>
      </c>
      <c r="G32" s="414">
        <f t="shared" si="3"/>
        <v>-0.22639151374748523</v>
      </c>
      <c r="H32" s="414">
        <f t="shared" si="3"/>
        <v>-6.1367803235589186E-2</v>
      </c>
      <c r="I32" s="414" t="str">
        <f t="shared" si="3"/>
        <v/>
      </c>
      <c r="J32" s="414" t="str">
        <f t="shared" si="3"/>
        <v/>
      </c>
      <c r="K32" s="414" t="str">
        <f t="shared" si="3"/>
        <v/>
      </c>
      <c r="L32" s="414" t="str">
        <f t="shared" si="3"/>
        <v/>
      </c>
      <c r="M32" s="414" t="str">
        <f t="shared" si="3"/>
        <v/>
      </c>
      <c r="N32" s="414" t="str">
        <f t="shared" si="3"/>
        <v/>
      </c>
      <c r="O32" s="634">
        <f t="shared" si="2"/>
        <v>3.0810418588932836E-2</v>
      </c>
      <c r="P32" s="366"/>
      <c r="Q32" s="366"/>
      <c r="R32" s="413"/>
      <c r="S32" s="366"/>
      <c r="T32" s="366"/>
      <c r="U32" s="366"/>
      <c r="V32" s="366"/>
      <c r="W32" s="366"/>
      <c r="X32" s="366"/>
      <c r="Y32" s="366"/>
      <c r="Z32" s="366"/>
      <c r="AA32" s="366"/>
      <c r="AB32" s="366"/>
      <c r="AC32" s="366"/>
      <c r="AD32" s="366"/>
      <c r="AE32" s="366"/>
      <c r="AF32" s="366"/>
      <c r="AG32" s="366"/>
      <c r="AH32" s="366"/>
      <c r="AI32" s="366"/>
      <c r="AJ32" s="366"/>
      <c r="AK32" s="366"/>
      <c r="AL32" s="366"/>
      <c r="AM32" s="366"/>
      <c r="AN32" s="366"/>
      <c r="AO32" s="366"/>
      <c r="AP32" s="366"/>
    </row>
    <row r="33" spans="2:18" s="346" customFormat="1" ht="14.25" customHeight="1" x14ac:dyDescent="0.3">
      <c r="B33" s="366" t="s">
        <v>228</v>
      </c>
      <c r="C33" s="366"/>
      <c r="D33" s="414">
        <f>IFERROR(D107/D119,"")</f>
        <v>0.16517514467457392</v>
      </c>
      <c r="E33" s="414">
        <f t="shared" ref="E33:N33" si="4">IFERROR(E107/E119,"")</f>
        <v>6.5343664795127376E-2</v>
      </c>
      <c r="F33" s="414">
        <f t="shared" si="4"/>
        <v>1.130786200128189E-2</v>
      </c>
      <c r="G33" s="414">
        <f t="shared" si="4"/>
        <v>-8.7428584881968863E-2</v>
      </c>
      <c r="H33" s="414">
        <f t="shared" si="4"/>
        <v>-3.1907813877081179E-2</v>
      </c>
      <c r="I33" s="414" t="str">
        <f t="shared" si="4"/>
        <v/>
      </c>
      <c r="J33" s="414" t="str">
        <f t="shared" si="4"/>
        <v/>
      </c>
      <c r="K33" s="414" t="str">
        <f t="shared" si="4"/>
        <v/>
      </c>
      <c r="L33" s="414" t="str">
        <f t="shared" si="4"/>
        <v/>
      </c>
      <c r="M33" s="414" t="str">
        <f t="shared" si="4"/>
        <v/>
      </c>
      <c r="N33" s="414" t="str">
        <f t="shared" si="4"/>
        <v/>
      </c>
      <c r="O33" s="634">
        <f t="shared" si="2"/>
        <v>2.449805454238663E-2</v>
      </c>
      <c r="P33" s="366"/>
      <c r="Q33" s="366"/>
      <c r="R33" s="413"/>
    </row>
    <row r="34" spans="2:18" s="346" customFormat="1" ht="14.25" customHeight="1" x14ac:dyDescent="0.3">
      <c r="B34" s="366" t="s">
        <v>229</v>
      </c>
      <c r="C34" s="366"/>
      <c r="D34" s="414">
        <f>IFERROR(+(D104/D123)*(1-(D106/D105)),"")</f>
        <v>3.859560991282248E-2</v>
      </c>
      <c r="E34" s="414">
        <f t="shared" ref="E34:N34" si="5">IFERROR(+(E104/E123)*(1-(E106/E105)),"")</f>
        <v>-0.18592942495753678</v>
      </c>
      <c r="F34" s="414">
        <f t="shared" si="5"/>
        <v>1.5055717465598049E-3</v>
      </c>
      <c r="G34" s="414">
        <f t="shared" si="5"/>
        <v>2.1636559497369624E-2</v>
      </c>
      <c r="H34" s="414">
        <f t="shared" si="5"/>
        <v>5.6709984080015215E-2</v>
      </c>
      <c r="I34" s="414" t="str">
        <f t="shared" si="5"/>
        <v/>
      </c>
      <c r="J34" s="414" t="str">
        <f t="shared" si="5"/>
        <v/>
      </c>
      <c r="K34" s="414" t="str">
        <f t="shared" si="5"/>
        <v/>
      </c>
      <c r="L34" s="414" t="str">
        <f t="shared" si="5"/>
        <v/>
      </c>
      <c r="M34" s="414" t="str">
        <f t="shared" si="5"/>
        <v/>
      </c>
      <c r="N34" s="414" t="str">
        <f t="shared" si="5"/>
        <v/>
      </c>
      <c r="O34" s="634">
        <f t="shared" si="2"/>
        <v>-1.3496339944153935E-2</v>
      </c>
      <c r="P34" s="366"/>
      <c r="Q34" s="366"/>
      <c r="R34" s="413"/>
    </row>
    <row r="35" spans="2:18" s="346" customFormat="1" ht="14.25" customHeight="1" x14ac:dyDescent="0.3">
      <c r="B35" s="366" t="s">
        <v>230</v>
      </c>
      <c r="C35" s="366"/>
      <c r="D35" s="414">
        <f>IFERROR(+D107/D124,"")</f>
        <v>0.26783349139627971</v>
      </c>
      <c r="E35" s="414">
        <f t="shared" ref="E35:N35" si="6">IFERROR(+E107/E124,"")</f>
        <v>8.3595376438274152E-2</v>
      </c>
      <c r="F35" s="414">
        <f t="shared" si="6"/>
        <v>1.7392605399654211E-2</v>
      </c>
      <c r="G35" s="414">
        <f t="shared" si="6"/>
        <v>-0.55691361727654465</v>
      </c>
      <c r="H35" s="414">
        <f t="shared" si="6"/>
        <v>-6.9863607125510332E-2</v>
      </c>
      <c r="I35" s="414" t="str">
        <f t="shared" si="6"/>
        <v/>
      </c>
      <c r="J35" s="414" t="str">
        <f t="shared" si="6"/>
        <v/>
      </c>
      <c r="K35" s="414" t="str">
        <f t="shared" si="6"/>
        <v/>
      </c>
      <c r="L35" s="414" t="str">
        <f t="shared" si="6"/>
        <v/>
      </c>
      <c r="M35" s="414" t="str">
        <f t="shared" si="6"/>
        <v/>
      </c>
      <c r="N35" s="414" t="str">
        <f t="shared" si="6"/>
        <v/>
      </c>
      <c r="O35" s="634">
        <f t="shared" si="2"/>
        <v>-5.1591150233569381E-2</v>
      </c>
      <c r="P35" s="366"/>
      <c r="Q35" s="366"/>
      <c r="R35" s="413"/>
    </row>
    <row r="36" spans="2:18" s="346" customFormat="1" ht="14.25" customHeight="1" x14ac:dyDescent="0.3">
      <c r="B36" s="366" t="s">
        <v>231</v>
      </c>
      <c r="C36" s="366"/>
      <c r="D36" s="414">
        <f>IFERROR(+D107/(D123+D124),"")</f>
        <v>0.20751872921233003</v>
      </c>
      <c r="E36" s="414">
        <f t="shared" ref="E36:N36" si="7">IFERROR(+E107/(E123+E124),"")</f>
        <v>7.9761853643330383E-2</v>
      </c>
      <c r="F36" s="414">
        <f t="shared" si="7"/>
        <v>1.3257201364495739E-2</v>
      </c>
      <c r="G36" s="414">
        <f t="shared" si="7"/>
        <v>-0.1211964621794802</v>
      </c>
      <c r="H36" s="414">
        <f t="shared" si="7"/>
        <v>-4.0987015387458997E-2</v>
      </c>
      <c r="I36" s="414" t="str">
        <f t="shared" si="7"/>
        <v/>
      </c>
      <c r="J36" s="414" t="str">
        <f t="shared" si="7"/>
        <v/>
      </c>
      <c r="K36" s="414" t="str">
        <f t="shared" si="7"/>
        <v/>
      </c>
      <c r="L36" s="414" t="str">
        <f t="shared" si="7"/>
        <v/>
      </c>
      <c r="M36" s="414" t="str">
        <f t="shared" si="7"/>
        <v/>
      </c>
      <c r="N36" s="414" t="str">
        <f t="shared" si="7"/>
        <v/>
      </c>
      <c r="O36" s="634">
        <f t="shared" si="2"/>
        <v>2.7670861330643386E-2</v>
      </c>
      <c r="P36" s="366"/>
      <c r="Q36" s="366"/>
      <c r="R36" s="413"/>
    </row>
    <row r="37" spans="2:18" s="346" customFormat="1" ht="3.75" customHeight="1" x14ac:dyDescent="0.3">
      <c r="B37" s="366"/>
      <c r="C37" s="366"/>
      <c r="D37" s="366"/>
      <c r="E37" s="366"/>
      <c r="F37" s="366"/>
      <c r="G37" s="366"/>
      <c r="H37" s="366"/>
      <c r="I37" s="366"/>
      <c r="J37" s="366"/>
      <c r="K37" s="366"/>
      <c r="L37" s="366"/>
      <c r="M37" s="366"/>
      <c r="N37" s="366"/>
      <c r="O37" s="410"/>
      <c r="P37" s="366"/>
      <c r="Q37" s="366"/>
      <c r="R37" s="413"/>
    </row>
    <row r="38" spans="2:18" s="349" customFormat="1" ht="14.25" customHeight="1" x14ac:dyDescent="0.3">
      <c r="B38" s="569" t="s">
        <v>232</v>
      </c>
      <c r="C38" s="570"/>
      <c r="D38" s="351" t="str">
        <f ca="1">+D29</f>
        <v>SK</v>
      </c>
      <c r="E38" s="351" t="str">
        <f t="shared" ref="E38:O38" ca="1" si="8">+E29</f>
        <v>Samsung</v>
      </c>
      <c r="F38" s="351" t="str">
        <f t="shared" ca="1" si="8"/>
        <v>MICRON</v>
      </c>
      <c r="G38" s="351" t="str">
        <f t="shared" ca="1" si="8"/>
        <v>Kioxia</v>
      </c>
      <c r="H38" s="351" t="str">
        <f t="shared" ca="1" si="8"/>
        <v>WESTERN</v>
      </c>
      <c r="I38" s="351" t="str">
        <f t="shared" si="8"/>
        <v/>
      </c>
      <c r="J38" s="351" t="str">
        <f t="shared" si="8"/>
        <v/>
      </c>
      <c r="K38" s="351" t="str">
        <f t="shared" si="8"/>
        <v/>
      </c>
      <c r="L38" s="351" t="str">
        <f t="shared" si="8"/>
        <v/>
      </c>
      <c r="M38" s="351" t="str">
        <f t="shared" si="8"/>
        <v/>
      </c>
      <c r="N38" s="351" t="str">
        <f t="shared" si="8"/>
        <v/>
      </c>
      <c r="O38" s="351" t="str">
        <f t="shared" si="8"/>
        <v>Average</v>
      </c>
      <c r="P38" s="375"/>
      <c r="Q38" s="375"/>
      <c r="R38" s="571"/>
    </row>
    <row r="39" spans="2:18" s="346" customFormat="1" ht="3.75" customHeight="1" x14ac:dyDescent="0.3">
      <c r="B39" s="401"/>
      <c r="C39" s="401"/>
      <c r="D39" s="401"/>
      <c r="E39" s="401"/>
      <c r="F39" s="401"/>
      <c r="G39" s="401"/>
      <c r="H39" s="401"/>
      <c r="I39" s="401"/>
      <c r="J39" s="401"/>
      <c r="K39" s="401"/>
      <c r="L39" s="401"/>
      <c r="M39" s="401"/>
      <c r="N39" s="401"/>
      <c r="O39" s="412"/>
      <c r="P39" s="366"/>
      <c r="Q39" s="366"/>
      <c r="R39" s="413"/>
    </row>
    <row r="40" spans="2:18" s="346" customFormat="1" ht="14.25" customHeight="1" x14ac:dyDescent="0.3">
      <c r="B40" s="366" t="s">
        <v>233</v>
      </c>
      <c r="C40" s="366"/>
      <c r="D40" s="415">
        <f>IFERROR(D123/D119,"")</f>
        <v>0.17924462184369139</v>
      </c>
      <c r="E40" s="415">
        <f t="shared" ref="E40:N40" si="9">IFERROR(E123/E119,"")</f>
        <v>3.7568516160028174E-2</v>
      </c>
      <c r="F40" s="415">
        <f t="shared" si="9"/>
        <v>0.20280653741851734</v>
      </c>
      <c r="G40" s="415">
        <f t="shared" si="9"/>
        <v>0.5643913234555501</v>
      </c>
      <c r="H40" s="415">
        <f t="shared" si="9"/>
        <v>0.32177009826551473</v>
      </c>
      <c r="I40" s="415" t="str">
        <f t="shared" si="9"/>
        <v/>
      </c>
      <c r="J40" s="415" t="str">
        <f t="shared" si="9"/>
        <v/>
      </c>
      <c r="K40" s="415" t="str">
        <f t="shared" si="9"/>
        <v/>
      </c>
      <c r="L40" s="415" t="str">
        <f t="shared" si="9"/>
        <v/>
      </c>
      <c r="M40" s="415" t="str">
        <f t="shared" si="9"/>
        <v/>
      </c>
      <c r="N40" s="415" t="str">
        <f t="shared" si="9"/>
        <v/>
      </c>
      <c r="O40" s="633">
        <f t="shared" ref="O40:O42" si="10">IFERROR(+AVERAGE(D40:N40),"")</f>
        <v>0.26115621942866035</v>
      </c>
      <c r="P40" s="366"/>
      <c r="Q40" s="366"/>
      <c r="R40" s="413"/>
    </row>
    <row r="41" spans="2:18" s="346" customFormat="1" ht="14.25" customHeight="1" x14ac:dyDescent="0.3">
      <c r="B41" s="366" t="s">
        <v>234</v>
      </c>
      <c r="C41" s="366"/>
      <c r="D41" s="415">
        <f>IFERROR(+(D123-D113)/D102,"")</f>
        <v>0.42778124609813972</v>
      </c>
      <c r="E41" s="415">
        <f t="shared" ref="E41:N41" si="11">IFERROR(+(E123-E113)/E102,"")</f>
        <v>-0.45616852095630378</v>
      </c>
      <c r="F41" s="415">
        <f t="shared" si="11"/>
        <v>0.65887192901132374</v>
      </c>
      <c r="G41" s="415">
        <f t="shared" si="11"/>
        <v>17.328129242465383</v>
      </c>
      <c r="H41" s="415">
        <f t="shared" si="11"/>
        <v>6.4255050505050502</v>
      </c>
      <c r="I41" s="415" t="str">
        <f t="shared" si="11"/>
        <v/>
      </c>
      <c r="J41" s="415" t="str">
        <f t="shared" si="11"/>
        <v/>
      </c>
      <c r="K41" s="415" t="str">
        <f t="shared" si="11"/>
        <v/>
      </c>
      <c r="L41" s="415" t="str">
        <f t="shared" si="11"/>
        <v/>
      </c>
      <c r="M41" s="415" t="str">
        <f t="shared" si="11"/>
        <v/>
      </c>
      <c r="N41" s="415" t="str">
        <f t="shared" si="11"/>
        <v/>
      </c>
      <c r="O41" s="633">
        <f t="shared" si="10"/>
        <v>4.8768237894247193</v>
      </c>
      <c r="P41" s="366"/>
      <c r="Q41" s="366"/>
      <c r="R41" s="413"/>
    </row>
    <row r="42" spans="2:18" s="346" customFormat="1" ht="14.25" customHeight="1" x14ac:dyDescent="0.3">
      <c r="B42" s="366" t="s">
        <v>235</v>
      </c>
      <c r="C42" s="366"/>
      <c r="D42" s="415">
        <f t="shared" ref="D42:N42" si="12">IFERROR(D103/D104,"")</f>
        <v>23.458016793282681</v>
      </c>
      <c r="E42" s="415">
        <f t="shared" si="12"/>
        <v>-8.3587045361667354</v>
      </c>
      <c r="F42" s="415">
        <f t="shared" si="12"/>
        <v>32.225225225225223</v>
      </c>
      <c r="G42" s="415">
        <f t="shared" si="12"/>
        <v>-5.5360401459854014</v>
      </c>
      <c r="H42" s="415">
        <f t="shared" si="12"/>
        <v>0.8412705023700443</v>
      </c>
      <c r="I42" s="415" t="str">
        <f t="shared" si="12"/>
        <v/>
      </c>
      <c r="J42" s="415" t="str">
        <f t="shared" si="12"/>
        <v/>
      </c>
      <c r="K42" s="415" t="str">
        <f t="shared" si="12"/>
        <v/>
      </c>
      <c r="L42" s="415" t="str">
        <f t="shared" si="12"/>
        <v/>
      </c>
      <c r="M42" s="415" t="str">
        <f t="shared" si="12"/>
        <v/>
      </c>
      <c r="N42" s="415" t="str">
        <f t="shared" si="12"/>
        <v/>
      </c>
      <c r="O42" s="633">
        <f t="shared" si="10"/>
        <v>8.5259535677451623</v>
      </c>
      <c r="P42" s="366"/>
      <c r="Q42" s="366"/>
      <c r="R42" s="413"/>
    </row>
    <row r="43" spans="2:18" s="346" customFormat="1" ht="3.75" customHeight="1" x14ac:dyDescent="0.3">
      <c r="B43" s="366"/>
      <c r="C43" s="366"/>
      <c r="D43" s="366"/>
      <c r="E43" s="366"/>
      <c r="F43" s="366"/>
      <c r="G43" s="366"/>
      <c r="H43" s="366"/>
      <c r="I43" s="366"/>
      <c r="J43" s="366"/>
      <c r="K43" s="366"/>
      <c r="L43" s="366"/>
      <c r="M43" s="366"/>
      <c r="N43" s="366"/>
      <c r="O43" s="410"/>
      <c r="P43" s="366"/>
      <c r="Q43" s="366"/>
      <c r="R43" s="413"/>
    </row>
    <row r="44" spans="2:18" s="349" customFormat="1" ht="14.25" customHeight="1" x14ac:dyDescent="0.3">
      <c r="B44" s="569" t="s">
        <v>236</v>
      </c>
      <c r="C44" s="570"/>
      <c r="D44" s="351" t="str">
        <f ca="1">+D29</f>
        <v>SK</v>
      </c>
      <c r="E44" s="351" t="str">
        <f t="shared" ref="E44:O44" ca="1" si="13">+E29</f>
        <v>Samsung</v>
      </c>
      <c r="F44" s="351" t="str">
        <f t="shared" ca="1" si="13"/>
        <v>MICRON</v>
      </c>
      <c r="G44" s="351" t="str">
        <f t="shared" ca="1" si="13"/>
        <v>Kioxia</v>
      </c>
      <c r="H44" s="351" t="str">
        <f t="shared" ca="1" si="13"/>
        <v>WESTERN</v>
      </c>
      <c r="I44" s="351" t="str">
        <f t="shared" si="13"/>
        <v/>
      </c>
      <c r="J44" s="351" t="str">
        <f t="shared" si="13"/>
        <v/>
      </c>
      <c r="K44" s="351" t="str">
        <f t="shared" si="13"/>
        <v/>
      </c>
      <c r="L44" s="351" t="str">
        <f t="shared" si="13"/>
        <v/>
      </c>
      <c r="M44" s="351" t="str">
        <f t="shared" si="13"/>
        <v/>
      </c>
      <c r="N44" s="351" t="str">
        <f t="shared" si="13"/>
        <v/>
      </c>
      <c r="O44" s="351" t="str">
        <f t="shared" si="13"/>
        <v>Average</v>
      </c>
      <c r="P44" s="375"/>
      <c r="Q44" s="375"/>
      <c r="R44" s="571"/>
    </row>
    <row r="45" spans="2:18" s="346" customFormat="1" ht="3.75" customHeight="1" x14ac:dyDescent="0.3">
      <c r="B45" s="401"/>
      <c r="C45" s="401"/>
      <c r="D45" s="401"/>
      <c r="E45" s="401"/>
      <c r="F45" s="401"/>
      <c r="G45" s="401"/>
      <c r="H45" s="401"/>
      <c r="I45" s="401"/>
      <c r="J45" s="401"/>
      <c r="K45" s="401"/>
      <c r="L45" s="401"/>
      <c r="M45" s="401"/>
      <c r="N45" s="401"/>
      <c r="O45" s="412"/>
      <c r="P45" s="366"/>
      <c r="Q45" s="366"/>
      <c r="R45" s="413"/>
    </row>
    <row r="46" spans="2:18" s="346" customFormat="1" ht="14.25" customHeight="1" x14ac:dyDescent="0.3">
      <c r="B46" s="366" t="s">
        <v>49</v>
      </c>
      <c r="C46" s="366"/>
      <c r="D46" s="415">
        <f>IFERROR(D113/D121,"")</f>
        <v>0.44882517404087258</v>
      </c>
      <c r="E46" s="415">
        <f t="shared" ref="E46:N46" si="14">IFERROR(E113/E121,"")</f>
        <v>0.57546050791684655</v>
      </c>
      <c r="F46" s="415">
        <f t="shared" si="14"/>
        <v>0.87651306182054189</v>
      </c>
      <c r="G46" s="415">
        <f t="shared" si="14"/>
        <v>9.7560828679690834E-2</v>
      </c>
      <c r="H46" s="415">
        <f t="shared" si="14"/>
        <v>0.30869109448706344</v>
      </c>
      <c r="I46" s="415" t="str">
        <f t="shared" si="14"/>
        <v/>
      </c>
      <c r="J46" s="415" t="str">
        <f t="shared" si="14"/>
        <v/>
      </c>
      <c r="K46" s="415" t="str">
        <f t="shared" si="14"/>
        <v/>
      </c>
      <c r="L46" s="415" t="str">
        <f t="shared" si="14"/>
        <v/>
      </c>
      <c r="M46" s="415" t="str">
        <f t="shared" si="14"/>
        <v/>
      </c>
      <c r="N46" s="415" t="str">
        <f t="shared" si="14"/>
        <v/>
      </c>
      <c r="O46" s="633">
        <f t="shared" ref="O46:O48" si="15">IFERROR(+AVERAGE(D46:N46),"")</f>
        <v>0.461410133389003</v>
      </c>
      <c r="P46" s="366"/>
      <c r="Q46" s="366"/>
      <c r="R46" s="413"/>
    </row>
    <row r="47" spans="2:18" s="346" customFormat="1" ht="14.25" customHeight="1" x14ac:dyDescent="0.3">
      <c r="B47" s="366" t="s">
        <v>52</v>
      </c>
      <c r="C47" s="366"/>
      <c r="D47" s="415">
        <f>IFERROR(+(D113+D114)/D121,"")</f>
        <v>0.97030690475618242</v>
      </c>
      <c r="E47" s="415">
        <f t="shared" ref="E47:N47" si="16">IFERROR(+(E113+E114)/E121,"")</f>
        <v>1.0428860889159861</v>
      </c>
      <c r="F47" s="415">
        <f t="shared" si="16"/>
        <v>1.4624776894369624</v>
      </c>
      <c r="G47" s="415">
        <f t="shared" si="16"/>
        <v>0.16598292760799763</v>
      </c>
      <c r="H47" s="415">
        <f t="shared" si="16"/>
        <v>0.66453042359555925</v>
      </c>
      <c r="I47" s="415" t="str">
        <f t="shared" si="16"/>
        <v/>
      </c>
      <c r="J47" s="415" t="str">
        <f t="shared" si="16"/>
        <v/>
      </c>
      <c r="K47" s="415" t="str">
        <f t="shared" si="16"/>
        <v/>
      </c>
      <c r="L47" s="415" t="str">
        <f t="shared" si="16"/>
        <v/>
      </c>
      <c r="M47" s="415" t="str">
        <f t="shared" si="16"/>
        <v/>
      </c>
      <c r="N47" s="415" t="str">
        <f t="shared" si="16"/>
        <v/>
      </c>
      <c r="O47" s="633">
        <f t="shared" si="15"/>
        <v>0.86123680686253756</v>
      </c>
      <c r="P47" s="366"/>
      <c r="Q47" s="366"/>
      <c r="R47" s="413"/>
    </row>
    <row r="48" spans="2:18" s="346" customFormat="1" ht="14.25" customHeight="1" x14ac:dyDescent="0.3">
      <c r="B48" s="366" t="s">
        <v>54</v>
      </c>
      <c r="C48" s="366"/>
      <c r="D48" s="415">
        <f>IFERROR(D117/D121,"")</f>
        <v>1.69349980372836</v>
      </c>
      <c r="E48" s="415">
        <f t="shared" ref="E48:N48" si="17">IFERROR(E117/E121,"")</f>
        <v>2.4329937005967235</v>
      </c>
      <c r="F48" s="415">
        <f t="shared" si="17"/>
        <v>2.6353804965114391</v>
      </c>
      <c r="G48" s="415">
        <f t="shared" si="17"/>
        <v>0.3490502954837077</v>
      </c>
      <c r="H48" s="415">
        <f t="shared" si="17"/>
        <v>1.3241411349883261</v>
      </c>
      <c r="I48" s="415" t="str">
        <f t="shared" si="17"/>
        <v/>
      </c>
      <c r="J48" s="415" t="str">
        <f t="shared" si="17"/>
        <v/>
      </c>
      <c r="K48" s="415" t="str">
        <f t="shared" si="17"/>
        <v/>
      </c>
      <c r="L48" s="415" t="str">
        <f t="shared" si="17"/>
        <v/>
      </c>
      <c r="M48" s="415" t="str">
        <f t="shared" si="17"/>
        <v/>
      </c>
      <c r="N48" s="415" t="str">
        <f t="shared" si="17"/>
        <v/>
      </c>
      <c r="O48" s="633">
        <f t="shared" si="15"/>
        <v>1.6870130862617114</v>
      </c>
      <c r="P48" s="366"/>
      <c r="Q48" s="366"/>
      <c r="R48" s="413"/>
    </row>
    <row r="49" spans="2:18" s="346" customFormat="1" ht="3.75" customHeight="1" x14ac:dyDescent="0.3">
      <c r="B49" s="366"/>
      <c r="C49" s="366"/>
      <c r="D49" s="415"/>
      <c r="E49" s="366"/>
      <c r="F49" s="366"/>
      <c r="G49" s="366"/>
      <c r="H49" s="366"/>
      <c r="I49" s="366"/>
      <c r="J49" s="366"/>
      <c r="K49" s="366"/>
      <c r="L49" s="366"/>
      <c r="M49" s="366"/>
      <c r="N49" s="366"/>
      <c r="O49" s="410"/>
      <c r="P49" s="366"/>
      <c r="Q49" s="366"/>
      <c r="R49" s="413"/>
    </row>
    <row r="50" spans="2:18" s="349" customFormat="1" ht="14.25" customHeight="1" x14ac:dyDescent="0.3">
      <c r="B50" s="569" t="s">
        <v>237</v>
      </c>
      <c r="C50" s="570"/>
      <c r="D50" s="351" t="str">
        <f ca="1">+D29</f>
        <v>SK</v>
      </c>
      <c r="E50" s="351" t="str">
        <f t="shared" ref="E50:O50" ca="1" si="18">+E29</f>
        <v>Samsung</v>
      </c>
      <c r="F50" s="351" t="str">
        <f t="shared" ca="1" si="18"/>
        <v>MICRON</v>
      </c>
      <c r="G50" s="351" t="str">
        <f t="shared" ca="1" si="18"/>
        <v>Kioxia</v>
      </c>
      <c r="H50" s="351" t="str">
        <f t="shared" ca="1" si="18"/>
        <v>WESTERN</v>
      </c>
      <c r="I50" s="351" t="str">
        <f t="shared" si="18"/>
        <v/>
      </c>
      <c r="J50" s="351" t="str">
        <f t="shared" si="18"/>
        <v/>
      </c>
      <c r="K50" s="351" t="str">
        <f t="shared" si="18"/>
        <v/>
      </c>
      <c r="L50" s="351" t="str">
        <f t="shared" si="18"/>
        <v/>
      </c>
      <c r="M50" s="351" t="str">
        <f t="shared" si="18"/>
        <v/>
      </c>
      <c r="N50" s="351" t="str">
        <f t="shared" si="18"/>
        <v/>
      </c>
      <c r="O50" s="351" t="str">
        <f t="shared" si="18"/>
        <v>Average</v>
      </c>
      <c r="P50" s="375"/>
      <c r="Q50" s="375"/>
      <c r="R50" s="571"/>
    </row>
    <row r="51" spans="2:18" s="346" customFormat="1" ht="3.75" customHeight="1" x14ac:dyDescent="0.3">
      <c r="B51" s="401"/>
      <c r="C51" s="401"/>
      <c r="D51" s="401"/>
      <c r="E51" s="401"/>
      <c r="F51" s="401"/>
      <c r="G51" s="401"/>
      <c r="H51" s="401"/>
      <c r="I51" s="401"/>
      <c r="J51" s="401"/>
      <c r="K51" s="401"/>
      <c r="L51" s="401"/>
      <c r="M51" s="401"/>
      <c r="N51" s="401"/>
      <c r="O51" s="412"/>
      <c r="P51" s="366"/>
      <c r="Q51" s="366"/>
      <c r="R51" s="413"/>
    </row>
    <row r="52" spans="2:18" s="346" customFormat="1" ht="14.25" customHeight="1" x14ac:dyDescent="0.3">
      <c r="B52" s="366" t="s">
        <v>238</v>
      </c>
      <c r="C52" s="366"/>
      <c r="D52" s="685">
        <f>IFERROR(D100/(AVERAGE(D115:D116)),"")</f>
        <v>2.5650541527024107</v>
      </c>
      <c r="E52" s="685">
        <f t="shared" ref="E52:N52" si="19">IFERROR(E100/(AVERAGE(E115:E116)),"")</f>
        <v>3.6092253106959897</v>
      </c>
      <c r="F52" s="685">
        <f t="shared" si="19"/>
        <v>2.2871373417114769</v>
      </c>
      <c r="G52" s="685">
        <f t="shared" si="19"/>
        <v>3.6791483113069021</v>
      </c>
      <c r="H52" s="685">
        <f t="shared" si="19"/>
        <v>2.8295563593415514</v>
      </c>
      <c r="I52" s="685" t="str">
        <f t="shared" si="19"/>
        <v/>
      </c>
      <c r="J52" s="685" t="str">
        <f t="shared" si="19"/>
        <v/>
      </c>
      <c r="K52" s="685" t="str">
        <f t="shared" si="19"/>
        <v/>
      </c>
      <c r="L52" s="685" t="str">
        <f t="shared" si="19"/>
        <v/>
      </c>
      <c r="M52" s="685" t="str">
        <f t="shared" si="19"/>
        <v/>
      </c>
      <c r="N52" s="685" t="str">
        <f t="shared" si="19"/>
        <v/>
      </c>
      <c r="O52" s="633">
        <f t="shared" ref="O52:O57" si="20">IFERROR(+AVERAGE(D52:N52),"")</f>
        <v>2.9940242951516658</v>
      </c>
      <c r="P52" s="366"/>
      <c r="Q52" s="366"/>
      <c r="R52" s="413"/>
    </row>
    <row r="53" spans="2:18" s="346" customFormat="1" ht="14.25" customHeight="1" x14ac:dyDescent="0.3">
      <c r="B53" s="366" t="s">
        <v>239</v>
      </c>
      <c r="C53" s="366"/>
      <c r="D53" s="685">
        <f>IFERROR(D99/D114,"")</f>
        <v>5.0843382748290962</v>
      </c>
      <c r="E53" s="685">
        <f t="shared" ref="E53:N53" si="21">IFERROR(E99/E114,"")</f>
        <v>6.8970545422035583</v>
      </c>
      <c r="F53" s="685">
        <f t="shared" si="21"/>
        <v>4.675172375598815</v>
      </c>
      <c r="G53" s="685">
        <f t="shared" si="21"/>
        <v>8.6650818806127834</v>
      </c>
      <c r="H53" s="685">
        <f t="shared" si="21"/>
        <v>5.8063069094804494</v>
      </c>
      <c r="I53" s="685" t="str">
        <f t="shared" si="21"/>
        <v/>
      </c>
      <c r="J53" s="685" t="str">
        <f t="shared" si="21"/>
        <v/>
      </c>
      <c r="K53" s="685" t="str">
        <f t="shared" si="21"/>
        <v/>
      </c>
      <c r="L53" s="685" t="str">
        <f t="shared" si="21"/>
        <v/>
      </c>
      <c r="M53" s="685" t="str">
        <f t="shared" si="21"/>
        <v/>
      </c>
      <c r="N53" s="685" t="str">
        <f t="shared" si="21"/>
        <v/>
      </c>
      <c r="O53" s="633">
        <f t="shared" si="20"/>
        <v>6.2255907965449397</v>
      </c>
      <c r="P53" s="366"/>
      <c r="Q53" s="366"/>
      <c r="R53" s="413"/>
    </row>
    <row r="54" spans="2:18" s="346" customFormat="1" ht="14.25" customHeight="1" x14ac:dyDescent="0.3">
      <c r="B54" s="366" t="s">
        <v>240</v>
      </c>
      <c r="C54" s="366"/>
      <c r="D54" s="685">
        <f>IFERROR(D100/D120,"")</f>
        <v>15.090150616958679</v>
      </c>
      <c r="E54" s="685">
        <f t="shared" ref="E54:N54" si="22">IFERROR(E100/E120,"")</f>
        <v>15.081591243472214</v>
      </c>
      <c r="F54" s="685">
        <f t="shared" si="22"/>
        <v>7.2229928714942337</v>
      </c>
      <c r="G54" s="685">
        <f t="shared" si="22"/>
        <v>10.976998904709749</v>
      </c>
      <c r="H54" s="685">
        <f t="shared" si="22"/>
        <v>6.8942446043165475</v>
      </c>
      <c r="I54" s="685" t="str">
        <f t="shared" si="22"/>
        <v/>
      </c>
      <c r="J54" s="685" t="str">
        <f t="shared" si="22"/>
        <v/>
      </c>
      <c r="K54" s="685" t="str">
        <f t="shared" si="22"/>
        <v/>
      </c>
      <c r="L54" s="685" t="str">
        <f t="shared" si="22"/>
        <v/>
      </c>
      <c r="M54" s="685" t="str">
        <f t="shared" si="22"/>
        <v/>
      </c>
      <c r="N54" s="685" t="str">
        <f t="shared" si="22"/>
        <v/>
      </c>
      <c r="O54" s="633">
        <f t="shared" si="20"/>
        <v>11.053195648190284</v>
      </c>
      <c r="P54" s="366"/>
      <c r="Q54" s="366"/>
      <c r="R54" s="413"/>
    </row>
    <row r="55" spans="2:18" s="346" customFormat="1" ht="14.25" customHeight="1" x14ac:dyDescent="0.3">
      <c r="B55" s="366" t="s">
        <v>241</v>
      </c>
      <c r="C55" s="366"/>
      <c r="D55" s="415">
        <f>IFERROR(D99/D118,"")</f>
        <v>1.0566484101506441</v>
      </c>
      <c r="E55" s="415">
        <f t="shared" ref="E55:N55" si="23">IFERROR(E99/E118,"")</f>
        <v>1.4609269844599437</v>
      </c>
      <c r="F55" s="415">
        <f t="shared" si="23"/>
        <v>0.62719105172340139</v>
      </c>
      <c r="G55" s="415">
        <f t="shared" si="23"/>
        <v>0.83282278673819954</v>
      </c>
      <c r="H55" s="415">
        <f t="shared" si="23"/>
        <v>3.600481597575405</v>
      </c>
      <c r="I55" s="415" t="str">
        <f t="shared" si="23"/>
        <v/>
      </c>
      <c r="J55" s="415" t="str">
        <f t="shared" si="23"/>
        <v/>
      </c>
      <c r="K55" s="415" t="str">
        <f t="shared" si="23"/>
        <v/>
      </c>
      <c r="L55" s="415" t="str">
        <f t="shared" si="23"/>
        <v/>
      </c>
      <c r="M55" s="415" t="str">
        <f t="shared" si="23"/>
        <v/>
      </c>
      <c r="N55" s="415" t="str">
        <f t="shared" si="23"/>
        <v/>
      </c>
      <c r="O55" s="633">
        <f t="shared" si="20"/>
        <v>1.5156141661295188</v>
      </c>
      <c r="P55" s="366"/>
      <c r="Q55" s="366"/>
      <c r="R55" s="413"/>
    </row>
    <row r="56" spans="2:18" s="346" customFormat="1" ht="14.25" customHeight="1" x14ac:dyDescent="0.3">
      <c r="B56" s="366" t="s">
        <v>242</v>
      </c>
      <c r="C56" s="366"/>
      <c r="D56" s="415">
        <f>IFERROR(D99/D119,"")</f>
        <v>0.55227474485879624</v>
      </c>
      <c r="E56" s="415">
        <f t="shared" ref="E56:N56" si="24">IFERROR(E99/E119,"")</f>
        <v>0.58474683493870838</v>
      </c>
      <c r="F56" s="415">
        <f t="shared" si="24"/>
        <v>0.36496983885594098</v>
      </c>
      <c r="G56" s="415">
        <f t="shared" si="24"/>
        <v>0.38618313661476644</v>
      </c>
      <c r="H56" s="415">
        <f t="shared" si="24"/>
        <v>0.51994388253703694</v>
      </c>
      <c r="I56" s="415" t="str">
        <f t="shared" si="24"/>
        <v/>
      </c>
      <c r="J56" s="415" t="str">
        <f t="shared" si="24"/>
        <v/>
      </c>
      <c r="K56" s="415" t="str">
        <f t="shared" si="24"/>
        <v/>
      </c>
      <c r="L56" s="415" t="str">
        <f t="shared" si="24"/>
        <v/>
      </c>
      <c r="M56" s="415" t="str">
        <f t="shared" si="24"/>
        <v/>
      </c>
      <c r="N56" s="415" t="str">
        <f t="shared" si="24"/>
        <v/>
      </c>
      <c r="O56" s="633">
        <f t="shared" si="20"/>
        <v>0.48162368756104978</v>
      </c>
      <c r="P56" s="366"/>
      <c r="Q56" s="366"/>
      <c r="R56" s="413"/>
    </row>
    <row r="57" spans="2:18" s="346" customFormat="1" ht="14.25" customHeight="1" x14ac:dyDescent="0.3">
      <c r="B57" s="366" t="s">
        <v>243</v>
      </c>
      <c r="C57" s="366"/>
      <c r="D57" s="686">
        <f>IFERROR(365/D52+365/D53-365/D54,"")</f>
        <v>189.89831450659744</v>
      </c>
      <c r="E57" s="686">
        <f t="shared" ref="E57:N57" si="25">IFERROR(365/E52+365/E53-365/E54,"")</f>
        <v>129.84918654061116</v>
      </c>
      <c r="F57" s="686">
        <f t="shared" si="25"/>
        <v>187.12706076092456</v>
      </c>
      <c r="G57" s="686">
        <f t="shared" si="25"/>
        <v>108.07948316909528</v>
      </c>
      <c r="H57" s="686">
        <f t="shared" si="25"/>
        <v>138.91545346974149</v>
      </c>
      <c r="I57" s="686" t="str">
        <f t="shared" si="25"/>
        <v/>
      </c>
      <c r="J57" s="686" t="str">
        <f t="shared" si="25"/>
        <v/>
      </c>
      <c r="K57" s="686" t="str">
        <f t="shared" si="25"/>
        <v/>
      </c>
      <c r="L57" s="686" t="str">
        <f t="shared" si="25"/>
        <v/>
      </c>
      <c r="M57" s="686" t="str">
        <f t="shared" si="25"/>
        <v/>
      </c>
      <c r="N57" s="686" t="str">
        <f t="shared" si="25"/>
        <v/>
      </c>
      <c r="O57" s="633">
        <f t="shared" si="20"/>
        <v>150.773899689394</v>
      </c>
      <c r="P57" s="366"/>
      <c r="Q57" s="366"/>
      <c r="R57" s="413"/>
    </row>
    <row r="58" spans="2:18" s="346" customFormat="1" ht="4.1500000000000004" customHeight="1" x14ac:dyDescent="0.3">
      <c r="B58" s="366"/>
      <c r="C58" s="366"/>
      <c r="D58" s="633"/>
      <c r="E58" s="633"/>
      <c r="F58" s="633"/>
      <c r="G58" s="633"/>
      <c r="H58" s="633"/>
      <c r="I58" s="633"/>
      <c r="J58" s="633"/>
      <c r="K58" s="633"/>
      <c r="L58" s="633"/>
      <c r="M58" s="633"/>
      <c r="N58" s="633"/>
      <c r="O58" s="633"/>
      <c r="P58" s="366"/>
      <c r="Q58" s="366"/>
      <c r="R58" s="413"/>
    </row>
    <row r="59" spans="2:18" s="346" customFormat="1" ht="14.25" customHeight="1" x14ac:dyDescent="0.3">
      <c r="B59" s="569" t="s">
        <v>244</v>
      </c>
      <c r="C59" s="570"/>
      <c r="D59" s="351" t="str">
        <f ca="1">+D38</f>
        <v>SK</v>
      </c>
      <c r="E59" s="351" t="str">
        <f t="shared" ref="E59:O59" ca="1" si="26">+E38</f>
        <v>Samsung</v>
      </c>
      <c r="F59" s="351" t="str">
        <f t="shared" ca="1" si="26"/>
        <v>MICRON</v>
      </c>
      <c r="G59" s="351" t="str">
        <f t="shared" ca="1" si="26"/>
        <v>Kioxia</v>
      </c>
      <c r="H59" s="351" t="str">
        <f t="shared" ca="1" si="26"/>
        <v>WESTERN</v>
      </c>
      <c r="I59" s="351" t="str">
        <f t="shared" si="26"/>
        <v/>
      </c>
      <c r="J59" s="351" t="str">
        <f t="shared" si="26"/>
        <v/>
      </c>
      <c r="K59" s="351" t="str">
        <f t="shared" si="26"/>
        <v/>
      </c>
      <c r="L59" s="351" t="str">
        <f t="shared" si="26"/>
        <v/>
      </c>
      <c r="M59" s="351" t="str">
        <f t="shared" si="26"/>
        <v/>
      </c>
      <c r="N59" s="351" t="str">
        <f t="shared" si="26"/>
        <v/>
      </c>
      <c r="O59" s="351" t="str">
        <f t="shared" si="26"/>
        <v>Average</v>
      </c>
      <c r="P59" s="366"/>
      <c r="Q59" s="366"/>
      <c r="R59" s="413"/>
    </row>
    <row r="60" spans="2:18" s="346" customFormat="1" ht="4.1500000000000004" customHeight="1" x14ac:dyDescent="0.3">
      <c r="B60" s="401"/>
      <c r="C60" s="401"/>
      <c r="D60" s="401"/>
      <c r="E60" s="401"/>
      <c r="F60" s="401"/>
      <c r="G60" s="401"/>
      <c r="H60" s="401"/>
      <c r="I60" s="401"/>
      <c r="J60" s="401"/>
      <c r="K60" s="401"/>
      <c r="L60" s="401"/>
      <c r="M60" s="401"/>
      <c r="N60" s="401"/>
      <c r="O60" s="412"/>
      <c r="P60" s="366"/>
      <c r="Q60" s="366"/>
      <c r="R60" s="413"/>
    </row>
    <row r="61" spans="2:18" s="346" customFormat="1" ht="14.25" customHeight="1" x14ac:dyDescent="0.3">
      <c r="B61" s="366" t="s">
        <v>245</v>
      </c>
      <c r="C61" s="366"/>
      <c r="D61" s="634">
        <f>IFERROR(D134/D99,"")</f>
        <v>5.4655326091882832E-2</v>
      </c>
      <c r="E61" s="634">
        <f t="shared" ref="E61:N61" si="27">IFERROR(E134/E99,"")</f>
        <v>-5.1102649009924186E-2</v>
      </c>
      <c r="F61" s="634">
        <f t="shared" si="27"/>
        <v>-6.3876162751096491E-2</v>
      </c>
      <c r="G61" s="634">
        <f t="shared" si="27"/>
        <v>-6.8513889735617464E-2</v>
      </c>
      <c r="H61" s="634">
        <f t="shared" si="27"/>
        <v>-1.1074340140447173E-2</v>
      </c>
      <c r="I61" s="634" t="str">
        <f t="shared" si="27"/>
        <v/>
      </c>
      <c r="J61" s="634" t="str">
        <f t="shared" si="27"/>
        <v/>
      </c>
      <c r="K61" s="634" t="str">
        <f t="shared" si="27"/>
        <v/>
      </c>
      <c r="L61" s="634" t="str">
        <f t="shared" si="27"/>
        <v/>
      </c>
      <c r="M61" s="634" t="str">
        <f t="shared" si="27"/>
        <v/>
      </c>
      <c r="N61" s="634" t="str">
        <f t="shared" si="27"/>
        <v/>
      </c>
      <c r="O61" s="634">
        <f>IFERROR(+AVERAGE(D61:N61),"")</f>
        <v>-2.7982343109040499E-2</v>
      </c>
      <c r="P61" s="366"/>
      <c r="Q61" s="366"/>
      <c r="R61" s="413"/>
    </row>
    <row r="62" spans="2:18" s="346" customFormat="1" ht="14.25" customHeight="1" x14ac:dyDescent="0.3">
      <c r="B62" s="366" t="s">
        <v>246</v>
      </c>
      <c r="C62" s="366"/>
      <c r="D62" s="634">
        <f>IFERROR(D134/D98,"")</f>
        <v>-0.39592453160567348</v>
      </c>
      <c r="E62" s="634">
        <f t="shared" ref="E62:N62" si="28">IFERROR(E134/E98,"")</f>
        <v>-1.0623143145356309</v>
      </c>
      <c r="F62" s="634">
        <f t="shared" si="28"/>
        <v>0.27984067673465152</v>
      </c>
      <c r="G62" s="634">
        <f t="shared" si="28"/>
        <v>0.50479113639766426</v>
      </c>
      <c r="H62" s="634">
        <f t="shared" si="28"/>
        <v>8.620024233720773E-2</v>
      </c>
      <c r="I62" s="634" t="str">
        <f t="shared" si="28"/>
        <v/>
      </c>
      <c r="J62" s="634" t="str">
        <f t="shared" si="28"/>
        <v/>
      </c>
      <c r="K62" s="634" t="str">
        <f t="shared" si="28"/>
        <v/>
      </c>
      <c r="L62" s="634" t="str">
        <f t="shared" si="28"/>
        <v/>
      </c>
      <c r="M62" s="634" t="str">
        <f t="shared" si="28"/>
        <v/>
      </c>
      <c r="N62" s="634" t="str">
        <f t="shared" si="28"/>
        <v/>
      </c>
      <c r="O62" s="634">
        <f t="shared" ref="O62:O68" si="29">IFERROR(+AVERAGE(D62:N62),"")</f>
        <v>-0.11748135813435616</v>
      </c>
      <c r="P62" s="366"/>
      <c r="Q62" s="366"/>
      <c r="R62" s="413"/>
    </row>
    <row r="63" spans="2:18" s="346" customFormat="1" ht="14.25" customHeight="1" x14ac:dyDescent="0.3">
      <c r="B63" s="366" t="s">
        <v>247</v>
      </c>
      <c r="C63" s="366"/>
      <c r="D63" s="634">
        <f>+IFERROR(D128/D107,"")</f>
        <v>1.5050638729914991</v>
      </c>
      <c r="E63" s="634">
        <f t="shared" ref="E63:N63" si="30">+IFERROR(E128/E107,"")</f>
        <v>2.170718649431612</v>
      </c>
      <c r="F63" s="634">
        <f t="shared" si="30"/>
        <v>10.934238195373732</v>
      </c>
      <c r="G63" s="634">
        <f t="shared" si="30"/>
        <v>-0.80050267043669499</v>
      </c>
      <c r="H63" s="634">
        <f t="shared" si="30"/>
        <v>0.36843573844419392</v>
      </c>
      <c r="I63" s="634" t="str">
        <f t="shared" si="30"/>
        <v/>
      </c>
      <c r="J63" s="634" t="str">
        <f t="shared" si="30"/>
        <v/>
      </c>
      <c r="K63" s="634" t="str">
        <f t="shared" si="30"/>
        <v/>
      </c>
      <c r="L63" s="634" t="str">
        <f t="shared" si="30"/>
        <v/>
      </c>
      <c r="M63" s="634" t="str">
        <f t="shared" si="30"/>
        <v/>
      </c>
      <c r="N63" s="634" t="str">
        <f t="shared" si="30"/>
        <v/>
      </c>
      <c r="O63" s="634">
        <f t="shared" si="29"/>
        <v>2.8355907571608685</v>
      </c>
      <c r="P63" s="366"/>
      <c r="Q63" s="366"/>
      <c r="R63" s="413"/>
    </row>
    <row r="64" spans="2:18" s="346" customFormat="1" ht="14.25" customHeight="1" x14ac:dyDescent="0.3">
      <c r="B64" s="366" t="s">
        <v>248</v>
      </c>
      <c r="C64" s="366"/>
      <c r="D64" s="634">
        <f t="shared" ref="D64:N64" si="31">IFERROR(-D129/D128,"")</f>
        <v>0.55698267211260599</v>
      </c>
      <c r="E64" s="634">
        <f t="shared" si="31"/>
        <v>0.73261297898403177</v>
      </c>
      <c r="F64" s="634">
        <f t="shared" si="31"/>
        <v>0.98577722607829088</v>
      </c>
      <c r="G64" s="634">
        <f t="shared" si="31"/>
        <v>1.5056066382596995</v>
      </c>
      <c r="H64" s="634">
        <f t="shared" si="31"/>
        <v>-0.99319670647154368</v>
      </c>
      <c r="I64" s="634" t="str">
        <f t="shared" si="31"/>
        <v/>
      </c>
      <c r="J64" s="634" t="str">
        <f t="shared" si="31"/>
        <v/>
      </c>
      <c r="K64" s="634" t="str">
        <f t="shared" si="31"/>
        <v/>
      </c>
      <c r="L64" s="634" t="str">
        <f t="shared" si="31"/>
        <v/>
      </c>
      <c r="M64" s="634" t="str">
        <f t="shared" si="31"/>
        <v/>
      </c>
      <c r="N64" s="634" t="str">
        <f t="shared" si="31"/>
        <v/>
      </c>
      <c r="O64" s="634">
        <f t="shared" si="29"/>
        <v>0.55755656179261692</v>
      </c>
      <c r="P64" s="366"/>
      <c r="Q64" s="366"/>
      <c r="R64" s="413"/>
    </row>
    <row r="65" spans="1:52" s="346" customFormat="1" ht="14.25" customHeight="1" x14ac:dyDescent="0.3">
      <c r="A65" s="366"/>
      <c r="B65" s="366" t="s">
        <v>249</v>
      </c>
      <c r="C65" s="366"/>
      <c r="D65" s="634">
        <f>IFERROR(-D130/D128,"")</f>
        <v>0.60426434509445925</v>
      </c>
      <c r="E65" s="634">
        <f t="shared" ref="E65:N65" si="32">IFERROR(-E130/E128,"")</f>
        <v>1.1698911795414249</v>
      </c>
      <c r="F65" s="634">
        <f t="shared" si="32"/>
        <v>0.97672080703533404</v>
      </c>
      <c r="G65" s="634">
        <f t="shared" si="32"/>
        <v>1.4087239291320923</v>
      </c>
      <c r="H65" s="634">
        <f t="shared" si="32"/>
        <v>-9.1836812753880406E-2</v>
      </c>
      <c r="I65" s="634" t="str">
        <f t="shared" si="32"/>
        <v/>
      </c>
      <c r="J65" s="634" t="str">
        <f t="shared" si="32"/>
        <v/>
      </c>
      <c r="K65" s="634" t="str">
        <f t="shared" si="32"/>
        <v/>
      </c>
      <c r="L65" s="634" t="str">
        <f t="shared" si="32"/>
        <v/>
      </c>
      <c r="M65" s="634" t="str">
        <f t="shared" si="32"/>
        <v/>
      </c>
      <c r="N65" s="634" t="str">
        <f t="shared" si="32"/>
        <v/>
      </c>
      <c r="O65" s="634">
        <f t="shared" si="29"/>
        <v>0.81355268960988614</v>
      </c>
      <c r="P65" s="366"/>
      <c r="Q65" s="366"/>
      <c r="R65" s="413"/>
      <c r="S65" s="366"/>
      <c r="T65" s="366"/>
      <c r="U65" s="366"/>
      <c r="V65" s="366"/>
      <c r="W65" s="366"/>
      <c r="X65" s="366"/>
      <c r="Y65" s="366"/>
      <c r="Z65" s="366"/>
      <c r="AA65" s="366"/>
      <c r="AB65" s="366"/>
      <c r="AC65" s="366"/>
      <c r="AD65" s="366"/>
      <c r="AE65" s="366"/>
      <c r="AF65" s="366"/>
      <c r="AG65" s="366"/>
      <c r="AH65" s="366"/>
      <c r="AI65" s="366"/>
      <c r="AJ65" s="366"/>
      <c r="AK65" s="366"/>
      <c r="AL65" s="366"/>
      <c r="AM65" s="366"/>
      <c r="AN65" s="366"/>
      <c r="AO65" s="366"/>
      <c r="AP65" s="366"/>
      <c r="AQ65" s="366"/>
      <c r="AR65" s="366"/>
      <c r="AS65" s="366"/>
      <c r="AT65" s="366"/>
      <c r="AU65" s="366"/>
      <c r="AV65" s="366"/>
      <c r="AW65" s="366"/>
      <c r="AX65" s="366"/>
      <c r="AY65" s="366"/>
      <c r="AZ65" s="366"/>
    </row>
    <row r="66" spans="1:52" s="346" customFormat="1" ht="14.25" customHeight="1" x14ac:dyDescent="0.3">
      <c r="A66" s="366"/>
      <c r="B66" s="366" t="s">
        <v>250</v>
      </c>
      <c r="C66" s="366"/>
      <c r="D66" s="634">
        <f>IFERROR((D131+D132)/D128,"")</f>
        <v>0.36036837282981887</v>
      </c>
      <c r="E66" s="634">
        <f t="shared" ref="E66:N66" si="33">IFERROR((E131+E132)/E128,"")</f>
        <v>0.24807830907640999</v>
      </c>
      <c r="F66" s="634">
        <f t="shared" si="33"/>
        <v>1.2036907530115217</v>
      </c>
      <c r="G66" s="634">
        <f t="shared" si="33"/>
        <v>3.6763848396501464</v>
      </c>
      <c r="H66" s="634">
        <f t="shared" si="33"/>
        <v>-21.319068856572393</v>
      </c>
      <c r="I66" s="634" t="str">
        <f t="shared" si="33"/>
        <v/>
      </c>
      <c r="J66" s="634" t="str">
        <f t="shared" si="33"/>
        <v/>
      </c>
      <c r="K66" s="634" t="str">
        <f t="shared" si="33"/>
        <v/>
      </c>
      <c r="L66" s="634" t="str">
        <f t="shared" si="33"/>
        <v/>
      </c>
      <c r="M66" s="634" t="str">
        <f t="shared" si="33"/>
        <v/>
      </c>
      <c r="N66" s="634" t="str">
        <f t="shared" si="33"/>
        <v/>
      </c>
      <c r="O66" s="634">
        <f t="shared" si="29"/>
        <v>-3.1661093164008993</v>
      </c>
      <c r="P66" s="366"/>
      <c r="Q66" s="366"/>
      <c r="R66" s="413"/>
      <c r="S66" s="366"/>
      <c r="T66" s="366"/>
      <c r="U66" s="366"/>
      <c r="V66" s="366"/>
      <c r="W66" s="366"/>
      <c r="X66" s="366"/>
      <c r="Y66" s="366"/>
      <c r="Z66" s="366"/>
      <c r="AA66" s="366"/>
      <c r="AB66" s="366"/>
      <c r="AC66" s="366"/>
      <c r="AD66" s="366"/>
      <c r="AE66" s="366"/>
      <c r="AF66" s="366"/>
      <c r="AG66" s="366"/>
      <c r="AH66" s="366"/>
      <c r="AI66" s="366"/>
      <c r="AJ66" s="366"/>
      <c r="AK66" s="366"/>
      <c r="AL66" s="366"/>
      <c r="AM66" s="366"/>
      <c r="AN66" s="366"/>
      <c r="AO66" s="366"/>
      <c r="AP66" s="366"/>
      <c r="AQ66" s="366"/>
      <c r="AR66" s="366"/>
      <c r="AS66" s="366"/>
      <c r="AT66" s="366"/>
      <c r="AU66" s="366"/>
      <c r="AV66" s="366"/>
      <c r="AW66" s="366"/>
      <c r="AX66" s="366"/>
      <c r="AY66" s="366"/>
      <c r="AZ66" s="366"/>
    </row>
    <row r="67" spans="1:52" s="346" customFormat="1" ht="14.25" customHeight="1" x14ac:dyDescent="0.3">
      <c r="A67" s="366"/>
      <c r="B67" s="366" t="s">
        <v>251</v>
      </c>
      <c r="C67" s="366"/>
      <c r="D67" s="634">
        <f>+IFERROR(-D132/D131,"")</f>
        <v>0.42626235639861076</v>
      </c>
      <c r="E67" s="634">
        <f t="shared" ref="E67:N67" si="34">+IFERROR(-E132/E131,"")</f>
        <v>-0.37228656318214892</v>
      </c>
      <c r="F67" s="634">
        <f t="shared" si="34"/>
        <v>8.062362288842892E-2</v>
      </c>
      <c r="G67" s="634">
        <f t="shared" si="34"/>
        <v>-4.5345915803664443E-3</v>
      </c>
      <c r="H67" s="634">
        <f t="shared" si="34"/>
        <v>-6.6532721010332946E-2</v>
      </c>
      <c r="I67" s="634" t="str">
        <f t="shared" si="34"/>
        <v/>
      </c>
      <c r="J67" s="634" t="str">
        <f t="shared" si="34"/>
        <v/>
      </c>
      <c r="K67" s="634" t="str">
        <f t="shared" si="34"/>
        <v/>
      </c>
      <c r="L67" s="634" t="str">
        <f t="shared" si="34"/>
        <v/>
      </c>
      <c r="M67" s="634" t="str">
        <f t="shared" si="34"/>
        <v/>
      </c>
      <c r="N67" s="634" t="str">
        <f t="shared" si="34"/>
        <v/>
      </c>
      <c r="O67" s="634">
        <f>IFERROR(+AVERAGE(D67:N67),"")</f>
        <v>1.2706420702838273E-2</v>
      </c>
      <c r="P67" s="366"/>
      <c r="Q67" s="366"/>
      <c r="R67" s="413"/>
      <c r="S67" s="366"/>
      <c r="T67" s="366"/>
      <c r="U67" s="366"/>
      <c r="V67" s="366"/>
      <c r="W67" s="366"/>
      <c r="X67" s="366"/>
      <c r="Y67" s="366"/>
      <c r="Z67" s="366"/>
      <c r="AA67" s="366"/>
      <c r="AB67" s="366"/>
      <c r="AC67" s="366"/>
      <c r="AD67" s="366"/>
      <c r="AE67" s="366"/>
      <c r="AF67" s="366"/>
      <c r="AG67" s="366"/>
      <c r="AH67" s="366"/>
      <c r="AI67" s="366"/>
      <c r="AJ67" s="366"/>
      <c r="AK67" s="366"/>
      <c r="AL67" s="366"/>
      <c r="AM67" s="366"/>
      <c r="AN67" s="366"/>
      <c r="AO67" s="366"/>
      <c r="AP67" s="366"/>
      <c r="AQ67" s="366"/>
      <c r="AR67" s="366"/>
      <c r="AS67" s="366"/>
      <c r="AT67" s="366"/>
      <c r="AU67" s="366"/>
      <c r="AV67" s="366"/>
      <c r="AW67" s="366"/>
      <c r="AX67" s="366"/>
      <c r="AY67" s="366"/>
      <c r="AZ67" s="366"/>
    </row>
    <row r="68" spans="1:52" s="346" customFormat="1" ht="14.25" customHeight="1" x14ac:dyDescent="0.3">
      <c r="A68" s="366"/>
      <c r="B68" s="366" t="s">
        <v>252</v>
      </c>
      <c r="C68" s="366"/>
      <c r="D68" s="634">
        <f t="shared" ref="D68:N68" si="35">IFERROR(-D133/D128,"")</f>
        <v>0.29211737185317438</v>
      </c>
      <c r="E68" s="634">
        <f t="shared" si="35"/>
        <v>0.10683642402435647</v>
      </c>
      <c r="F68" s="634">
        <f t="shared" si="35"/>
        <v>0.2165235938947847</v>
      </c>
      <c r="G68" s="634">
        <f t="shared" si="35"/>
        <v>-1.6595649248710476E-2</v>
      </c>
      <c r="H68" s="634">
        <f t="shared" si="35"/>
        <v>0.63605439574870659</v>
      </c>
      <c r="I68" s="634" t="str">
        <f t="shared" si="35"/>
        <v/>
      </c>
      <c r="J68" s="634" t="str">
        <f t="shared" si="35"/>
        <v/>
      </c>
      <c r="K68" s="634" t="str">
        <f t="shared" si="35"/>
        <v/>
      </c>
      <c r="L68" s="634" t="str">
        <f t="shared" si="35"/>
        <v/>
      </c>
      <c r="M68" s="634" t="str">
        <f t="shared" si="35"/>
        <v/>
      </c>
      <c r="N68" s="634" t="str">
        <f t="shared" si="35"/>
        <v/>
      </c>
      <c r="O68" s="634">
        <f t="shared" si="29"/>
        <v>0.24698722725446234</v>
      </c>
      <c r="P68" s="366"/>
      <c r="Q68" s="366"/>
      <c r="R68" s="413"/>
      <c r="S68" s="366"/>
      <c r="T68" s="366"/>
      <c r="U68" s="366"/>
      <c r="V68" s="366"/>
      <c r="W68" s="366"/>
      <c r="X68" s="366"/>
      <c r="Y68" s="366"/>
      <c r="Z68" s="366"/>
      <c r="AA68" s="366"/>
      <c r="AB68" s="366"/>
      <c r="AC68" s="366"/>
      <c r="AD68" s="366"/>
      <c r="AE68" s="366"/>
      <c r="AF68" s="366"/>
      <c r="AG68" s="366"/>
      <c r="AH68" s="366"/>
      <c r="AI68" s="366"/>
      <c r="AJ68" s="366"/>
      <c r="AK68" s="366"/>
      <c r="AL68" s="366"/>
      <c r="AM68" s="366"/>
      <c r="AN68" s="366"/>
      <c r="AO68" s="366"/>
      <c r="AP68" s="366"/>
      <c r="AQ68" s="366"/>
      <c r="AR68" s="366"/>
      <c r="AS68" s="366"/>
      <c r="AT68" s="366"/>
      <c r="AU68" s="366"/>
      <c r="AV68" s="366"/>
      <c r="AW68" s="366"/>
      <c r="AX68" s="366"/>
      <c r="AY68" s="366"/>
      <c r="AZ68" s="366"/>
    </row>
    <row r="69" spans="1:52" s="346" customFormat="1" ht="14.25" customHeight="1" x14ac:dyDescent="0.3">
      <c r="A69" s="366"/>
      <c r="B69" s="366" t="s">
        <v>253</v>
      </c>
      <c r="C69" s="366"/>
      <c r="D69" s="416">
        <v>3.1699999999999999E-2</v>
      </c>
      <c r="E69" s="416">
        <v>0.29210000000000003</v>
      </c>
      <c r="F69" s="416">
        <v>0.11</v>
      </c>
      <c r="G69" s="416"/>
      <c r="H69" s="416"/>
      <c r="I69" s="416"/>
      <c r="J69" s="416"/>
      <c r="K69" s="416"/>
      <c r="L69" s="416"/>
      <c r="M69" s="416"/>
      <c r="N69" s="416"/>
      <c r="O69" s="634">
        <f>IFERROR(+AVERAGE(D69:N69),"")</f>
        <v>0.14460000000000001</v>
      </c>
      <c r="P69" s="366"/>
      <c r="Q69" s="366"/>
      <c r="R69" s="413"/>
      <c r="S69" s="366"/>
      <c r="T69" s="366"/>
      <c r="U69" s="366"/>
      <c r="V69" s="366"/>
      <c r="W69" s="366"/>
      <c r="X69" s="366"/>
      <c r="Y69" s="366"/>
      <c r="Z69" s="366"/>
      <c r="AA69" s="366"/>
      <c r="AB69" s="366"/>
      <c r="AC69" s="366"/>
      <c r="AD69" s="366"/>
      <c r="AE69" s="366"/>
      <c r="AF69" s="366"/>
      <c r="AG69" s="366"/>
      <c r="AH69" s="366"/>
      <c r="AI69" s="366"/>
      <c r="AJ69" s="366"/>
      <c r="AK69" s="366"/>
      <c r="AL69" s="366"/>
      <c r="AM69" s="366"/>
      <c r="AN69" s="366"/>
      <c r="AO69" s="366"/>
      <c r="AP69" s="366"/>
      <c r="AQ69" s="366"/>
      <c r="AR69" s="366"/>
      <c r="AS69" s="366"/>
      <c r="AT69" s="366"/>
      <c r="AU69" s="366"/>
      <c r="AV69" s="366"/>
      <c r="AW69" s="366"/>
      <c r="AX69" s="366"/>
      <c r="AY69" s="366"/>
      <c r="AZ69" s="366"/>
    </row>
    <row r="70" spans="1:52" s="346" customFormat="1" ht="3.75" customHeight="1" x14ac:dyDescent="0.3">
      <c r="A70" s="366"/>
      <c r="B70" s="366"/>
      <c r="C70" s="366"/>
      <c r="D70" s="366"/>
      <c r="E70" s="366"/>
      <c r="F70" s="366"/>
      <c r="G70" s="366"/>
      <c r="H70" s="366"/>
      <c r="I70" s="366"/>
      <c r="J70" s="366"/>
      <c r="K70" s="366"/>
      <c r="L70" s="366"/>
      <c r="M70" s="366"/>
      <c r="N70" s="366"/>
      <c r="O70" s="410"/>
      <c r="P70" s="366"/>
      <c r="Q70" s="366"/>
      <c r="R70" s="413"/>
      <c r="S70" s="366"/>
      <c r="T70" s="366"/>
      <c r="U70" s="366"/>
      <c r="V70" s="366"/>
      <c r="W70" s="366"/>
      <c r="X70" s="366"/>
      <c r="Y70" s="366"/>
      <c r="Z70" s="366"/>
      <c r="AA70" s="366"/>
      <c r="AB70" s="366"/>
      <c r="AC70" s="366"/>
      <c r="AD70" s="366"/>
      <c r="AE70" s="366"/>
      <c r="AF70" s="366"/>
      <c r="AG70" s="366"/>
      <c r="AH70" s="366"/>
      <c r="AI70" s="366"/>
      <c r="AJ70" s="366"/>
      <c r="AK70" s="366"/>
      <c r="AL70" s="366"/>
      <c r="AM70" s="366"/>
      <c r="AN70" s="366"/>
      <c r="AO70" s="366"/>
      <c r="AP70" s="366"/>
      <c r="AQ70" s="366"/>
      <c r="AR70" s="366"/>
      <c r="AS70" s="366"/>
      <c r="AT70" s="366"/>
      <c r="AU70" s="366"/>
      <c r="AV70" s="366"/>
      <c r="AW70" s="366"/>
      <c r="AX70" s="366"/>
      <c r="AY70" s="366"/>
      <c r="AZ70" s="366"/>
    </row>
    <row r="71" spans="1:52" s="349" customFormat="1" ht="14.25" customHeight="1" x14ac:dyDescent="0.3">
      <c r="A71" s="375"/>
      <c r="B71" s="569" t="s">
        <v>254</v>
      </c>
      <c r="C71" s="570"/>
      <c r="D71" s="351" t="str">
        <f t="shared" ref="D71:O71" ca="1" si="36">+D29</f>
        <v>SK</v>
      </c>
      <c r="E71" s="351" t="str">
        <f t="shared" ca="1" si="36"/>
        <v>Samsung</v>
      </c>
      <c r="F71" s="351" t="str">
        <f t="shared" ca="1" si="36"/>
        <v>MICRON</v>
      </c>
      <c r="G71" s="351" t="str">
        <f t="shared" ca="1" si="36"/>
        <v>Kioxia</v>
      </c>
      <c r="H71" s="351" t="str">
        <f t="shared" ca="1" si="36"/>
        <v>WESTERN</v>
      </c>
      <c r="I71" s="351" t="str">
        <f t="shared" si="36"/>
        <v/>
      </c>
      <c r="J71" s="351" t="str">
        <f t="shared" si="36"/>
        <v/>
      </c>
      <c r="K71" s="351" t="str">
        <f t="shared" si="36"/>
        <v/>
      </c>
      <c r="L71" s="351" t="str">
        <f t="shared" si="36"/>
        <v/>
      </c>
      <c r="M71" s="351" t="str">
        <f t="shared" si="36"/>
        <v/>
      </c>
      <c r="N71" s="351" t="str">
        <f t="shared" si="36"/>
        <v/>
      </c>
      <c r="O71" s="351" t="str">
        <f t="shared" si="36"/>
        <v>Average</v>
      </c>
      <c r="P71" s="375"/>
      <c r="Q71" s="375"/>
      <c r="R71" s="571"/>
      <c r="S71" s="375"/>
      <c r="T71" s="375"/>
      <c r="U71" s="375"/>
      <c r="V71" s="375"/>
      <c r="W71" s="375"/>
      <c r="X71" s="375"/>
      <c r="Y71" s="375"/>
      <c r="Z71" s="375"/>
      <c r="AA71" s="375"/>
      <c r="AB71" s="375"/>
      <c r="AC71" s="375"/>
      <c r="AD71" s="375"/>
      <c r="AE71" s="375"/>
      <c r="AF71" s="375"/>
      <c r="AG71" s="375"/>
      <c r="AH71" s="375"/>
      <c r="AI71" s="375"/>
      <c r="AJ71" s="375"/>
      <c r="AK71" s="375"/>
      <c r="AL71" s="375"/>
      <c r="AM71" s="375"/>
      <c r="AN71" s="375"/>
      <c r="AO71" s="375"/>
      <c r="AP71" s="375"/>
      <c r="AQ71" s="375"/>
      <c r="AR71" s="375"/>
      <c r="AS71" s="375"/>
      <c r="AT71" s="375"/>
      <c r="AU71" s="375"/>
      <c r="AV71" s="375"/>
      <c r="AW71" s="375"/>
      <c r="AX71" s="375"/>
      <c r="AY71" s="375"/>
      <c r="AZ71" s="375"/>
    </row>
    <row r="72" spans="1:52" s="346" customFormat="1" ht="3.75" customHeight="1" x14ac:dyDescent="0.3">
      <c r="A72" s="366"/>
      <c r="B72" s="401"/>
      <c r="C72" s="401"/>
      <c r="D72" s="401"/>
      <c r="E72" s="401"/>
      <c r="F72" s="401"/>
      <c r="G72" s="401"/>
      <c r="H72" s="401"/>
      <c r="I72" s="401"/>
      <c r="J72" s="401"/>
      <c r="K72" s="401"/>
      <c r="L72" s="401"/>
      <c r="M72" s="401"/>
      <c r="N72" s="401"/>
      <c r="O72" s="412"/>
      <c r="P72" s="366"/>
      <c r="Q72" s="366"/>
      <c r="R72" s="413"/>
      <c r="S72" s="366"/>
      <c r="T72" s="366"/>
      <c r="U72" s="366"/>
      <c r="V72" s="366"/>
      <c r="W72" s="366"/>
      <c r="X72" s="366"/>
      <c r="Y72" s="366"/>
      <c r="Z72" s="366"/>
      <c r="AA72" s="366"/>
      <c r="AB72" s="366"/>
      <c r="AC72" s="366"/>
      <c r="AD72" s="366"/>
      <c r="AE72" s="366"/>
      <c r="AF72" s="366"/>
      <c r="AG72" s="366"/>
      <c r="AH72" s="366"/>
      <c r="AI72" s="366"/>
      <c r="AJ72" s="366"/>
      <c r="AK72" s="366"/>
      <c r="AL72" s="366"/>
      <c r="AM72" s="366"/>
      <c r="AN72" s="366"/>
      <c r="AO72" s="366"/>
      <c r="AP72" s="366"/>
      <c r="AQ72" s="366"/>
      <c r="AR72" s="366"/>
      <c r="AS72" s="366"/>
      <c r="AT72" s="366"/>
      <c r="AU72" s="366"/>
      <c r="AV72" s="366"/>
      <c r="AW72" s="366"/>
      <c r="AX72" s="366"/>
      <c r="AY72" s="366"/>
      <c r="AZ72" s="366"/>
    </row>
    <row r="73" spans="1:52" s="346" customFormat="1" ht="14.25" customHeight="1" x14ac:dyDescent="0.3">
      <c r="A73" s="366"/>
      <c r="B73" s="366" t="s">
        <v>255</v>
      </c>
      <c r="C73" s="366"/>
      <c r="D73" s="416">
        <f>540.52/690.35</f>
        <v>0.78296516259868176</v>
      </c>
      <c r="E73" s="416">
        <f>5.57/5.92</f>
        <v>0.9408783783783784</v>
      </c>
      <c r="F73" s="416">
        <f>1.11/1.12</f>
        <v>0.9910714285714286</v>
      </c>
      <c r="G73" s="416">
        <f>80.02/539.06</f>
        <v>0.14844358698475124</v>
      </c>
      <c r="H73" s="416">
        <f>344.89/347.82</f>
        <v>0.99157610258179518</v>
      </c>
      <c r="I73" s="416"/>
      <c r="J73" s="416"/>
      <c r="K73" s="416"/>
      <c r="L73" s="416"/>
      <c r="M73" s="416"/>
      <c r="N73" s="416"/>
      <c r="O73" s="634">
        <f>IFERROR(+AVERAGE(D73:N73),"")</f>
        <v>0.77098693182300715</v>
      </c>
      <c r="P73" s="366"/>
      <c r="Q73" s="366"/>
      <c r="R73" s="413"/>
      <c r="S73" s="366"/>
      <c r="T73" s="366"/>
      <c r="U73" s="366"/>
      <c r="V73" s="366"/>
      <c r="W73" s="366"/>
      <c r="X73" s="366"/>
      <c r="Y73" s="366"/>
      <c r="Z73" s="366"/>
      <c r="AA73" s="366"/>
      <c r="AB73" s="366"/>
      <c r="AC73" s="366"/>
      <c r="AD73" s="366"/>
      <c r="AE73" s="366"/>
      <c r="AF73" s="366"/>
      <c r="AG73" s="366"/>
      <c r="AH73" s="366"/>
      <c r="AI73" s="366"/>
      <c r="AJ73" s="366"/>
      <c r="AK73" s="366"/>
      <c r="AL73" s="366"/>
      <c r="AM73" s="366"/>
      <c r="AN73" s="366"/>
      <c r="AO73" s="366"/>
      <c r="AP73" s="366"/>
      <c r="AQ73" s="366"/>
      <c r="AR73" s="366"/>
      <c r="AS73" s="366"/>
      <c r="AT73" s="366"/>
      <c r="AU73" s="366"/>
      <c r="AV73" s="366"/>
      <c r="AW73" s="366"/>
      <c r="AX73" s="366"/>
      <c r="AY73" s="366"/>
      <c r="AZ73" s="366"/>
    </row>
    <row r="74" spans="1:52" s="346" customFormat="1" ht="14.25" customHeight="1" x14ac:dyDescent="0.3">
      <c r="A74" s="366"/>
      <c r="B74" s="366" t="s">
        <v>256</v>
      </c>
      <c r="C74" s="366"/>
      <c r="D74" s="391" cm="1">
        <f t="array" aca="1" ref="D74" ca="1">IFERROR(_FV(D93,"Beta"),"")</f>
        <v>1.1446000000000001</v>
      </c>
      <c r="E74" s="391" cm="1">
        <f t="array" aca="1" ref="E74" ca="1">IFERROR(_FV(E93,"Beta"),"")</f>
        <v>1.0683</v>
      </c>
      <c r="F74" s="391" cm="1">
        <f t="array" aca="1" ref="F74" ca="1">IFERROR(_FV(F93,"Beta"),"")</f>
        <v>1.2168000000000001</v>
      </c>
      <c r="G74" s="391" cm="1">
        <f t="array" aca="1" ref="G74" ca="1">IFERROR(_FV(G93,"Beta"),"")</f>
        <v>1.698</v>
      </c>
      <c r="H74" s="391" cm="1">
        <f t="array" aca="1" ref="H74" ca="1">IFERROR(_FV(H93,"Beta"),"")</f>
        <v>1.4378</v>
      </c>
      <c r="I74" s="391" t="str" cm="1">
        <f t="array" ref="I74">IFERROR(_FV(I93,"Beta"),"")</f>
        <v/>
      </c>
      <c r="J74" s="391" t="str" cm="1">
        <f t="array" ref="J74">IFERROR(_FV(J93,"Beta"),"")</f>
        <v/>
      </c>
      <c r="K74" s="391" t="str" cm="1">
        <f t="array" ref="K74">IFERROR(_FV(K93,"Beta"),"")</f>
        <v/>
      </c>
      <c r="L74" s="391" t="str" cm="1">
        <f t="array" ref="L74">IFERROR(_FV(L93,"Beta"),"")</f>
        <v/>
      </c>
      <c r="M74" s="391" t="str" cm="1">
        <f t="array" ref="M74">IFERROR(_FV(M93,"Beta"),"")</f>
        <v/>
      </c>
      <c r="N74" s="391" t="str" cm="1">
        <f t="array" ref="N74">IFERROR(_FV(N93,"Beta"),"")</f>
        <v/>
      </c>
      <c r="O74" s="635">
        <f t="shared" ref="O74:O75" ca="1" si="37">IFERROR(+AVERAGE(D74:N74),"")</f>
        <v>1.3131000000000002</v>
      </c>
      <c r="P74" s="366"/>
      <c r="Q74" s="366"/>
      <c r="R74" s="413"/>
      <c r="S74" s="366"/>
      <c r="T74" s="366"/>
      <c r="U74" s="366"/>
      <c r="V74" s="366"/>
      <c r="W74" s="366"/>
      <c r="X74" s="366"/>
      <c r="Y74" s="366"/>
      <c r="Z74" s="366"/>
      <c r="AA74" s="366"/>
      <c r="AB74" s="366"/>
      <c r="AC74" s="366"/>
      <c r="AD74" s="366"/>
      <c r="AE74" s="366"/>
      <c r="AF74" s="366"/>
      <c r="AG74" s="366"/>
      <c r="AH74" s="366"/>
      <c r="AI74" s="366"/>
      <c r="AJ74" s="366"/>
      <c r="AK74" s="366"/>
      <c r="AL74" s="366"/>
      <c r="AM74" s="366"/>
      <c r="AN74" s="366"/>
      <c r="AO74" s="366"/>
      <c r="AP74" s="366"/>
      <c r="AQ74" s="366"/>
      <c r="AR74" s="366"/>
      <c r="AS74" s="366"/>
      <c r="AT74" s="366"/>
      <c r="AU74" s="366"/>
      <c r="AV74" s="366"/>
      <c r="AW74" s="366"/>
      <c r="AX74" s="366"/>
      <c r="AY74" s="366"/>
      <c r="AZ74" s="366"/>
    </row>
    <row r="75" spans="1:52" s="346" customFormat="1" ht="14.25" customHeight="1" x14ac:dyDescent="0.3">
      <c r="A75" s="366"/>
      <c r="B75" s="366" t="s">
        <v>257</v>
      </c>
      <c r="C75" s="366"/>
      <c r="D75" s="391">
        <f t="shared" ref="D75:N75" ca="1" si="38">IFERROR(D74/(1+(1-D106/D105)*(D123/D124)),"")</f>
        <v>0.92239637158178134</v>
      </c>
      <c r="E75" s="391">
        <f t="shared" ca="1" si="38"/>
        <v>1.0231584737434651</v>
      </c>
      <c r="F75" s="391">
        <f t="shared" ca="1" si="38"/>
        <v>1.0152922252642931</v>
      </c>
      <c r="G75" s="391">
        <f t="shared" ca="1" si="38"/>
        <v>0.47803005188465031</v>
      </c>
      <c r="H75" s="391">
        <f t="shared" ca="1" si="38"/>
        <v>0.77695708450372081</v>
      </c>
      <c r="I75" s="391" t="str">
        <f t="shared" si="38"/>
        <v/>
      </c>
      <c r="J75" s="391" t="str">
        <f t="shared" si="38"/>
        <v/>
      </c>
      <c r="K75" s="391" t="str">
        <f t="shared" si="38"/>
        <v/>
      </c>
      <c r="L75" s="391" t="str">
        <f t="shared" si="38"/>
        <v/>
      </c>
      <c r="M75" s="391" t="str">
        <f t="shared" si="38"/>
        <v/>
      </c>
      <c r="N75" s="391" t="str">
        <f t="shared" si="38"/>
        <v/>
      </c>
      <c r="O75" s="635">
        <f t="shared" ca="1" si="37"/>
        <v>0.84316684139558229</v>
      </c>
      <c r="P75" s="366"/>
      <c r="Q75" s="366"/>
      <c r="R75" s="413"/>
      <c r="S75" s="366"/>
      <c r="T75" s="366"/>
      <c r="U75" s="366"/>
      <c r="V75" s="366"/>
      <c r="W75" s="366"/>
      <c r="X75" s="366"/>
      <c r="Y75" s="366"/>
      <c r="Z75" s="366"/>
      <c r="AA75" s="366"/>
      <c r="AB75" s="366"/>
      <c r="AC75" s="366"/>
      <c r="AD75" s="366"/>
      <c r="AE75" s="366"/>
      <c r="AF75" s="366"/>
      <c r="AG75" s="366"/>
      <c r="AH75" s="366"/>
      <c r="AI75" s="366"/>
      <c r="AJ75" s="366"/>
      <c r="AK75" s="366"/>
      <c r="AL75" s="366"/>
      <c r="AM75" s="366"/>
      <c r="AN75" s="366"/>
      <c r="AO75" s="366"/>
      <c r="AP75" s="366"/>
      <c r="AQ75" s="366"/>
      <c r="AR75" s="366"/>
      <c r="AS75" s="366"/>
      <c r="AT75" s="366"/>
      <c r="AU75" s="366"/>
      <c r="AV75" s="366"/>
      <c r="AW75" s="366"/>
      <c r="AX75" s="366"/>
      <c r="AY75" s="366"/>
      <c r="AZ75" s="366"/>
    </row>
    <row r="76" spans="1:52" s="346" customFormat="1" ht="14.25" customHeight="1" x14ac:dyDescent="0.3">
      <c r="A76" s="366"/>
      <c r="B76" s="366" t="s">
        <v>42</v>
      </c>
      <c r="C76" s="366"/>
      <c r="D76" s="416">
        <v>0.20419999999999999</v>
      </c>
      <c r="E76" s="416">
        <v>0.1007</v>
      </c>
      <c r="F76" s="416">
        <v>2.7000000000000001E-3</v>
      </c>
      <c r="G76" s="416">
        <v>0.3352</v>
      </c>
      <c r="H76" s="416">
        <v>7.1000000000000004E-3</v>
      </c>
      <c r="I76" s="416"/>
      <c r="J76" s="416"/>
      <c r="K76" s="416"/>
      <c r="L76" s="416"/>
      <c r="M76" s="416"/>
      <c r="N76" s="416"/>
      <c r="O76" s="634">
        <f t="shared" ref="O76:O78" si="39">IFERROR(+AVERAGE(D76:N76),"")</f>
        <v>0.12998000000000001</v>
      </c>
      <c r="P76" s="366"/>
      <c r="Q76" s="366"/>
      <c r="R76" s="413"/>
      <c r="S76" s="366"/>
      <c r="T76" s="366"/>
      <c r="U76" s="366"/>
      <c r="V76" s="366"/>
      <c r="W76" s="366"/>
      <c r="X76" s="366"/>
      <c r="Y76" s="366"/>
      <c r="Z76" s="366"/>
      <c r="AA76" s="366"/>
      <c r="AB76" s="366"/>
      <c r="AC76" s="366"/>
      <c r="AD76" s="366"/>
      <c r="AE76" s="366"/>
      <c r="AF76" s="366"/>
      <c r="AG76" s="366"/>
      <c r="AH76" s="366"/>
      <c r="AI76" s="366"/>
      <c r="AJ76" s="366"/>
      <c r="AK76" s="366"/>
      <c r="AL76" s="366"/>
      <c r="AM76" s="366"/>
      <c r="AN76" s="366"/>
      <c r="AO76" s="366"/>
      <c r="AP76" s="366"/>
      <c r="AQ76" s="366"/>
      <c r="AR76" s="366"/>
      <c r="AS76" s="366"/>
      <c r="AT76" s="366"/>
      <c r="AU76" s="366"/>
      <c r="AV76" s="366"/>
      <c r="AW76" s="366"/>
      <c r="AX76" s="366"/>
      <c r="AY76" s="366"/>
      <c r="AZ76" s="366"/>
    </row>
    <row r="77" spans="1:52" s="346" customFormat="1" ht="14.25" customHeight="1" x14ac:dyDescent="0.3">
      <c r="A77" s="366"/>
      <c r="B77" s="366" t="s">
        <v>43</v>
      </c>
      <c r="C77" s="366"/>
      <c r="D77" s="416">
        <v>0.439</v>
      </c>
      <c r="E77" s="416">
        <v>0.3745</v>
      </c>
      <c r="F77" s="416">
        <v>0.8296</v>
      </c>
      <c r="G77" s="416">
        <v>0.55620000000000003</v>
      </c>
      <c r="H77" s="416">
        <v>0.98619999999999997</v>
      </c>
      <c r="I77" s="416"/>
      <c r="J77" s="416"/>
      <c r="K77" s="416"/>
      <c r="L77" s="416"/>
      <c r="M77" s="416"/>
      <c r="N77" s="416"/>
      <c r="O77" s="634">
        <f t="shared" si="39"/>
        <v>0.6371</v>
      </c>
      <c r="P77" s="366"/>
      <c r="Q77" s="366"/>
      <c r="R77" s="413"/>
      <c r="S77" s="366"/>
      <c r="T77" s="366"/>
      <c r="U77" s="366"/>
      <c r="V77" s="366"/>
      <c r="W77" s="366"/>
      <c r="X77" s="366"/>
      <c r="Y77" s="366"/>
      <c r="Z77" s="366"/>
      <c r="AA77" s="366"/>
      <c r="AB77" s="366"/>
      <c r="AC77" s="366"/>
      <c r="AD77" s="366"/>
      <c r="AE77" s="366"/>
      <c r="AF77" s="366"/>
      <c r="AG77" s="366"/>
      <c r="AH77" s="366"/>
      <c r="AI77" s="366"/>
      <c r="AJ77" s="366"/>
      <c r="AK77" s="366"/>
      <c r="AL77" s="366"/>
      <c r="AM77" s="366"/>
      <c r="AN77" s="366"/>
      <c r="AO77" s="366"/>
      <c r="AP77" s="366"/>
      <c r="AQ77" s="366"/>
      <c r="AR77" s="366"/>
      <c r="AS77" s="366"/>
      <c r="AT77" s="366"/>
      <c r="AU77" s="366"/>
      <c r="AV77" s="366"/>
      <c r="AW77" s="366"/>
      <c r="AX77" s="366"/>
      <c r="AY77" s="366"/>
      <c r="AZ77" s="366"/>
    </row>
    <row r="78" spans="1:52" s="346" customFormat="1" ht="14.25" customHeight="1" x14ac:dyDescent="0.3">
      <c r="A78" s="366"/>
      <c r="B78" s="366" t="s">
        <v>258</v>
      </c>
      <c r="C78" s="366"/>
      <c r="D78" s="416">
        <v>0</v>
      </c>
      <c r="E78" s="416">
        <v>0</v>
      </c>
      <c r="F78" s="416">
        <v>2.7699999999999999E-2</v>
      </c>
      <c r="G78" s="416">
        <v>0</v>
      </c>
      <c r="H78" s="416">
        <v>0.1086</v>
      </c>
      <c r="I78" s="416"/>
      <c r="J78" s="416"/>
      <c r="K78" s="416"/>
      <c r="L78" s="416"/>
      <c r="M78" s="416"/>
      <c r="N78" s="416"/>
      <c r="O78" s="634">
        <f t="shared" si="39"/>
        <v>2.726E-2</v>
      </c>
      <c r="P78" s="366"/>
      <c r="Q78" s="366"/>
      <c r="R78" s="413"/>
      <c r="S78" s="366"/>
      <c r="T78" s="366"/>
      <c r="U78" s="366"/>
      <c r="V78" s="366"/>
      <c r="W78" s="366"/>
      <c r="X78" s="366"/>
      <c r="Y78" s="366"/>
      <c r="Z78" s="366"/>
      <c r="AA78" s="366"/>
      <c r="AB78" s="366"/>
      <c r="AC78" s="366"/>
      <c r="AD78" s="366"/>
      <c r="AE78" s="366"/>
      <c r="AF78" s="366"/>
      <c r="AG78" s="366"/>
      <c r="AH78" s="366"/>
      <c r="AI78" s="366"/>
      <c r="AJ78" s="366"/>
      <c r="AK78" s="366"/>
      <c r="AL78" s="366"/>
      <c r="AM78" s="366"/>
      <c r="AN78" s="366"/>
      <c r="AO78" s="366"/>
      <c r="AP78" s="366"/>
      <c r="AQ78" s="366"/>
      <c r="AR78" s="366"/>
      <c r="AS78" s="366"/>
      <c r="AT78" s="366"/>
      <c r="AU78" s="366"/>
      <c r="AV78" s="366"/>
      <c r="AW78" s="366"/>
      <c r="AX78" s="366"/>
      <c r="AY78" s="366"/>
      <c r="AZ78" s="366"/>
    </row>
    <row r="79" spans="1:52" s="346" customFormat="1" ht="3.75" customHeight="1" x14ac:dyDescent="0.3">
      <c r="A79" s="366"/>
      <c r="B79" s="366"/>
      <c r="C79" s="366"/>
      <c r="D79" s="366"/>
      <c r="E79" s="366"/>
      <c r="F79" s="366"/>
      <c r="G79" s="366"/>
      <c r="H79" s="366"/>
      <c r="I79" s="366"/>
      <c r="J79" s="366"/>
      <c r="K79" s="366"/>
      <c r="L79" s="366"/>
      <c r="M79" s="366"/>
      <c r="N79" s="366"/>
      <c r="O79" s="366"/>
      <c r="P79" s="366"/>
      <c r="Q79" s="366"/>
      <c r="R79" s="413"/>
      <c r="S79" s="366"/>
      <c r="T79" s="366"/>
      <c r="U79" s="366"/>
      <c r="V79" s="366"/>
      <c r="W79" s="366"/>
      <c r="X79" s="366"/>
      <c r="Y79" s="366"/>
      <c r="Z79" s="366"/>
      <c r="AA79" s="366"/>
      <c r="AB79" s="366"/>
      <c r="AC79" s="366"/>
      <c r="AD79" s="366"/>
      <c r="AE79" s="366"/>
      <c r="AF79" s="366"/>
      <c r="AG79" s="366"/>
      <c r="AH79" s="366"/>
      <c r="AI79" s="366"/>
      <c r="AJ79" s="366"/>
      <c r="AK79" s="366"/>
      <c r="AL79" s="366"/>
      <c r="AM79" s="366"/>
      <c r="AN79" s="366"/>
      <c r="AO79" s="366"/>
      <c r="AP79" s="366"/>
      <c r="AQ79" s="366"/>
      <c r="AR79" s="366"/>
      <c r="AS79" s="366"/>
      <c r="AT79" s="366"/>
      <c r="AU79" s="366"/>
      <c r="AV79" s="366"/>
      <c r="AW79" s="366"/>
      <c r="AX79" s="366"/>
      <c r="AY79" s="366"/>
      <c r="AZ79" s="366"/>
    </row>
    <row r="80" spans="1:52" s="349" customFormat="1" ht="14.25" customHeight="1" x14ac:dyDescent="0.3">
      <c r="A80" s="375"/>
      <c r="B80" s="569" t="s">
        <v>97</v>
      </c>
      <c r="C80" s="570"/>
      <c r="D80" s="351" t="str">
        <f t="shared" ref="D80:O80" ca="1" si="40">+D29</f>
        <v>SK</v>
      </c>
      <c r="E80" s="351" t="str">
        <f t="shared" ca="1" si="40"/>
        <v>Samsung</v>
      </c>
      <c r="F80" s="351" t="str">
        <f t="shared" ca="1" si="40"/>
        <v>MICRON</v>
      </c>
      <c r="G80" s="351" t="str">
        <f t="shared" ca="1" si="40"/>
        <v>Kioxia</v>
      </c>
      <c r="H80" s="351" t="str">
        <f t="shared" ca="1" si="40"/>
        <v>WESTERN</v>
      </c>
      <c r="I80" s="351" t="str">
        <f t="shared" si="40"/>
        <v/>
      </c>
      <c r="J80" s="351" t="str">
        <f t="shared" si="40"/>
        <v/>
      </c>
      <c r="K80" s="351" t="str">
        <f t="shared" si="40"/>
        <v/>
      </c>
      <c r="L80" s="351" t="str">
        <f t="shared" si="40"/>
        <v/>
      </c>
      <c r="M80" s="351" t="str">
        <f t="shared" si="40"/>
        <v/>
      </c>
      <c r="N80" s="351" t="str">
        <f t="shared" si="40"/>
        <v/>
      </c>
      <c r="O80" s="351" t="str">
        <f t="shared" si="40"/>
        <v>Average</v>
      </c>
      <c r="P80" s="375"/>
      <c r="Q80" s="375"/>
      <c r="R80" s="571"/>
      <c r="S80" s="375"/>
      <c r="T80" s="375"/>
      <c r="U80" s="375"/>
      <c r="V80" s="375"/>
      <c r="W80" s="375"/>
      <c r="X80" s="375"/>
      <c r="Y80" s="375"/>
      <c r="Z80" s="375"/>
      <c r="AA80" s="375"/>
      <c r="AB80" s="375"/>
      <c r="AC80" s="375"/>
      <c r="AD80" s="375"/>
      <c r="AE80" s="375"/>
      <c r="AF80" s="375"/>
      <c r="AG80" s="375"/>
      <c r="AH80" s="375"/>
      <c r="AI80" s="375"/>
      <c r="AJ80" s="375"/>
      <c r="AK80" s="375"/>
      <c r="AL80" s="375"/>
      <c r="AM80" s="375"/>
      <c r="AN80" s="375"/>
      <c r="AO80" s="375"/>
      <c r="AP80" s="375"/>
      <c r="AQ80" s="375"/>
      <c r="AR80" s="375"/>
      <c r="AS80" s="375"/>
      <c r="AT80" s="375"/>
      <c r="AU80" s="375"/>
      <c r="AV80" s="375"/>
      <c r="AW80" s="375"/>
      <c r="AX80" s="375"/>
      <c r="AY80" s="375"/>
      <c r="AZ80" s="375"/>
    </row>
    <row r="81" spans="1:52" s="346" customFormat="1" ht="3.75" customHeight="1" x14ac:dyDescent="0.3">
      <c r="A81" s="366"/>
      <c r="B81" s="401"/>
      <c r="C81" s="401"/>
      <c r="D81" s="401"/>
      <c r="E81" s="401"/>
      <c r="F81" s="401"/>
      <c r="G81" s="401"/>
      <c r="H81" s="401"/>
      <c r="I81" s="401"/>
      <c r="J81" s="401"/>
      <c r="K81" s="401"/>
      <c r="L81" s="401"/>
      <c r="M81" s="401"/>
      <c r="N81" s="401"/>
      <c r="O81" s="401"/>
      <c r="P81" s="366"/>
      <c r="Q81" s="366"/>
      <c r="R81" s="413"/>
      <c r="S81" s="366"/>
      <c r="T81" s="366"/>
      <c r="U81" s="366"/>
      <c r="V81" s="366"/>
      <c r="W81" s="366"/>
      <c r="X81" s="366"/>
      <c r="Y81" s="366"/>
      <c r="Z81" s="366"/>
      <c r="AA81" s="366"/>
      <c r="AB81" s="366"/>
      <c r="AC81" s="366"/>
      <c r="AD81" s="366"/>
      <c r="AE81" s="366"/>
      <c r="AF81" s="366"/>
      <c r="AG81" s="366"/>
      <c r="AH81" s="366"/>
      <c r="AI81" s="366"/>
      <c r="AJ81" s="366"/>
      <c r="AK81" s="366"/>
      <c r="AL81" s="366"/>
      <c r="AM81" s="366"/>
      <c r="AN81" s="366"/>
      <c r="AO81" s="366"/>
      <c r="AP81" s="366"/>
      <c r="AQ81" s="366"/>
      <c r="AR81" s="366"/>
      <c r="AS81" s="366"/>
      <c r="AT81" s="366"/>
      <c r="AU81" s="366"/>
      <c r="AV81" s="366"/>
      <c r="AW81" s="366"/>
      <c r="AX81" s="366"/>
      <c r="AY81" s="366"/>
      <c r="AZ81" s="366"/>
    </row>
    <row r="82" spans="1:52" s="346" customFormat="1" ht="14.25" customHeight="1" x14ac:dyDescent="0.3">
      <c r="A82" s="366"/>
      <c r="B82" s="366" t="s">
        <v>259</v>
      </c>
      <c r="C82" s="366"/>
      <c r="D82" s="417" t="str" cm="1">
        <f t="array" aca="1" ref="D82" ca="1">IFERROR((D85/_xlfn.STOCKHISTORY(C6,TODAY()-1,TODAY()-1,0,0,1))-1,"Non-trading days")</f>
        <v>Non-trading days</v>
      </c>
      <c r="E82" s="417" t="str" cm="1">
        <f t="array" aca="1" ref="E82" ca="1">IFERROR((E85/_xlfn.STOCKHISTORY(C8,TODAY()-1,TODAY()-1,0,0,1))-1,"Non-trading days")</f>
        <v>Non-trading days</v>
      </c>
      <c r="F82" s="417" cm="1">
        <f t="array" aca="1" ref="F82" ca="1">IFERROR((F85/_xlfn.STOCKHISTORY(C9,TODAY()-1,TODAY()-1,0,0,1))-1,"Non-trading days")</f>
        <v>-0.51701174476328848</v>
      </c>
      <c r="G82" s="417" cm="1">
        <f t="array" aca="1" ref="G82" ca="1">IFERROR((G85/_xlfn.STOCKHISTORY(C10,TODAY()-1,TODAY()-1,0,0,1))-1,"Non-trading days")</f>
        <v>-0.67052023121387283</v>
      </c>
      <c r="H82" s="417" t="str" cm="1">
        <f t="array" aca="1" ref="H82" ca="1">IFERROR((K85/_xlfn.STOCKHISTORY(C11,TODAY()-1,TODAY()-1,0,0,1))-1,"Non-trading days")</f>
        <v>Non-trading days</v>
      </c>
      <c r="I82" s="417" t="str" cm="1">
        <f t="array" aca="1" ref="I82" ca="1">IFERROR((L85/_xlfn.STOCKHISTORY(C12,TODAY()-1,TODAY()-1,0,0,1))-1,"Non-trading days")</f>
        <v>Non-trading days</v>
      </c>
      <c r="J82" s="417" t="str" cm="1">
        <f t="array" aca="1" ref="J82" ca="1">IFERROR((M85/_xlfn.STOCKHISTORY(C13,TODAY()-1,TODAY()-1,0,0,1))-1,"Non-trading days")</f>
        <v>Non-trading days</v>
      </c>
      <c r="K82" s="417" t="str" cm="1">
        <f t="array" aca="1" ref="K82" ca="1">IFERROR((N85/_xlfn.STOCKHISTORY(C14,TODAY()-1,TODAY()-1,0,0,1))-1,"Non-trading days")</f>
        <v>Non-trading days</v>
      </c>
      <c r="L82" s="417" t="str" cm="1">
        <f t="array" aca="1" ref="L82" ca="1">IFERROR((L85/_xlfn.STOCKHISTORY(C15,TODAY()-1,TODAY()-1,0,0,1))-1,"Non-trading days")</f>
        <v>Non-trading days</v>
      </c>
      <c r="M82" s="417" t="str" cm="1">
        <f t="array" aca="1" ref="M82" ca="1">IFERROR((M85/_xlfn.STOCKHISTORY(C16,TODAY()-1,TODAY()-1,0,0,1))-1,"Non-trading days")</f>
        <v>Non-trading days</v>
      </c>
      <c r="N82" s="417" t="str" cm="1">
        <f t="array" aca="1" ref="N82" ca="1">IFERROR((N85/_xlfn.STOCKHISTORY(C17,TODAY()-1,TODAY()-1,0,0,1))-1,"Non-trading days")</f>
        <v>Non-trading days</v>
      </c>
      <c r="O82" s="414">
        <f ca="1">IFERROR(+AVERAGE(D82:N82),"")</f>
        <v>-0.5937659879885806</v>
      </c>
      <c r="P82" s="366"/>
      <c r="Q82" s="366"/>
      <c r="R82" s="413"/>
      <c r="S82" s="366"/>
      <c r="T82" s="366"/>
      <c r="U82" s="366"/>
      <c r="V82" s="366"/>
      <c r="W82" s="366"/>
      <c r="X82" s="366"/>
      <c r="Y82" s="366"/>
      <c r="Z82" s="366"/>
      <c r="AA82" s="366"/>
      <c r="AB82" s="366"/>
      <c r="AC82" s="366"/>
      <c r="AD82" s="366"/>
      <c r="AE82" s="366"/>
      <c r="AF82" s="366"/>
      <c r="AG82" s="366"/>
      <c r="AH82" s="366"/>
      <c r="AI82" s="366"/>
      <c r="AJ82" s="366"/>
      <c r="AK82" s="366"/>
      <c r="AL82" s="366"/>
      <c r="AM82" s="366"/>
      <c r="AN82" s="366"/>
      <c r="AO82" s="366"/>
      <c r="AP82" s="366"/>
      <c r="AQ82" s="366"/>
      <c r="AR82" s="366"/>
      <c r="AS82" s="366"/>
      <c r="AT82" s="366"/>
      <c r="AU82" s="366"/>
      <c r="AV82" s="366"/>
      <c r="AW82" s="366"/>
      <c r="AX82" s="366"/>
      <c r="AY82" s="366"/>
      <c r="AZ82" s="366"/>
    </row>
    <row r="83" spans="1:52" s="346" customFormat="1" ht="14.25" customHeight="1" x14ac:dyDescent="0.3">
      <c r="A83" s="366"/>
      <c r="B83" s="366" t="s">
        <v>260</v>
      </c>
      <c r="C83" s="366"/>
      <c r="D83" s="417" cm="1">
        <f t="array" aca="1" ref="D83" ca="1">IFERROR((D85/_xlfn.STOCKHISTORY(C6,TODAY()-29,TODAY()-29,0,0,1))-1,"Non-trading days")</f>
        <v>-0.39934853420195437</v>
      </c>
      <c r="E83" s="417" cm="1">
        <f t="array" aca="1" ref="E83" ca="1">IFERROR((E85/_xlfn.STOCKHISTORY(C8,TODAY()-29,TODAY()-29,0,0,1))-1,"Non-trading days")</f>
        <v>-0.24114441416893728</v>
      </c>
      <c r="F83" s="417" cm="1">
        <f t="array" aca="1" ref="F83" ca="1">IFERROR((F85/_xlfn.STOCKHISTORY(C9,TODAY()-29,TODAY()-29,0,0,1))-1,"Non-trading days")</f>
        <v>-0.3803013826316608</v>
      </c>
      <c r="G83" s="417" cm="1">
        <f t="array" aca="1" ref="G83" ca="1">IFERROR((G85/_xlfn.STOCKHISTORY(C10,TODAY()-29,TODAY()-29,0,0,1))-1,"Non-trading days")</f>
        <v>-0.51282051282051277</v>
      </c>
      <c r="H83" s="417" t="str" cm="1">
        <f t="array" aca="1" ref="H83" ca="1">IFERROR((K85/_xlfn.STOCKHISTORY(C11,TODAY()-29,TODAY()-29,0,0,1))-1,"Non-trading days")</f>
        <v>Non-trading days</v>
      </c>
      <c r="I83" s="417" t="str" cm="1">
        <f t="array" aca="1" ref="I83" ca="1">IFERROR((L85/_xlfn.STOCKHISTORY(C12,TODAY()-29,TODAY()-29,0,0,1))-1,"Non-trading days")</f>
        <v>Non-trading days</v>
      </c>
      <c r="J83" s="417" t="str" cm="1">
        <f t="array" aca="1" ref="J83" ca="1">IFERROR((M85/_xlfn.STOCKHISTORY(C13,TODAY()-29,TODAY()-29,0,0,1))-1,"Non-trading days")</f>
        <v>Non-trading days</v>
      </c>
      <c r="K83" s="417" t="str" cm="1">
        <f t="array" aca="1" ref="K83" ca="1">IFERROR((N85/_xlfn.STOCKHISTORY(C14,TODAY()-29,TODAY()-29,0,0,1))-1,"Non-trading days")</f>
        <v>Non-trading days</v>
      </c>
      <c r="L83" s="417" t="str" cm="1">
        <f t="array" aca="1" ref="L83" ca="1">IFERROR((L85/_xlfn.STOCKHISTORY(C15,TODAY()-29,TODAY()-29,0,0,1))-1,"Non-trading days")</f>
        <v>Non-trading days</v>
      </c>
      <c r="M83" s="417" t="str" cm="1">
        <f t="array" aca="1" ref="M83" ca="1">IFERROR((M85/_xlfn.STOCKHISTORY(C16,TODAY()-29,TODAY()-29,0,0,1))-1,"Non-trading days")</f>
        <v>Non-trading days</v>
      </c>
      <c r="N83" s="417" t="str" cm="1">
        <f t="array" aca="1" ref="N83" ca="1">IFERROR((N85/_xlfn.STOCKHISTORY(C17,TODAY()-29,TODAY()-29,0,0,1))-1,"Non-trading days")</f>
        <v>Non-trading days</v>
      </c>
      <c r="O83" s="414">
        <f ca="1">IFERROR(AVERAGE(D83:N83),"")</f>
        <v>-0.38340371095576631</v>
      </c>
      <c r="P83" s="366"/>
      <c r="Q83" s="366"/>
      <c r="R83" s="413"/>
      <c r="S83" s="366"/>
      <c r="T83" s="366"/>
      <c r="U83" s="366"/>
      <c r="V83" s="366"/>
      <c r="W83" s="366"/>
      <c r="X83" s="366"/>
      <c r="Y83" s="366"/>
      <c r="Z83" s="366"/>
      <c r="AA83" s="366"/>
      <c r="AB83" s="366"/>
      <c r="AC83" s="366"/>
      <c r="AD83" s="366"/>
      <c r="AE83" s="366"/>
      <c r="AF83" s="366"/>
      <c r="AG83" s="366"/>
      <c r="AH83" s="366"/>
      <c r="AI83" s="366"/>
      <c r="AJ83" s="366"/>
      <c r="AK83" s="366"/>
      <c r="AL83" s="366"/>
      <c r="AM83" s="366"/>
      <c r="AN83" s="366"/>
      <c r="AO83" s="366"/>
      <c r="AP83" s="366"/>
      <c r="AQ83" s="366"/>
      <c r="AR83" s="366"/>
      <c r="AS83" s="366"/>
      <c r="AT83" s="366"/>
      <c r="AU83" s="366"/>
      <c r="AV83" s="366"/>
      <c r="AW83" s="366"/>
      <c r="AX83" s="366"/>
      <c r="AY83" s="366"/>
      <c r="AZ83" s="366"/>
    </row>
    <row r="84" spans="1:52" s="346" customFormat="1" ht="14.25" customHeight="1" x14ac:dyDescent="0.3">
      <c r="A84" s="366"/>
      <c r="B84" s="366" t="s">
        <v>261</v>
      </c>
      <c r="C84" s="366"/>
      <c r="D84" s="417" cm="1">
        <f t="array" aca="1" ref="D84" ca="1">IFERROR((D85/_xlfn.STOCKHISTORY(C6,"2025-01-02","2025-01-02",0,0,1))-1,"Non-trading days")</f>
        <v>7.7102803738317682E-2</v>
      </c>
      <c r="E84" s="417" cm="1">
        <f t="array" aca="1" ref="E84" ca="1">IFERROR((E85/_xlfn.STOCKHISTORY(C8,"2025-01-02","2025-01-02",0,0,1))-1,"Non-trading days")</f>
        <v>4.3071161048689133E-2</v>
      </c>
      <c r="F84" s="417" cm="1">
        <f t="array" aca="1" ref="F84" ca="1">IFERROR((F85/_xlfn.STOCKHISTORY(C9,"2025-01-02","2025-01-02",0,0,1))-1,"Non-trading days")</f>
        <v>-8.6453681438222851E-2</v>
      </c>
      <c r="G84" s="417" cm="1">
        <f t="array" aca="1" ref="G84" ca="1">IFERROR((G85/_xlfn.STOCKHISTORY(C10,"2025-01-02","2025-01-02",0,0,1))-1,"Non-trading days")</f>
        <v>0.17829457364341073</v>
      </c>
      <c r="H84" s="417" t="str" cm="1">
        <f t="array" aca="1" ref="H84" ca="1">IFERROR((K85/_xlfn.STOCKHISTORY(C11,"2025-01-02","2025-01-02",0,0,1))-1,"Non-trading days")</f>
        <v>Non-trading days</v>
      </c>
      <c r="I84" s="417" t="str" cm="1">
        <f t="array" ref="I84">IFERROR((L85/_xlfn.STOCKHISTORY(C12,"2025-01-02","2025-01-02",0,0,1))-1,"Non-trading days")</f>
        <v>Non-trading days</v>
      </c>
      <c r="J84" s="417" t="str" cm="1">
        <f t="array" ref="J84">IFERROR((M85/_xlfn.STOCKHISTORY(C13,"2025-01-02","2025-01-02",0,0,1))-1,"Non-trading days")</f>
        <v>Non-trading days</v>
      </c>
      <c r="K84" s="417" t="str" cm="1">
        <f t="array" ref="K84">IFERROR((N85/_xlfn.STOCKHISTORY(C14,"2025-01-02","2025-01-02",0,0,1))-1,"Non-trading days")</f>
        <v>Non-trading days</v>
      </c>
      <c r="L84" s="417" t="str" cm="1">
        <f t="array" ref="L84">IFERROR((L85/_xlfn.STOCKHISTORY(C15,"2025-01-02","2025-01-02",0,0,1))-1,"Non-trading days")</f>
        <v>Non-trading days</v>
      </c>
      <c r="M84" s="417" t="str" cm="1">
        <f t="array" ref="M84">IFERROR((M85/_xlfn.STOCKHISTORY(C16,"2025-01-02","2025-01-02",0,0,1))-1,"Non-trading days")</f>
        <v>Non-trading days</v>
      </c>
      <c r="N84" s="417" t="str" cm="1">
        <f t="array" ref="N84">IFERROR((N85/_xlfn.STOCKHISTORY(C17,"2025-01-02","2025-01-02",0,0,1))-1,"Non-trading days")</f>
        <v>Non-trading days</v>
      </c>
      <c r="O84" s="414">
        <f ca="1">IFERROR(AVERAGE(D84:N84),"")</f>
        <v>5.3003714248048672E-2</v>
      </c>
      <c r="P84" s="366"/>
      <c r="Q84" s="366"/>
      <c r="R84" s="413"/>
      <c r="S84" s="366"/>
      <c r="T84" s="366"/>
      <c r="U84" s="366"/>
      <c r="V84" s="366"/>
      <c r="W84" s="366"/>
      <c r="X84" s="366"/>
      <c r="Y84" s="366"/>
      <c r="Z84" s="366"/>
      <c r="AA84" s="366"/>
      <c r="AB84" s="366"/>
      <c r="AC84" s="366"/>
      <c r="AD84" s="366"/>
      <c r="AE84" s="366"/>
      <c r="AF84" s="366"/>
      <c r="AG84" s="366"/>
      <c r="AH84" s="366"/>
      <c r="AI84" s="366"/>
      <c r="AJ84" s="366"/>
      <c r="AK84" s="366"/>
      <c r="AL84" s="366"/>
      <c r="AM84" s="366"/>
      <c r="AN84" s="366"/>
      <c r="AO84" s="366"/>
      <c r="AP84" s="366"/>
      <c r="AQ84" s="366"/>
      <c r="AR84" s="366"/>
      <c r="AS84" s="366"/>
      <c r="AT84" s="366"/>
      <c r="AU84" s="366"/>
      <c r="AV84" s="366"/>
      <c r="AW84" s="366"/>
      <c r="AX84" s="366"/>
      <c r="AY84" s="366"/>
      <c r="AZ84" s="366"/>
    </row>
    <row r="85" spans="1:52" s="346" customFormat="1" ht="14.25" customHeight="1" x14ac:dyDescent="0.3">
      <c r="A85" s="366"/>
      <c r="B85" s="366" t="s">
        <v>221</v>
      </c>
      <c r="C85" s="366"/>
      <c r="D85" s="409" cm="1">
        <f t="array" aca="1" ref="D85" ca="1">+IFERROR(_FV(D93,"Price"),"")</f>
        <v>184400</v>
      </c>
      <c r="E85" s="409" cm="1">
        <f t="array" aca="1" ref="E85" ca="1">+IFERROR(_FV(E93,"Price"),"")</f>
        <v>55700</v>
      </c>
      <c r="F85" s="409" cm="1">
        <f t="array" aca="1" ref="F85" ca="1">+IFERROR(_FV(F93,"Price"),"")</f>
        <v>79.78</v>
      </c>
      <c r="G85" s="409" cm="1">
        <f t="array" aca="1" ref="G85" ca="1">+IFERROR(_FV(G93,"Price"),"")</f>
        <v>11.4</v>
      </c>
      <c r="H85" s="409" cm="1">
        <f t="array" aca="1" ref="H85" ca="1">+IFERROR(_FV(H93,"Price"),"")</f>
        <v>40.78</v>
      </c>
      <c r="I85" s="409" t="str" cm="1">
        <f t="array" ref="I85">+IFERROR(_FV(I93,"Price"),"")</f>
        <v/>
      </c>
      <c r="J85" s="409" t="str" cm="1">
        <f t="array" ref="J85">+IFERROR(_FV(J93,"Price"),"")</f>
        <v/>
      </c>
      <c r="K85" s="409" t="str" cm="1">
        <f t="array" ref="K85">+IFERROR(_FV(K93,"Price"),"")</f>
        <v/>
      </c>
      <c r="L85" s="409" t="str" cm="1">
        <f t="array" ref="L85">+IFERROR(_FV(L93,"Price"),"")</f>
        <v/>
      </c>
      <c r="M85" s="409" t="str" cm="1">
        <f t="array" ref="M85">+IFERROR(_FV(M93,"Price"),"")</f>
        <v/>
      </c>
      <c r="N85" s="409" t="str" cm="1">
        <f t="array" ref="N85">+IFERROR(_FV(N93,"Price"),"")</f>
        <v/>
      </c>
      <c r="O85" s="414">
        <f ca="1">IFERROR(AVERAGE(D85:N85),"")</f>
        <v>48046.392</v>
      </c>
      <c r="P85" s="366"/>
      <c r="Q85" s="366"/>
      <c r="R85" s="413"/>
      <c r="S85" s="366"/>
      <c r="T85" s="366"/>
      <c r="U85" s="366"/>
      <c r="V85" s="366"/>
      <c r="W85" s="366"/>
      <c r="X85" s="366"/>
      <c r="Y85" s="366"/>
      <c r="Z85" s="366"/>
      <c r="AA85" s="366"/>
      <c r="AB85" s="366"/>
      <c r="AC85" s="366"/>
      <c r="AD85" s="366"/>
      <c r="AE85" s="366"/>
      <c r="AF85" s="366"/>
      <c r="AG85" s="366"/>
      <c r="AH85" s="366"/>
      <c r="AI85" s="366"/>
      <c r="AJ85" s="366"/>
      <c r="AK85" s="366"/>
      <c r="AL85" s="366"/>
      <c r="AM85" s="366"/>
      <c r="AN85" s="366"/>
      <c r="AO85" s="366"/>
      <c r="AP85" s="366"/>
      <c r="AQ85" s="366"/>
      <c r="AR85" s="366"/>
      <c r="AS85" s="366"/>
      <c r="AT85" s="366"/>
      <c r="AU85" s="366"/>
      <c r="AV85" s="366"/>
      <c r="AW85" s="366"/>
      <c r="AX85" s="366"/>
      <c r="AY85" s="366"/>
      <c r="AZ85" s="366"/>
    </row>
    <row r="86" spans="1:52" s="346" customFormat="1" ht="3.75" customHeight="1" x14ac:dyDescent="0.3">
      <c r="A86" s="366"/>
      <c r="B86" s="366"/>
      <c r="C86" s="366"/>
      <c r="D86" s="366"/>
      <c r="E86" s="366"/>
      <c r="F86" s="366"/>
      <c r="G86" s="366"/>
      <c r="H86" s="366"/>
      <c r="I86" s="366"/>
      <c r="J86" s="366"/>
      <c r="K86" s="366"/>
      <c r="L86" s="366"/>
      <c r="M86" s="366"/>
      <c r="N86" s="366"/>
      <c r="O86" s="366"/>
      <c r="P86" s="366"/>
      <c r="Q86" s="366"/>
      <c r="R86" s="413"/>
      <c r="S86" s="366"/>
      <c r="T86" s="366"/>
      <c r="U86" s="366"/>
      <c r="V86" s="366"/>
      <c r="W86" s="366"/>
      <c r="X86" s="366"/>
      <c r="Y86" s="366"/>
      <c r="Z86" s="366"/>
      <c r="AA86" s="366"/>
      <c r="AB86" s="366"/>
      <c r="AC86" s="366"/>
      <c r="AD86" s="366"/>
      <c r="AE86" s="366"/>
      <c r="AF86" s="366"/>
      <c r="AG86" s="366"/>
      <c r="AH86" s="366"/>
      <c r="AI86" s="366"/>
      <c r="AJ86" s="366"/>
      <c r="AK86" s="366"/>
      <c r="AL86" s="366"/>
      <c r="AM86" s="366"/>
      <c r="AN86" s="366"/>
      <c r="AO86" s="366"/>
      <c r="AP86" s="366"/>
      <c r="AQ86" s="366"/>
      <c r="AR86" s="366"/>
      <c r="AS86" s="366"/>
      <c r="AT86" s="366"/>
      <c r="AU86" s="366"/>
      <c r="AV86" s="366"/>
      <c r="AW86" s="366"/>
      <c r="AX86" s="366"/>
      <c r="AY86" s="366"/>
      <c r="AZ86" s="366"/>
    </row>
    <row r="87" spans="1:52" s="349" customFormat="1" ht="14.25" customHeight="1" x14ac:dyDescent="0.3">
      <c r="A87" s="375"/>
      <c r="B87" s="569" t="s">
        <v>262</v>
      </c>
      <c r="C87" s="570"/>
      <c r="D87" s="569"/>
      <c r="E87" s="569"/>
      <c r="F87" s="569"/>
      <c r="G87" s="569"/>
      <c r="H87" s="569"/>
      <c r="I87" s="569"/>
      <c r="J87" s="569"/>
      <c r="K87" s="569"/>
      <c r="L87" s="569"/>
      <c r="M87" s="569"/>
      <c r="N87" s="569"/>
      <c r="O87" s="569"/>
      <c r="P87" s="375"/>
      <c r="Q87" s="375"/>
      <c r="R87" s="571"/>
      <c r="S87" s="375"/>
      <c r="T87" s="375"/>
      <c r="U87" s="375"/>
      <c r="V87" s="375"/>
      <c r="W87" s="375"/>
      <c r="X87" s="375"/>
      <c r="Y87" s="375"/>
      <c r="Z87" s="375"/>
      <c r="AA87" s="375"/>
      <c r="AB87" s="375"/>
      <c r="AC87" s="375"/>
      <c r="AD87" s="375"/>
      <c r="AE87" s="375"/>
      <c r="AF87" s="375"/>
      <c r="AG87" s="375"/>
      <c r="AH87" s="375"/>
      <c r="AI87" s="375"/>
      <c r="AJ87" s="375"/>
      <c r="AK87" s="375"/>
      <c r="AL87" s="375"/>
      <c r="AM87" s="375"/>
      <c r="AN87" s="375"/>
      <c r="AO87" s="375"/>
      <c r="AP87" s="375"/>
      <c r="AQ87" s="375"/>
      <c r="AR87" s="375"/>
      <c r="AS87" s="375"/>
      <c r="AT87" s="375"/>
      <c r="AU87" s="375"/>
      <c r="AV87" s="375"/>
      <c r="AW87" s="375"/>
      <c r="AX87" s="375"/>
      <c r="AY87" s="375"/>
      <c r="AZ87" s="375"/>
    </row>
    <row r="88" spans="1:52" s="346" customFormat="1" ht="3.75" customHeight="1" x14ac:dyDescent="0.3">
      <c r="A88" s="366"/>
      <c r="B88" s="401"/>
      <c r="C88" s="401"/>
      <c r="D88" s="401"/>
      <c r="E88" s="401"/>
      <c r="F88" s="401"/>
      <c r="G88" s="401"/>
      <c r="H88" s="401"/>
      <c r="I88" s="401"/>
      <c r="J88" s="401"/>
      <c r="K88" s="401"/>
      <c r="L88" s="401"/>
      <c r="M88" s="401"/>
      <c r="N88" s="401"/>
      <c r="O88" s="401"/>
      <c r="P88" s="366"/>
      <c r="Q88" s="366"/>
      <c r="R88" s="413"/>
      <c r="S88" s="366"/>
      <c r="T88" s="366"/>
      <c r="U88" s="366"/>
      <c r="V88" s="366"/>
      <c r="W88" s="366"/>
      <c r="X88" s="366"/>
      <c r="Y88" s="366"/>
      <c r="Z88" s="366"/>
      <c r="AA88" s="366"/>
      <c r="AB88" s="366"/>
      <c r="AC88" s="366"/>
      <c r="AD88" s="366"/>
      <c r="AE88" s="366"/>
      <c r="AF88" s="366"/>
      <c r="AG88" s="366"/>
      <c r="AH88" s="366"/>
      <c r="AI88" s="366"/>
      <c r="AJ88" s="366"/>
      <c r="AK88" s="366"/>
      <c r="AL88" s="366"/>
      <c r="AM88" s="366"/>
      <c r="AN88" s="366"/>
      <c r="AO88" s="366"/>
      <c r="AP88" s="366"/>
      <c r="AQ88" s="366"/>
      <c r="AR88" s="366"/>
      <c r="AS88" s="366"/>
      <c r="AT88" s="366"/>
      <c r="AU88" s="366"/>
      <c r="AV88" s="366"/>
      <c r="AW88" s="366"/>
      <c r="AX88" s="366"/>
      <c r="AY88" s="366"/>
      <c r="AZ88" s="366"/>
    </row>
    <row r="89" spans="1:52" s="346" customFormat="1" ht="14.25" customHeight="1" x14ac:dyDescent="0.3">
      <c r="A89" s="366"/>
      <c r="B89" s="366" t="s">
        <v>263</v>
      </c>
      <c r="C89" s="366"/>
      <c r="D89" s="366"/>
      <c r="E89" s="366"/>
      <c r="F89" s="366"/>
      <c r="G89" s="366"/>
      <c r="H89" s="366"/>
      <c r="I89" s="366"/>
      <c r="J89" s="366"/>
      <c r="K89" s="366"/>
      <c r="L89" s="366"/>
      <c r="M89" s="366"/>
      <c r="N89" s="366"/>
      <c r="O89" s="366"/>
      <c r="P89" s="366"/>
      <c r="Q89" s="366"/>
      <c r="R89" s="413"/>
      <c r="S89" s="366"/>
      <c r="T89" s="366"/>
      <c r="U89" s="366"/>
      <c r="V89" s="366"/>
      <c r="W89" s="366"/>
      <c r="X89" s="366"/>
      <c r="Y89" s="366"/>
      <c r="Z89" s="366"/>
      <c r="AA89" s="366"/>
      <c r="AB89" s="366"/>
      <c r="AC89" s="366"/>
      <c r="AD89" s="366"/>
      <c r="AE89" s="366"/>
      <c r="AF89" s="366"/>
      <c r="AG89" s="366"/>
      <c r="AH89" s="366"/>
      <c r="AI89" s="366"/>
      <c r="AJ89" s="366"/>
      <c r="AK89" s="366"/>
      <c r="AL89" s="366"/>
      <c r="AM89" s="366"/>
      <c r="AN89" s="366"/>
      <c r="AO89" s="366"/>
      <c r="AP89" s="366"/>
      <c r="AQ89" s="366"/>
      <c r="AR89" s="366"/>
      <c r="AS89" s="366"/>
      <c r="AT89" s="366"/>
      <c r="AU89" s="366"/>
      <c r="AV89" s="366"/>
      <c r="AW89" s="366"/>
      <c r="AX89" s="366"/>
      <c r="AY89" s="366"/>
      <c r="AZ89" s="366"/>
    </row>
    <row r="90" spans="1:52" s="346" customFormat="1" ht="14.25" customHeight="1" x14ac:dyDescent="0.3">
      <c r="A90" s="366"/>
      <c r="B90" s="366" t="s">
        <v>264</v>
      </c>
      <c r="C90" s="366"/>
      <c r="D90" s="366"/>
      <c r="E90" s="366"/>
      <c r="F90" s="366"/>
      <c r="G90" s="366"/>
      <c r="H90" s="366"/>
      <c r="I90" s="366"/>
      <c r="J90" s="366"/>
      <c r="K90" s="366"/>
      <c r="L90" s="366"/>
      <c r="M90" s="366"/>
      <c r="N90" s="366"/>
      <c r="O90" s="366"/>
      <c r="P90" s="366"/>
      <c r="Q90" s="366"/>
      <c r="R90" s="413"/>
      <c r="S90" s="366"/>
      <c r="T90" s="366"/>
      <c r="U90" s="366"/>
      <c r="V90" s="366"/>
      <c r="W90" s="366"/>
      <c r="X90" s="366"/>
      <c r="Y90" s="366"/>
      <c r="Z90" s="366"/>
      <c r="AA90" s="366"/>
      <c r="AB90" s="366"/>
      <c r="AC90" s="366"/>
      <c r="AD90" s="366"/>
      <c r="AE90" s="366"/>
      <c r="AF90" s="366"/>
      <c r="AG90" s="366"/>
      <c r="AH90" s="366"/>
      <c r="AI90" s="366"/>
      <c r="AJ90" s="366"/>
      <c r="AK90" s="366"/>
      <c r="AL90" s="366"/>
      <c r="AM90" s="366"/>
      <c r="AN90" s="366"/>
      <c r="AO90" s="366"/>
      <c r="AP90" s="366"/>
      <c r="AQ90" s="366"/>
      <c r="AR90" s="366"/>
      <c r="AS90" s="366"/>
      <c r="AT90" s="366"/>
      <c r="AU90" s="366"/>
      <c r="AV90" s="366"/>
      <c r="AW90" s="366"/>
      <c r="AX90" s="366"/>
      <c r="AY90" s="366"/>
      <c r="AZ90" s="366"/>
    </row>
    <row r="91" spans="1:52" s="346" customFormat="1" ht="14.25" customHeight="1" x14ac:dyDescent="0.3">
      <c r="A91" s="366"/>
      <c r="B91" s="366" t="s">
        <v>265</v>
      </c>
      <c r="C91" s="366"/>
      <c r="D91" s="366"/>
      <c r="E91" s="366"/>
      <c r="F91" s="366"/>
      <c r="G91" s="366"/>
      <c r="H91" s="366"/>
      <c r="I91" s="366"/>
      <c r="J91" s="366"/>
      <c r="K91" s="366"/>
      <c r="L91" s="366"/>
      <c r="M91" s="366"/>
      <c r="N91" s="366"/>
      <c r="O91" s="366"/>
      <c r="P91" s="366"/>
      <c r="Q91" s="366"/>
      <c r="R91" s="413"/>
      <c r="S91" s="366"/>
      <c r="T91" s="366"/>
      <c r="U91" s="366"/>
      <c r="V91" s="366"/>
      <c r="W91" s="366"/>
      <c r="X91" s="366"/>
      <c r="Y91" s="366"/>
      <c r="Z91" s="366"/>
      <c r="AA91" s="366"/>
      <c r="AB91" s="366"/>
      <c r="AC91" s="366"/>
      <c r="AD91" s="366"/>
      <c r="AE91" s="366"/>
      <c r="AF91" s="366"/>
      <c r="AG91" s="366"/>
      <c r="AH91" s="366"/>
      <c r="AI91" s="366"/>
      <c r="AJ91" s="366"/>
      <c r="AK91" s="366"/>
      <c r="AL91" s="366"/>
      <c r="AM91" s="366"/>
      <c r="AN91" s="366"/>
      <c r="AO91" s="366"/>
      <c r="AP91" s="366"/>
      <c r="AQ91" s="366"/>
      <c r="AR91" s="366"/>
      <c r="AS91" s="366"/>
      <c r="AT91" s="366"/>
      <c r="AU91" s="366"/>
      <c r="AV91" s="366"/>
      <c r="AW91" s="366"/>
      <c r="AX91" s="366"/>
      <c r="AY91" s="366"/>
      <c r="AZ91" s="366"/>
    </row>
    <row r="92" spans="1:52" s="346" customFormat="1" ht="5.25" customHeight="1" x14ac:dyDescent="0.3">
      <c r="A92" s="366"/>
      <c r="B92" s="366"/>
      <c r="C92" s="366"/>
      <c r="D92" s="366"/>
      <c r="E92" s="366"/>
      <c r="F92" s="366"/>
      <c r="G92" s="366"/>
      <c r="H92" s="366"/>
      <c r="I92" s="366"/>
      <c r="J92" s="366"/>
      <c r="K92" s="366"/>
      <c r="L92" s="366"/>
      <c r="M92" s="366"/>
      <c r="N92" s="366"/>
      <c r="O92" s="366"/>
      <c r="P92" s="366"/>
      <c r="Q92" s="366"/>
      <c r="R92" s="413"/>
      <c r="S92" s="366"/>
      <c r="T92" s="366"/>
      <c r="U92" s="366"/>
      <c r="V92" s="366"/>
      <c r="W92" s="366"/>
      <c r="X92" s="366"/>
      <c r="Y92" s="366"/>
      <c r="Z92" s="366"/>
      <c r="AA92" s="366"/>
      <c r="AB92" s="366"/>
      <c r="AC92" s="366"/>
      <c r="AD92" s="366"/>
      <c r="AE92" s="366"/>
      <c r="AF92" s="366"/>
      <c r="AG92" s="366"/>
      <c r="AH92" s="366"/>
      <c r="AI92" s="366"/>
      <c r="AJ92" s="366"/>
      <c r="AK92" s="366"/>
      <c r="AL92" s="366"/>
      <c r="AM92" s="366"/>
      <c r="AN92" s="366"/>
      <c r="AO92" s="366"/>
      <c r="AP92" s="366"/>
      <c r="AQ92" s="366"/>
      <c r="AR92" s="366"/>
      <c r="AS92" s="366"/>
      <c r="AT92" s="366"/>
      <c r="AU92" s="366"/>
      <c r="AV92" s="366"/>
      <c r="AW92" s="366"/>
      <c r="AX92" s="366"/>
      <c r="AY92" s="366"/>
      <c r="AZ92" s="366"/>
    </row>
    <row r="93" spans="1:52" s="346" customFormat="1" ht="24.75" customHeight="1" x14ac:dyDescent="0.3">
      <c r="A93" s="366"/>
      <c r="B93" s="418" t="s">
        <v>266</v>
      </c>
      <c r="C93" s="403"/>
      <c r="D93" s="352" t="e" vm="2">
        <f>+DCF!R4</f>
        <v>#VALUE!</v>
      </c>
      <c r="E93" s="353" t="e" vm="3">
        <v>#VALUE!</v>
      </c>
      <c r="F93" s="355" t="e" vm="4">
        <v>#VALUE!</v>
      </c>
      <c r="G93" s="624" t="e" vm="6">
        <v>#VALUE!</v>
      </c>
      <c r="H93" s="624" t="e" vm="8">
        <v>#VALUE!</v>
      </c>
      <c r="I93" s="624" t="s">
        <v>267</v>
      </c>
      <c r="J93" s="624" t="s">
        <v>268</v>
      </c>
      <c r="K93" s="624" t="s">
        <v>269</v>
      </c>
      <c r="L93" s="624" t="s">
        <v>270</v>
      </c>
      <c r="M93" s="624" t="s">
        <v>271</v>
      </c>
      <c r="N93" s="354" t="s">
        <v>272</v>
      </c>
      <c r="O93" s="366"/>
      <c r="P93" s="366"/>
      <c r="Q93" s="366"/>
      <c r="R93" s="413"/>
      <c r="S93" s="366"/>
      <c r="T93" s="366"/>
      <c r="U93" s="366"/>
      <c r="V93" s="366"/>
      <c r="W93" s="366"/>
      <c r="X93" s="366"/>
      <c r="Y93" s="366"/>
      <c r="Z93" s="366"/>
      <c r="AA93" s="366"/>
      <c r="AB93" s="366"/>
      <c r="AC93" s="366"/>
      <c r="AD93" s="366"/>
      <c r="AE93" s="366"/>
      <c r="AF93" s="366"/>
      <c r="AG93" s="366"/>
      <c r="AH93" s="366"/>
      <c r="AI93" s="366"/>
      <c r="AJ93" s="366"/>
      <c r="AK93" s="366"/>
      <c r="AL93" s="366"/>
      <c r="AM93" s="366"/>
      <c r="AN93" s="366"/>
      <c r="AO93" s="366"/>
      <c r="AP93" s="366"/>
      <c r="AQ93" s="366"/>
      <c r="AR93" s="366"/>
      <c r="AS93" s="366"/>
      <c r="AT93" s="366"/>
      <c r="AU93" s="366"/>
      <c r="AV93" s="366"/>
      <c r="AW93" s="366"/>
      <c r="AX93" s="366"/>
      <c r="AY93" s="366"/>
      <c r="AZ93" s="366"/>
    </row>
    <row r="94" spans="1:52" s="346" customFormat="1" ht="3.75" customHeight="1" x14ac:dyDescent="0.3">
      <c r="A94" s="366"/>
      <c r="B94" s="419"/>
      <c r="C94" s="407"/>
      <c r="D94" s="356"/>
      <c r="E94" s="357"/>
      <c r="F94" s="359"/>
      <c r="G94" s="619"/>
      <c r="H94" s="625"/>
      <c r="I94" s="625"/>
      <c r="J94" s="625"/>
      <c r="K94" s="625"/>
      <c r="L94" s="625"/>
      <c r="M94" s="625"/>
      <c r="N94" s="358"/>
      <c r="O94" s="366"/>
      <c r="P94" s="366"/>
      <c r="Q94" s="366"/>
      <c r="R94" s="413"/>
      <c r="S94" s="366"/>
      <c r="T94" s="366"/>
      <c r="U94" s="366"/>
      <c r="V94" s="366"/>
      <c r="W94" s="366"/>
      <c r="X94" s="366"/>
      <c r="Y94" s="366"/>
      <c r="Z94" s="366"/>
      <c r="AA94" s="366"/>
      <c r="AB94" s="366"/>
      <c r="AC94" s="366"/>
      <c r="AD94" s="366"/>
      <c r="AE94" s="366"/>
      <c r="AF94" s="366"/>
      <c r="AG94" s="366"/>
      <c r="AH94" s="366"/>
      <c r="AI94" s="366"/>
      <c r="AJ94" s="366"/>
      <c r="AK94" s="366"/>
      <c r="AL94" s="366"/>
      <c r="AM94" s="366"/>
      <c r="AN94" s="366"/>
      <c r="AO94" s="366"/>
      <c r="AP94" s="366"/>
      <c r="AQ94" s="366"/>
      <c r="AR94" s="366"/>
      <c r="AS94" s="366"/>
      <c r="AT94" s="366"/>
      <c r="AU94" s="366"/>
      <c r="AV94" s="366"/>
      <c r="AW94" s="366"/>
      <c r="AX94" s="366"/>
      <c r="AY94" s="366"/>
      <c r="AZ94" s="366"/>
    </row>
    <row r="95" spans="1:52" s="346" customFormat="1" ht="14.25" customHeight="1" x14ac:dyDescent="0.3">
      <c r="A95" s="366"/>
      <c r="B95" s="420" t="str">
        <f>+Inputs!$B$6&amp;" ("&amp;Inputs!O$4&amp;")"</f>
        <v>Revenue (Sales) (2022)</v>
      </c>
      <c r="C95" s="421"/>
      <c r="D95" s="422">
        <f>+_xlfn.XLOOKUP("Revenue (Sales)",Inputs!$B:$B,Inputs!O:O)</f>
        <v>44621.599999999999</v>
      </c>
      <c r="E95" s="762">
        <f>+'Samsung IS'!B6</f>
        <v>302231.40000000002</v>
      </c>
      <c r="F95" s="766">
        <f>+'Micron IS'!B6</f>
        <v>37846.699999999997</v>
      </c>
      <c r="G95" s="767">
        <f>+'Kioxia IS'!B6</f>
        <v>15861.9</v>
      </c>
      <c r="H95" s="803">
        <f>+'WDC IS'!J6 /1000</f>
        <v>22609.7</v>
      </c>
      <c r="I95" s="626"/>
      <c r="J95" s="626"/>
      <c r="K95" s="626"/>
      <c r="L95" s="626"/>
      <c r="M95" s="626"/>
      <c r="N95" s="423"/>
      <c r="O95" s="366"/>
      <c r="P95" s="366"/>
      <c r="Q95" s="366"/>
      <c r="R95" s="413"/>
      <c r="S95" s="366"/>
      <c r="T95" s="366"/>
      <c r="U95" s="366"/>
      <c r="V95" s="366"/>
      <c r="W95" s="366"/>
      <c r="X95" s="366"/>
      <c r="Y95" s="366"/>
      <c r="Z95" s="366"/>
      <c r="AA95" s="366"/>
      <c r="AB95" s="366"/>
      <c r="AC95" s="366"/>
      <c r="AD95" s="366"/>
      <c r="AE95" s="366"/>
      <c r="AF95" s="366"/>
      <c r="AG95" s="366"/>
      <c r="AH95" s="366"/>
      <c r="AI95" s="366"/>
      <c r="AJ95" s="366"/>
      <c r="AK95" s="366"/>
      <c r="AL95" s="366"/>
      <c r="AM95" s="366"/>
      <c r="AN95" s="366"/>
      <c r="AO95" s="366"/>
      <c r="AP95" s="366"/>
      <c r="AQ95" s="366"/>
      <c r="AR95" s="366"/>
      <c r="AS95" s="366"/>
      <c r="AT95" s="366"/>
      <c r="AU95" s="366"/>
      <c r="AV95" s="366"/>
      <c r="AW95" s="366"/>
      <c r="AX95" s="366"/>
      <c r="AY95" s="366"/>
      <c r="AZ95" s="366"/>
    </row>
    <row r="96" spans="1:52" s="346" customFormat="1" ht="14.25" customHeight="1" x14ac:dyDescent="0.3">
      <c r="A96" s="366"/>
      <c r="B96" s="424" t="str">
        <f>+Inputs!$B$6&amp;" ("&amp;Inputs!P$4&amp;")"</f>
        <v>Revenue (Sales) (2023)</v>
      </c>
      <c r="C96" s="366"/>
      <c r="D96" s="425">
        <f>+_xlfn.XLOOKUP("Revenue (Sales)",Inputs!$B:$B,Inputs!P:P)</f>
        <v>32765.7</v>
      </c>
      <c r="E96" s="763">
        <f>+'Samsung IS'!C6</f>
        <v>258935.5</v>
      </c>
      <c r="F96" s="768">
        <f>+'Micron IS'!C6</f>
        <v>20534.2</v>
      </c>
      <c r="G96" s="769">
        <f>+'Kioxia IS'!C6</f>
        <v>12397.2</v>
      </c>
      <c r="H96" s="804">
        <f>+'WDC IS'!K6/1000</f>
        <v>16299.7</v>
      </c>
      <c r="I96" s="627"/>
      <c r="J96" s="627"/>
      <c r="K96" s="627"/>
      <c r="L96" s="627"/>
      <c r="M96" s="627"/>
      <c r="N96" s="426"/>
      <c r="O96" s="366"/>
      <c r="P96" s="366"/>
      <c r="Q96" s="366"/>
      <c r="R96" s="413"/>
      <c r="S96" s="366"/>
      <c r="T96" s="366"/>
      <c r="U96" s="366"/>
      <c r="V96" s="366"/>
      <c r="W96" s="366"/>
      <c r="X96" s="366"/>
      <c r="Y96" s="366"/>
      <c r="Z96" s="366"/>
      <c r="AA96" s="366"/>
      <c r="AB96" s="366"/>
      <c r="AC96" s="366"/>
      <c r="AD96" s="366"/>
      <c r="AE96" s="366"/>
      <c r="AF96" s="366"/>
      <c r="AG96" s="366"/>
      <c r="AH96" s="366"/>
      <c r="AI96" s="366"/>
      <c r="AJ96" s="366"/>
      <c r="AK96" s="366"/>
      <c r="AL96" s="366"/>
      <c r="AM96" s="366"/>
      <c r="AN96" s="366"/>
      <c r="AO96" s="366"/>
      <c r="AP96" s="366"/>
      <c r="AQ96" s="366"/>
      <c r="AR96" s="366"/>
      <c r="AS96" s="366"/>
      <c r="AT96" s="366"/>
      <c r="AU96" s="366"/>
      <c r="AV96" s="366"/>
      <c r="AW96" s="366"/>
      <c r="AX96" s="366"/>
      <c r="AY96" s="366"/>
      <c r="AZ96" s="366"/>
    </row>
    <row r="97" spans="1:52" s="346" customFormat="1" ht="14.25" customHeight="1" x14ac:dyDescent="0.3">
      <c r="A97" s="366"/>
      <c r="B97" s="424" t="s">
        <v>273</v>
      </c>
      <c r="C97" s="366"/>
      <c r="D97" s="425">
        <f>+_xlfn.XLOOKUP("EBITDA",Inputs!$B:$B,Inputs!P:P)</f>
        <v>-7143.2999999999956</v>
      </c>
      <c r="E97" s="763">
        <f>+'Samsung IS'!C67</f>
        <v>45233.5</v>
      </c>
      <c r="F97" s="768">
        <f>+'Micron IS'!C67</f>
        <v>3258.5</v>
      </c>
      <c r="G97" s="769">
        <f>+'Kioxia IS'!C66</f>
        <v>3103.9</v>
      </c>
      <c r="H97" s="804">
        <f>+'WDC IS'!K67/1000</f>
        <v>-202.45599999999999</v>
      </c>
      <c r="I97" s="627"/>
      <c r="J97" s="627"/>
      <c r="K97" s="627"/>
      <c r="L97" s="627"/>
      <c r="M97" s="627"/>
      <c r="N97" s="426"/>
      <c r="O97" s="366"/>
      <c r="P97" s="366"/>
      <c r="Q97" s="366"/>
      <c r="R97" s="413"/>
      <c r="S97" s="366"/>
      <c r="T97" s="366"/>
      <c r="U97" s="366"/>
      <c r="V97" s="366"/>
      <c r="W97" s="366"/>
      <c r="X97" s="366"/>
      <c r="Y97" s="366"/>
      <c r="Z97" s="366"/>
      <c r="AA97" s="366"/>
      <c r="AB97" s="366"/>
      <c r="AC97" s="366"/>
      <c r="AD97" s="366"/>
      <c r="AE97" s="366"/>
      <c r="AF97" s="366"/>
      <c r="AG97" s="366"/>
      <c r="AH97" s="366"/>
      <c r="AI97" s="366"/>
      <c r="AJ97" s="366"/>
      <c r="AK97" s="366"/>
      <c r="AL97" s="366"/>
      <c r="AM97" s="366"/>
      <c r="AN97" s="366"/>
      <c r="AO97" s="366"/>
      <c r="AP97" s="366"/>
      <c r="AQ97" s="366"/>
      <c r="AR97" s="366"/>
      <c r="AS97" s="366"/>
      <c r="AT97" s="366"/>
      <c r="AU97" s="366"/>
      <c r="AV97" s="366"/>
      <c r="AW97" s="366"/>
      <c r="AX97" s="366"/>
      <c r="AY97" s="366"/>
      <c r="AZ97" s="366"/>
    </row>
    <row r="98" spans="1:52" s="346" customFormat="1" ht="14.25" customHeight="1" x14ac:dyDescent="0.3">
      <c r="A98" s="366"/>
      <c r="B98" s="420" t="s">
        <v>274</v>
      </c>
      <c r="C98" s="421"/>
      <c r="D98" s="422">
        <f>+_xlfn.XLOOKUP("Net Income",Inputs!$B:$B,Inputs!P:P)</f>
        <v>-9137.5999999999949</v>
      </c>
      <c r="E98" s="762">
        <f>+'Samsung IS'!C46</f>
        <v>14473.4</v>
      </c>
      <c r="F98" s="766">
        <f>+'Micron IS'!C46</f>
        <v>-7707.6</v>
      </c>
      <c r="G98" s="767">
        <f>+'Kioxia IS'!C45</f>
        <v>-1335.8</v>
      </c>
      <c r="H98" s="803">
        <f>+'WDC IS'!K46/1000</f>
        <v>-2228.3000000000002</v>
      </c>
      <c r="I98" s="626"/>
      <c r="J98" s="626"/>
      <c r="K98" s="626"/>
      <c r="L98" s="626"/>
      <c r="M98" s="626"/>
      <c r="N98" s="423"/>
      <c r="O98" s="366"/>
      <c r="P98" s="366"/>
      <c r="Q98" s="366"/>
      <c r="R98" s="413"/>
      <c r="S98" s="366"/>
      <c r="T98" s="366"/>
      <c r="U98" s="366"/>
      <c r="V98" s="366"/>
      <c r="W98" s="366"/>
      <c r="X98" s="366"/>
      <c r="Y98" s="366"/>
      <c r="Z98" s="366"/>
      <c r="AA98" s="366"/>
      <c r="AB98" s="366"/>
      <c r="AC98" s="366"/>
      <c r="AD98" s="366"/>
      <c r="AE98" s="366"/>
      <c r="AF98" s="366"/>
      <c r="AG98" s="366"/>
      <c r="AH98" s="366"/>
      <c r="AI98" s="366"/>
      <c r="AJ98" s="366"/>
      <c r="AK98" s="366"/>
      <c r="AL98" s="366"/>
      <c r="AM98" s="366"/>
      <c r="AN98" s="366"/>
      <c r="AO98" s="366"/>
      <c r="AP98" s="366"/>
      <c r="AQ98" s="366"/>
      <c r="AR98" s="366"/>
      <c r="AS98" s="366"/>
      <c r="AT98" s="366"/>
      <c r="AU98" s="366"/>
      <c r="AV98" s="366"/>
      <c r="AW98" s="366"/>
      <c r="AX98" s="366"/>
      <c r="AY98" s="366"/>
      <c r="AZ98" s="366"/>
    </row>
    <row r="99" spans="1:52" s="346" customFormat="1" ht="14.25" customHeight="1" x14ac:dyDescent="0.3">
      <c r="A99" s="366"/>
      <c r="B99" s="424" t="str">
        <f>+Inputs!$B$6&amp;" ("&amp;Inputs!Q$4&amp;")"</f>
        <v>Revenue (Sales) (2024)</v>
      </c>
      <c r="C99" s="366"/>
      <c r="D99" s="425">
        <f>+_xlfn.XLOOKUP("Revenue (Sales)",Inputs!$B:$B,Inputs!Q:Q)</f>
        <v>66193</v>
      </c>
      <c r="E99" s="764">
        <f>+'Samsung IS'!D6</f>
        <v>300870.90000000002</v>
      </c>
      <c r="F99" s="768">
        <f>+'Micron IS'!D6</f>
        <v>33766.9</v>
      </c>
      <c r="G99" s="770">
        <f>+'Kioxia IS'!D6</f>
        <v>9841.7999999999993</v>
      </c>
      <c r="H99" s="765">
        <f>+'WDC IS'!L6/1000</f>
        <v>17344.599999999999</v>
      </c>
      <c r="I99" s="627"/>
      <c r="J99" s="627"/>
      <c r="K99" s="627"/>
      <c r="L99" s="627"/>
      <c r="M99" s="627"/>
      <c r="N99" s="426"/>
      <c r="O99" s="366"/>
      <c r="P99" s="366"/>
      <c r="Q99" s="366"/>
      <c r="R99" s="413"/>
      <c r="S99" s="366"/>
      <c r="T99" s="366"/>
      <c r="U99" s="366"/>
      <c r="V99" s="366"/>
      <c r="W99" s="366"/>
      <c r="X99" s="366"/>
      <c r="Y99" s="366"/>
      <c r="Z99" s="366"/>
      <c r="AA99" s="366"/>
      <c r="AB99" s="366"/>
      <c r="AC99" s="366"/>
      <c r="AD99" s="366"/>
      <c r="AE99" s="366"/>
      <c r="AF99" s="366"/>
      <c r="AG99" s="366"/>
      <c r="AH99" s="366"/>
      <c r="AI99" s="366"/>
      <c r="AJ99" s="366"/>
      <c r="AK99" s="366"/>
      <c r="AL99" s="366"/>
      <c r="AM99" s="366"/>
      <c r="AN99" s="366"/>
      <c r="AO99" s="366"/>
      <c r="AP99" s="366"/>
      <c r="AQ99" s="366"/>
      <c r="AR99" s="366"/>
      <c r="AS99" s="366"/>
      <c r="AT99" s="366"/>
      <c r="AU99" s="366"/>
      <c r="AV99" s="366"/>
      <c r="AW99" s="366"/>
      <c r="AX99" s="366"/>
      <c r="AY99" s="366"/>
      <c r="AZ99" s="366"/>
    </row>
    <row r="100" spans="1:52" s="346" customFormat="1" ht="14.25" customHeight="1" x14ac:dyDescent="0.3">
      <c r="A100" s="366"/>
      <c r="B100" s="427" t="s">
        <v>275</v>
      </c>
      <c r="C100" s="366"/>
      <c r="D100" s="425">
        <f>+_xlfn.XLOOKUP($B100,Inputs!$B:$B,Inputs!Q:Q)</f>
        <v>34364.800000000003</v>
      </c>
      <c r="E100" s="763">
        <f>+'Samsung IS'!D8</f>
        <v>186562.3</v>
      </c>
      <c r="F100" s="768">
        <f>+'Micron IS'!D8</f>
        <v>26243.3</v>
      </c>
      <c r="G100" s="769">
        <f>+'Kioxia IS'!D8</f>
        <v>11024.2</v>
      </c>
      <c r="H100" s="804">
        <f>+'WDC IS'!L8/1000</f>
        <v>13416.2</v>
      </c>
      <c r="I100" s="627"/>
      <c r="J100" s="627"/>
      <c r="K100" s="627"/>
      <c r="L100" s="627"/>
      <c r="M100" s="627"/>
      <c r="N100" s="426"/>
      <c r="O100" s="366"/>
      <c r="P100" s="366"/>
      <c r="Q100" s="366"/>
      <c r="R100" s="413"/>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6"/>
      <c r="AN100" s="366"/>
      <c r="AO100" s="366"/>
      <c r="AP100" s="366"/>
      <c r="AQ100" s="366"/>
      <c r="AR100" s="366"/>
      <c r="AS100" s="366"/>
      <c r="AT100" s="366"/>
      <c r="AU100" s="366"/>
      <c r="AV100" s="366"/>
      <c r="AW100" s="366"/>
      <c r="AX100" s="366"/>
      <c r="AY100" s="366"/>
      <c r="AZ100" s="366"/>
    </row>
    <row r="101" spans="1:52" s="346" customFormat="1" ht="14.25" customHeight="1" x14ac:dyDescent="0.3">
      <c r="A101" s="366"/>
      <c r="B101" s="428" t="s">
        <v>276</v>
      </c>
      <c r="C101" s="366"/>
      <c r="D101" s="425">
        <f>+_xlfn.XLOOKUP($B101,Inputs!$B:$B,Inputs!Q:Q)</f>
        <v>31828.199999999997</v>
      </c>
      <c r="E101" s="429">
        <f>+E99-E100</f>
        <v>114308.60000000003</v>
      </c>
      <c r="F101" s="430">
        <f>+F99-F100</f>
        <v>7523.6000000000022</v>
      </c>
      <c r="G101" s="621">
        <f>G99-G100</f>
        <v>-1182.4000000000015</v>
      </c>
      <c r="H101" s="628">
        <f>+H99-H100</f>
        <v>3928.3999999999978</v>
      </c>
      <c r="I101" s="631">
        <f>I99-I100</f>
        <v>0</v>
      </c>
      <c r="J101" s="631">
        <f>+J99-J100</f>
        <v>0</v>
      </c>
      <c r="K101" s="631">
        <f>+K99-K100</f>
        <v>0</v>
      </c>
      <c r="L101" s="631">
        <f>+L99-L100</f>
        <v>0</v>
      </c>
      <c r="M101" s="631">
        <f>+M99-M100</f>
        <v>0</v>
      </c>
      <c r="N101" s="431">
        <f>+N99-N100</f>
        <v>0</v>
      </c>
      <c r="O101" s="387"/>
      <c r="P101" s="387"/>
      <c r="Q101" s="387"/>
      <c r="R101" s="107"/>
      <c r="S101" s="366"/>
      <c r="T101" s="366"/>
      <c r="U101" s="366"/>
      <c r="V101" s="366"/>
      <c r="W101" s="366"/>
      <c r="X101" s="366"/>
      <c r="Y101" s="366"/>
      <c r="Z101" s="366"/>
      <c r="AA101" s="366"/>
      <c r="AB101" s="366"/>
      <c r="AC101" s="366"/>
      <c r="AD101" s="366"/>
      <c r="AE101" s="366"/>
      <c r="AF101" s="366"/>
      <c r="AG101" s="366"/>
      <c r="AH101" s="366"/>
      <c r="AI101" s="366"/>
      <c r="AJ101" s="366"/>
      <c r="AK101" s="366"/>
      <c r="AL101" s="366"/>
      <c r="AM101" s="366"/>
      <c r="AN101" s="366"/>
      <c r="AO101" s="366"/>
      <c r="AP101" s="366"/>
      <c r="AQ101" s="366"/>
      <c r="AR101" s="366"/>
      <c r="AS101" s="366"/>
      <c r="AT101" s="366"/>
      <c r="AU101" s="366"/>
      <c r="AV101" s="366"/>
      <c r="AW101" s="366"/>
      <c r="AX101" s="366"/>
      <c r="AY101" s="366"/>
      <c r="AZ101" s="366"/>
    </row>
    <row r="102" spans="1:52" s="346" customFormat="1" ht="14.25" customHeight="1" x14ac:dyDescent="0.3">
      <c r="A102" s="366"/>
      <c r="B102" s="427" t="s">
        <v>216</v>
      </c>
      <c r="C102" s="366"/>
      <c r="D102" s="425">
        <f>+_xlfn.XLOOKUP($B102,Inputs!$B:$B,Inputs!Q:Q)</f>
        <v>24026.999999999996</v>
      </c>
      <c r="E102" s="764">
        <f>+'Samsung IS'!D67</f>
        <v>75356.800000000003</v>
      </c>
      <c r="F102" s="771">
        <f>+'Micron IS'!D67</f>
        <v>12080.8</v>
      </c>
      <c r="G102" s="770">
        <f>+'Kioxia IS'!D66</f>
        <v>736.6</v>
      </c>
      <c r="H102" s="765">
        <f>+'WDC IS'!L67/1000</f>
        <v>1267.2</v>
      </c>
      <c r="I102" s="616"/>
      <c r="J102" s="616"/>
      <c r="K102" s="616"/>
      <c r="L102" s="616"/>
      <c r="M102" s="616"/>
      <c r="N102" s="426"/>
      <c r="O102" s="366"/>
      <c r="P102" s="366"/>
      <c r="Q102" s="366"/>
      <c r="R102" s="366"/>
      <c r="S102" s="366"/>
      <c r="T102" s="366"/>
      <c r="U102" s="366"/>
      <c r="V102" s="366"/>
      <c r="W102" s="366"/>
      <c r="X102" s="366"/>
      <c r="Y102" s="366"/>
      <c r="Z102" s="366"/>
      <c r="AA102" s="366"/>
      <c r="AB102" s="366"/>
      <c r="AC102" s="366"/>
      <c r="AD102" s="366"/>
      <c r="AE102" s="366"/>
      <c r="AF102" s="366"/>
      <c r="AG102" s="366"/>
      <c r="AH102" s="366"/>
      <c r="AI102" s="366"/>
      <c r="AJ102" s="366"/>
      <c r="AK102" s="366"/>
      <c r="AL102" s="366"/>
      <c r="AM102" s="366"/>
      <c r="AN102" s="366"/>
      <c r="AO102" s="366"/>
      <c r="AP102" s="366"/>
      <c r="AQ102" s="366"/>
      <c r="AR102" s="366"/>
      <c r="AS102" s="366"/>
      <c r="AT102" s="366"/>
      <c r="AU102" s="366"/>
      <c r="AV102" s="366"/>
      <c r="AW102" s="366"/>
      <c r="AX102" s="366"/>
      <c r="AY102" s="366"/>
      <c r="AZ102" s="366"/>
    </row>
    <row r="103" spans="1:52" s="346" customFormat="1" ht="14.25" customHeight="1" x14ac:dyDescent="0.3">
      <c r="A103" s="366"/>
      <c r="B103" s="427" t="s">
        <v>277</v>
      </c>
      <c r="C103" s="366"/>
      <c r="D103" s="425">
        <f>+_xlfn.XLOOKUP($B103,Inputs!$B:$B,Inputs!Q:Q)</f>
        <v>23467.399999999998</v>
      </c>
      <c r="E103" s="764">
        <f>+'Samsung IS'!D70</f>
        <v>32726</v>
      </c>
      <c r="F103" s="771">
        <f>+'Micron IS'!D16</f>
        <v>1430.8</v>
      </c>
      <c r="G103" s="770">
        <f>+'Kioxia IS'!D19</f>
        <v>-2427</v>
      </c>
      <c r="H103" s="765">
        <f>+'WDC IS'!L16/1000</f>
        <v>424.17700000000002</v>
      </c>
      <c r="I103" s="616"/>
      <c r="J103" s="616"/>
      <c r="K103" s="616"/>
      <c r="L103" s="616"/>
      <c r="M103" s="616"/>
      <c r="N103" s="426"/>
      <c r="O103" s="366"/>
      <c r="P103" s="366"/>
      <c r="Q103" s="366"/>
      <c r="R103" s="366"/>
      <c r="S103" s="366"/>
      <c r="T103" s="366"/>
      <c r="U103" s="366"/>
      <c r="V103" s="366"/>
      <c r="W103" s="366"/>
      <c r="X103" s="366"/>
      <c r="Y103" s="366"/>
      <c r="Z103" s="366"/>
      <c r="AA103" s="366"/>
      <c r="AB103" s="366"/>
      <c r="AC103" s="366"/>
      <c r="AD103" s="366"/>
      <c r="AE103" s="366"/>
      <c r="AF103" s="366"/>
      <c r="AG103" s="366"/>
      <c r="AH103" s="366"/>
      <c r="AI103" s="366"/>
      <c r="AJ103" s="366"/>
      <c r="AK103" s="366"/>
      <c r="AL103" s="366"/>
      <c r="AM103" s="366"/>
      <c r="AN103" s="366"/>
      <c r="AO103" s="366"/>
      <c r="AP103" s="366"/>
      <c r="AQ103" s="366"/>
      <c r="AR103" s="366"/>
      <c r="AS103" s="366"/>
      <c r="AT103" s="366"/>
      <c r="AU103" s="366"/>
      <c r="AV103" s="366"/>
      <c r="AW103" s="366"/>
      <c r="AX103" s="366"/>
      <c r="AY103" s="366"/>
      <c r="AZ103" s="366"/>
    </row>
    <row r="104" spans="1:52" s="346" customFormat="1" ht="14.25" customHeight="1" x14ac:dyDescent="0.3">
      <c r="A104" s="366"/>
      <c r="B104" s="427" t="s">
        <v>278</v>
      </c>
      <c r="C104" s="366"/>
      <c r="D104" s="425">
        <f>+_xlfn.XLOOKUP($B104,Inputs!$B:$B,Inputs!Q:Q)</f>
        <v>1000.4000000000001</v>
      </c>
      <c r="E104" s="764">
        <f>+'Samsung IS'!D22</f>
        <v>-3915.2</v>
      </c>
      <c r="F104" s="771">
        <f>+'Micron IS'!D18</f>
        <v>44.4</v>
      </c>
      <c r="G104" s="770">
        <f>+'Kioxia IS'!D21</f>
        <v>438.4</v>
      </c>
      <c r="H104" s="765">
        <f>+'WDC IS'!L18/1000</f>
        <v>504.21</v>
      </c>
      <c r="I104" s="616"/>
      <c r="J104" s="616"/>
      <c r="K104" s="616"/>
      <c r="L104" s="632"/>
      <c r="M104" s="632"/>
      <c r="N104" s="432"/>
      <c r="O104" s="366"/>
      <c r="P104" s="366"/>
      <c r="Q104" s="366"/>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c r="AM104" s="366"/>
      <c r="AN104" s="366"/>
      <c r="AO104" s="366"/>
      <c r="AP104" s="366"/>
      <c r="AQ104" s="366"/>
      <c r="AR104" s="366"/>
      <c r="AS104" s="366"/>
      <c r="AT104" s="366"/>
      <c r="AU104" s="366"/>
      <c r="AV104" s="366"/>
      <c r="AW104" s="366"/>
      <c r="AX104" s="366"/>
      <c r="AY104" s="366"/>
      <c r="AZ104" s="366"/>
    </row>
    <row r="105" spans="1:52" s="346" customFormat="1" ht="14.25" customHeight="1" x14ac:dyDescent="0.3">
      <c r="A105" s="366"/>
      <c r="B105" s="427" t="s">
        <v>279</v>
      </c>
      <c r="C105" s="366"/>
      <c r="D105" s="425">
        <f>+_xlfn.XLOOKUP($B105,Inputs!$B:$B,Inputs!Q:Q)</f>
        <v>23885.499999999996</v>
      </c>
      <c r="E105" s="764">
        <f>+'Samsung IS'!D35</f>
        <v>37529.699999999997</v>
      </c>
      <c r="F105" s="771">
        <f>+'Micron IS'!D35</f>
        <v>1667.4</v>
      </c>
      <c r="G105" s="770">
        <f>+'Kioxia IS'!D35</f>
        <v>-3138.6</v>
      </c>
      <c r="H105" s="765">
        <f>'WDC IS'!L35/1000</f>
        <v>-881.7</v>
      </c>
      <c r="I105" s="616"/>
      <c r="J105" s="616"/>
      <c r="K105" s="616"/>
      <c r="L105" s="616"/>
      <c r="M105" s="616"/>
      <c r="N105" s="426"/>
      <c r="O105" s="366"/>
      <c r="P105" s="366"/>
      <c r="Q105" s="366"/>
      <c r="R105" s="366"/>
      <c r="S105" s="366"/>
      <c r="T105" s="366"/>
      <c r="U105" s="366"/>
      <c r="V105" s="366"/>
      <c r="W105" s="366"/>
      <c r="X105" s="366"/>
      <c r="Y105" s="366"/>
      <c r="Z105" s="366"/>
      <c r="AA105" s="366"/>
      <c r="AB105" s="366"/>
      <c r="AC105" s="366"/>
      <c r="AD105" s="366"/>
      <c r="AE105" s="366"/>
      <c r="AF105" s="366"/>
      <c r="AG105" s="366"/>
      <c r="AH105" s="366"/>
      <c r="AI105" s="366"/>
      <c r="AJ105" s="366"/>
      <c r="AK105" s="366"/>
      <c r="AL105" s="366"/>
      <c r="AM105" s="366"/>
      <c r="AN105" s="366"/>
      <c r="AO105" s="366"/>
      <c r="AP105" s="366"/>
      <c r="AQ105" s="366"/>
      <c r="AR105" s="366"/>
      <c r="AS105" s="366"/>
      <c r="AT105" s="366"/>
      <c r="AU105" s="366"/>
      <c r="AV105" s="366"/>
      <c r="AW105" s="366"/>
      <c r="AX105" s="366"/>
      <c r="AY105" s="366"/>
      <c r="AZ105" s="366"/>
    </row>
    <row r="106" spans="1:52" s="346" customFormat="1" ht="14.25" customHeight="1" x14ac:dyDescent="0.3">
      <c r="A106" s="366"/>
      <c r="B106" s="427" t="s">
        <v>280</v>
      </c>
      <c r="C106" s="366"/>
      <c r="D106" s="425">
        <f>+_xlfn.XLOOKUP($B106,Inputs!$B:$B,Inputs!Q:Q)</f>
        <v>4088.4</v>
      </c>
      <c r="E106" s="764">
        <f>+'Samsung IS'!D36</f>
        <v>3078.4</v>
      </c>
      <c r="F106" s="771">
        <f>+'Micron IS'!D36</f>
        <v>606.5</v>
      </c>
      <c r="G106" s="770">
        <f>+'Kioxia IS'!D36</f>
        <v>-910.6</v>
      </c>
      <c r="H106" s="765">
        <f>+'WDC IS'!L36/1000</f>
        <v>182.74299999999999</v>
      </c>
      <c r="I106" s="616"/>
      <c r="J106" s="616"/>
      <c r="K106" s="616"/>
      <c r="L106" s="616"/>
      <c r="M106" s="616"/>
      <c r="N106" s="426"/>
      <c r="O106" s="366"/>
      <c r="P106" s="366"/>
      <c r="Q106" s="366"/>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6"/>
      <c r="AN106" s="366"/>
      <c r="AO106" s="366"/>
      <c r="AP106" s="366"/>
      <c r="AQ106" s="366"/>
      <c r="AR106" s="366"/>
      <c r="AS106" s="366"/>
      <c r="AT106" s="366"/>
      <c r="AU106" s="366"/>
      <c r="AV106" s="366"/>
      <c r="AW106" s="366"/>
      <c r="AX106" s="366"/>
      <c r="AY106" s="366"/>
      <c r="AZ106" s="366"/>
    </row>
    <row r="107" spans="1:52" s="346" customFormat="1" ht="14.25" customHeight="1" x14ac:dyDescent="0.3">
      <c r="A107" s="366"/>
      <c r="B107" s="427" t="s">
        <v>281</v>
      </c>
      <c r="C107" s="366"/>
      <c r="D107" s="425">
        <f>+_xlfn.XLOOKUP($B107,Inputs!$B:$B,Inputs!Q:Q)</f>
        <v>19797.099999999995</v>
      </c>
      <c r="E107" s="764">
        <f>+'Samsung IS'!D46</f>
        <v>33621.4</v>
      </c>
      <c r="F107" s="771">
        <f>+'Micron IS'!D46</f>
        <v>1046.2</v>
      </c>
      <c r="G107" s="770">
        <f>+'Kioxia IS'!D45</f>
        <v>-2228.1</v>
      </c>
      <c r="H107" s="765">
        <f>+'WDC IS'!L46/1000</f>
        <v>-1064.4000000000001</v>
      </c>
      <c r="I107" s="616"/>
      <c r="J107" s="616"/>
      <c r="K107" s="616"/>
      <c r="L107" s="616"/>
      <c r="M107" s="616"/>
      <c r="N107" s="426"/>
      <c r="O107" s="366"/>
      <c r="P107" s="366"/>
      <c r="Q107" s="366"/>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row>
    <row r="108" spans="1:52" s="346" customFormat="1" ht="14.25" customHeight="1" x14ac:dyDescent="0.3">
      <c r="A108" s="366"/>
      <c r="B108" s="427" t="s">
        <v>282</v>
      </c>
      <c r="C108" s="366"/>
      <c r="D108" s="425">
        <f>+_xlfn.XLOOKUP($B108,Inputs!$B:$B,Inputs!Q:Q)</f>
        <v>28732</v>
      </c>
      <c r="E108" s="764">
        <f>+'Samsung IS'!D56</f>
        <v>4950</v>
      </c>
      <c r="F108" s="771">
        <f>+'Micron IS'!D56</f>
        <v>941.29</v>
      </c>
      <c r="G108" s="772">
        <f>+'Kioxia IS'!D55</f>
        <v>-4305.45</v>
      </c>
      <c r="H108" s="765">
        <f>+'WDC IS'!L56/1000</f>
        <v>-3.4814499999999997</v>
      </c>
      <c r="I108" s="629"/>
      <c r="J108" s="629"/>
      <c r="K108" s="629"/>
      <c r="L108" s="629"/>
      <c r="M108" s="629"/>
      <c r="N108" s="433"/>
      <c r="O108" s="366"/>
      <c r="P108" s="366"/>
      <c r="Q108" s="366"/>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c r="AM108" s="366"/>
      <c r="AN108" s="366"/>
      <c r="AO108" s="366"/>
      <c r="AP108" s="366"/>
      <c r="AQ108" s="366"/>
      <c r="AR108" s="366"/>
      <c r="AS108" s="366"/>
      <c r="AT108" s="366"/>
      <c r="AU108" s="366"/>
      <c r="AV108" s="366"/>
      <c r="AW108" s="366"/>
      <c r="AX108" s="366"/>
      <c r="AY108" s="366"/>
      <c r="AZ108" s="366"/>
    </row>
    <row r="109" spans="1:52" s="346" customFormat="1" ht="14.25" customHeight="1" x14ac:dyDescent="0.3">
      <c r="A109" s="366"/>
      <c r="B109" s="427" t="s">
        <v>283</v>
      </c>
      <c r="C109" s="366"/>
      <c r="D109" s="425">
        <f>+_xlfn.XLOOKUP($B109,Inputs!$B:$B,Inputs!Q:Q)</f>
        <v>4436.3</v>
      </c>
      <c r="E109" s="764">
        <f>+'Samsung IS'!D17</f>
        <v>34998.1</v>
      </c>
      <c r="F109" s="771">
        <f>+'Micron IS'!D14</f>
        <v>4612.3</v>
      </c>
      <c r="G109" s="770">
        <f>+'Kioxia IS'!D16</f>
        <v>522.70000000000005</v>
      </c>
      <c r="H109" s="765">
        <f>+'WDC IS'!L14/1000</f>
        <v>2543.6999999999998</v>
      </c>
      <c r="I109" s="616"/>
      <c r="J109" s="616"/>
      <c r="K109" s="616"/>
      <c r="L109" s="616"/>
      <c r="M109" s="616"/>
      <c r="N109" s="426"/>
      <c r="O109" s="366"/>
      <c r="P109" s="366"/>
      <c r="Q109" s="366"/>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row>
    <row r="110" spans="1:52" s="346" customFormat="1" ht="3.75" customHeight="1" x14ac:dyDescent="0.3">
      <c r="A110" s="366"/>
      <c r="B110" s="427"/>
      <c r="C110" s="366"/>
      <c r="D110" s="434"/>
      <c r="E110" s="435"/>
      <c r="F110" s="436"/>
      <c r="G110" s="622"/>
      <c r="H110" s="630"/>
      <c r="I110" s="630"/>
      <c r="J110" s="630"/>
      <c r="K110" s="630"/>
      <c r="L110" s="630"/>
      <c r="M110" s="630"/>
      <c r="N110" s="410"/>
      <c r="O110" s="366"/>
      <c r="P110" s="366"/>
      <c r="Q110" s="366"/>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row>
    <row r="111" spans="1:52" s="346" customFormat="1" ht="14.25" customHeight="1" x14ac:dyDescent="0.3">
      <c r="A111" s="366"/>
      <c r="B111" s="418" t="s">
        <v>284</v>
      </c>
      <c r="C111" s="403"/>
      <c r="D111" s="437"/>
      <c r="E111" s="438"/>
      <c r="F111" s="439"/>
      <c r="G111" s="623"/>
      <c r="H111" s="617"/>
      <c r="I111" s="617"/>
      <c r="J111" s="617"/>
      <c r="K111" s="617"/>
      <c r="L111" s="617"/>
      <c r="M111" s="617"/>
      <c r="N111" s="440"/>
      <c r="O111" s="366"/>
      <c r="P111" s="366"/>
      <c r="Q111" s="366"/>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row>
    <row r="112" spans="1:52" s="346" customFormat="1" ht="3.75" customHeight="1" x14ac:dyDescent="0.3">
      <c r="A112" s="366"/>
      <c r="B112" s="419"/>
      <c r="C112" s="407"/>
      <c r="D112" s="441"/>
      <c r="E112" s="442"/>
      <c r="F112" s="443"/>
      <c r="G112" s="615"/>
      <c r="H112" s="618"/>
      <c r="I112" s="618"/>
      <c r="J112" s="618"/>
      <c r="K112" s="618"/>
      <c r="L112" s="618"/>
      <c r="M112" s="618"/>
      <c r="N112" s="412"/>
      <c r="O112" s="366"/>
      <c r="P112" s="366"/>
      <c r="Q112" s="366"/>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row>
    <row r="113" spans="1:52" s="346" customFormat="1" ht="14.25" customHeight="1" x14ac:dyDescent="0.3">
      <c r="A113" s="366"/>
      <c r="B113" s="427" t="s">
        <v>285</v>
      </c>
      <c r="C113" s="366"/>
      <c r="D113" s="425">
        <f>+_xlfn.XLOOKUP($B113,Inputs!$B:$B,Inputs!Q:Q)</f>
        <v>11205.1</v>
      </c>
      <c r="E113" s="764">
        <f>+'Samsung BS'!D8</f>
        <v>53705.599999999999</v>
      </c>
      <c r="F113" s="771">
        <f>+'Micron BS'!D7</f>
        <v>10803.9</v>
      </c>
      <c r="G113" s="770">
        <f>+'Kioxia BS'!D8</f>
        <v>1619.5</v>
      </c>
      <c r="H113" s="765">
        <f>+'WDC BS'!O8/1000</f>
        <v>2591.4</v>
      </c>
      <c r="I113" s="616"/>
      <c r="J113" s="616"/>
      <c r="K113" s="616"/>
      <c r="L113" s="616"/>
      <c r="M113" s="616"/>
      <c r="N113" s="426"/>
      <c r="O113" s="366"/>
      <c r="P113" s="366"/>
      <c r="Q113" s="366"/>
      <c r="R113" s="366"/>
      <c r="S113" s="366"/>
      <c r="T113" s="366"/>
      <c r="U113" s="366"/>
      <c r="V113" s="366"/>
      <c r="W113" s="366"/>
      <c r="X113" s="366"/>
      <c r="Y113" s="366"/>
      <c r="Z113" s="366"/>
      <c r="AA113" s="366"/>
      <c r="AB113" s="366"/>
      <c r="AC113" s="366"/>
      <c r="AD113" s="366"/>
      <c r="AE113" s="366"/>
      <c r="AF113" s="366"/>
      <c r="AG113" s="366"/>
      <c r="AH113" s="366"/>
      <c r="AI113" s="366"/>
      <c r="AJ113" s="366"/>
      <c r="AK113" s="366"/>
      <c r="AL113" s="366"/>
      <c r="AM113" s="366"/>
      <c r="AN113" s="366"/>
      <c r="AO113" s="366"/>
      <c r="AP113" s="366"/>
      <c r="AQ113" s="366"/>
      <c r="AR113" s="366"/>
      <c r="AS113" s="366"/>
      <c r="AT113" s="366"/>
      <c r="AU113" s="366"/>
      <c r="AV113" s="366"/>
      <c r="AW113" s="366"/>
      <c r="AX113" s="366"/>
      <c r="AY113" s="366"/>
      <c r="AZ113" s="366"/>
    </row>
    <row r="114" spans="1:52" s="346" customFormat="1" ht="14.25" customHeight="1" x14ac:dyDescent="0.3">
      <c r="A114" s="366"/>
      <c r="B114" s="427" t="s">
        <v>286</v>
      </c>
      <c r="C114" s="366"/>
      <c r="D114" s="425">
        <f>+_xlfn.XLOOKUP($B114,Inputs!$B:$B,Inputs!Q:Q)</f>
        <v>13019</v>
      </c>
      <c r="E114" s="764">
        <f>+'Samsung BS'!D11</f>
        <v>43623.1</v>
      </c>
      <c r="F114" s="771">
        <f>+'Micron BS'!D11</f>
        <v>7222.6</v>
      </c>
      <c r="G114" s="770">
        <f>+'Kioxia BS'!D10</f>
        <v>1135.8</v>
      </c>
      <c r="H114" s="765">
        <f>+'WDC BS'!O11/1000</f>
        <v>2987.2</v>
      </c>
      <c r="I114" s="616"/>
      <c r="J114" s="616"/>
      <c r="K114" s="616"/>
      <c r="L114" s="616"/>
      <c r="M114" s="616"/>
      <c r="N114" s="426"/>
      <c r="O114" s="366"/>
      <c r="P114" s="366"/>
      <c r="Q114" s="366"/>
      <c r="R114" s="366"/>
      <c r="S114" s="366"/>
      <c r="T114" s="366"/>
      <c r="U114" s="366"/>
      <c r="V114" s="366"/>
      <c r="W114" s="366"/>
      <c r="X114" s="366"/>
      <c r="Y114" s="366"/>
      <c r="Z114" s="366"/>
      <c r="AA114" s="366"/>
      <c r="AB114" s="366"/>
      <c r="AC114" s="366"/>
      <c r="AD114" s="366"/>
      <c r="AE114" s="366"/>
      <c r="AF114" s="366"/>
      <c r="AG114" s="366"/>
      <c r="AH114" s="366"/>
      <c r="AI114" s="366"/>
      <c r="AJ114" s="366"/>
      <c r="AK114" s="366"/>
      <c r="AL114" s="366"/>
      <c r="AM114" s="366"/>
      <c r="AN114" s="366"/>
      <c r="AO114" s="366"/>
      <c r="AP114" s="366"/>
      <c r="AQ114" s="366"/>
      <c r="AR114" s="366"/>
      <c r="AS114" s="366"/>
      <c r="AT114" s="366"/>
      <c r="AU114" s="366"/>
      <c r="AV114" s="366"/>
      <c r="AW114" s="366"/>
      <c r="AX114" s="366"/>
      <c r="AY114" s="366"/>
      <c r="AZ114" s="366"/>
    </row>
    <row r="115" spans="1:52" s="346" customFormat="1" ht="14.25" customHeight="1" x14ac:dyDescent="0.3">
      <c r="A115" s="366"/>
      <c r="B115" s="427" t="s">
        <v>287</v>
      </c>
      <c r="C115" s="366"/>
      <c r="D115" s="425">
        <f>+_xlfn.XLOOKUP("Inventory",Inputs!$B:$B,Inputs!P:P)</f>
        <v>13480.7</v>
      </c>
      <c r="E115" s="764">
        <f>+'Samsung BS'!C13</f>
        <v>51625.9</v>
      </c>
      <c r="F115" s="771">
        <f>+'Micron BS'!C13</f>
        <v>11119.7</v>
      </c>
      <c r="G115" s="770">
        <f>+'Kioxia BS'!C11</f>
        <v>3575.2</v>
      </c>
      <c r="H115" s="765">
        <f>+'WDC BS'!N13/1000</f>
        <v>4873.8</v>
      </c>
      <c r="I115" s="616"/>
      <c r="J115" s="616"/>
      <c r="K115" s="616"/>
      <c r="L115" s="616"/>
      <c r="M115" s="616"/>
      <c r="N115" s="426"/>
      <c r="O115" s="366"/>
      <c r="P115" s="366"/>
      <c r="Q115" s="366"/>
      <c r="R115" s="366"/>
      <c r="S115" s="366"/>
      <c r="T115" s="366"/>
      <c r="U115" s="366"/>
      <c r="V115" s="366"/>
      <c r="W115" s="366"/>
      <c r="X115" s="366"/>
      <c r="Y115" s="366"/>
      <c r="Z115" s="366"/>
      <c r="AA115" s="366"/>
      <c r="AB115" s="366"/>
      <c r="AC115" s="366"/>
      <c r="AD115" s="366"/>
      <c r="AE115" s="366"/>
      <c r="AF115" s="366"/>
      <c r="AG115" s="366"/>
      <c r="AH115" s="366"/>
      <c r="AI115" s="366"/>
      <c r="AJ115" s="366"/>
      <c r="AK115" s="366"/>
      <c r="AL115" s="366"/>
      <c r="AM115" s="366"/>
      <c r="AN115" s="366"/>
      <c r="AO115" s="366"/>
      <c r="AP115" s="366"/>
      <c r="AQ115" s="366"/>
      <c r="AR115" s="366"/>
      <c r="AS115" s="366"/>
      <c r="AT115" s="366"/>
      <c r="AU115" s="366"/>
      <c r="AV115" s="366"/>
      <c r="AW115" s="366"/>
      <c r="AX115" s="366"/>
      <c r="AY115" s="366"/>
      <c r="AZ115" s="366"/>
    </row>
    <row r="116" spans="1:52" s="346" customFormat="1" ht="14.25" customHeight="1" x14ac:dyDescent="0.3">
      <c r="A116" s="366"/>
      <c r="B116" s="427" t="s">
        <v>288</v>
      </c>
      <c r="C116" s="366"/>
      <c r="D116" s="425">
        <f>+_xlfn.XLOOKUP("Inventory",Inputs!$B:$B,Inputs!Q:Q)</f>
        <v>13313.9</v>
      </c>
      <c r="E116" s="764">
        <f>+'Samsung BS'!D13</f>
        <v>51754.9</v>
      </c>
      <c r="F116" s="771">
        <f>+'Micron BS'!D13</f>
        <v>11828.9</v>
      </c>
      <c r="G116" s="770">
        <f>+'Kioxia BS'!D11</f>
        <v>2417.6</v>
      </c>
      <c r="H116" s="765">
        <f>+'WDC BS'!O13/1000</f>
        <v>4609.1000000000004</v>
      </c>
      <c r="I116" s="616" t="s">
        <v>289</v>
      </c>
      <c r="J116" s="616"/>
      <c r="K116" s="616"/>
      <c r="L116" s="616"/>
      <c r="M116" s="616"/>
      <c r="N116" s="426"/>
      <c r="O116" s="366"/>
      <c r="P116" s="366"/>
      <c r="Q116" s="366"/>
      <c r="R116" s="366"/>
      <c r="S116" s="366"/>
      <c r="T116" s="366"/>
      <c r="U116" s="366"/>
      <c r="V116" s="366"/>
      <c r="W116" s="366"/>
      <c r="X116" s="366"/>
      <c r="Y116" s="366"/>
      <c r="Z116" s="366"/>
      <c r="AA116" s="366"/>
      <c r="AB116" s="366"/>
      <c r="AC116" s="366"/>
      <c r="AD116" s="366"/>
      <c r="AE116" s="366"/>
      <c r="AF116" s="366"/>
      <c r="AG116" s="366"/>
      <c r="AH116" s="366"/>
      <c r="AI116" s="366"/>
      <c r="AJ116" s="366"/>
      <c r="AK116" s="366"/>
      <c r="AL116" s="366"/>
      <c r="AM116" s="366"/>
      <c r="AN116" s="366"/>
      <c r="AO116" s="366"/>
      <c r="AP116" s="366"/>
      <c r="AQ116" s="366"/>
      <c r="AR116" s="366"/>
      <c r="AS116" s="366"/>
      <c r="AT116" s="366"/>
      <c r="AU116" s="366"/>
      <c r="AV116" s="366"/>
      <c r="AW116" s="366"/>
      <c r="AX116" s="366"/>
      <c r="AY116" s="366"/>
      <c r="AZ116" s="366"/>
    </row>
    <row r="117" spans="1:52" s="346" customFormat="1" ht="14.25" customHeight="1" x14ac:dyDescent="0.3">
      <c r="A117" s="366"/>
      <c r="B117" s="427" t="s">
        <v>290</v>
      </c>
      <c r="C117" s="366"/>
      <c r="D117" s="425">
        <f>+_xlfn.XLOOKUP($B117,Inputs!$B:$B,Inputs!Q:Q)</f>
        <v>42278.9</v>
      </c>
      <c r="E117" s="764">
        <f>+'Samsung BS'!D22</f>
        <v>227062.3</v>
      </c>
      <c r="F117" s="771">
        <f>+'Micron BS'!D23</f>
        <v>32483.7</v>
      </c>
      <c r="G117" s="770">
        <f>+'Kioxia BS'!D18</f>
        <v>5794.2</v>
      </c>
      <c r="H117" s="765">
        <f>+'WDC BS'!O22/1000</f>
        <v>11115.9</v>
      </c>
      <c r="I117" s="616"/>
      <c r="J117" s="616"/>
      <c r="K117" s="616"/>
      <c r="L117" s="616"/>
      <c r="M117" s="616"/>
      <c r="N117" s="426"/>
      <c r="O117" s="366"/>
      <c r="P117" s="366"/>
      <c r="Q117" s="366"/>
      <c r="R117" s="366"/>
      <c r="S117" s="366"/>
      <c r="T117" s="366"/>
      <c r="U117" s="366"/>
      <c r="V117" s="366"/>
      <c r="W117" s="366"/>
      <c r="X117" s="366"/>
      <c r="Y117" s="366"/>
      <c r="Z117" s="366"/>
      <c r="AA117" s="366"/>
      <c r="AB117" s="366"/>
      <c r="AC117" s="366"/>
      <c r="AD117" s="366"/>
      <c r="AE117" s="366"/>
      <c r="AF117" s="366"/>
      <c r="AG117" s="366"/>
      <c r="AH117" s="366"/>
      <c r="AI117" s="366"/>
      <c r="AJ117" s="366"/>
      <c r="AK117" s="366"/>
      <c r="AL117" s="366"/>
      <c r="AM117" s="366"/>
      <c r="AN117" s="366"/>
      <c r="AO117" s="366"/>
      <c r="AP117" s="366"/>
      <c r="AQ117" s="366"/>
      <c r="AR117" s="366"/>
      <c r="AS117" s="366"/>
      <c r="AT117" s="366"/>
      <c r="AU117" s="366"/>
      <c r="AV117" s="366"/>
      <c r="AW117" s="366"/>
      <c r="AX117" s="366"/>
      <c r="AY117" s="366"/>
      <c r="AZ117" s="366"/>
    </row>
    <row r="118" spans="1:52" s="346" customFormat="1" ht="14.25" customHeight="1" x14ac:dyDescent="0.3">
      <c r="A118" s="366"/>
      <c r="B118" s="427" t="s">
        <v>291</v>
      </c>
      <c r="C118" s="366"/>
      <c r="D118" s="425">
        <f>+_xlfn.XLOOKUP($B118,Inputs!$B:$B,Inputs!Q:Q)</f>
        <v>62644.3</v>
      </c>
      <c r="E118" s="764">
        <f>+'Samsung BS'!D23</f>
        <v>205945.2</v>
      </c>
      <c r="F118" s="771">
        <f>+'Micron BS'!D24</f>
        <v>53838.3</v>
      </c>
      <c r="G118" s="770">
        <f>+'Kioxia BS'!D19</f>
        <v>11817.4</v>
      </c>
      <c r="H118" s="765">
        <f>+'WDC BS'!O23/1000</f>
        <v>4817.3</v>
      </c>
      <c r="I118" s="616"/>
      <c r="J118" s="616"/>
      <c r="K118" s="616"/>
      <c r="L118" s="616"/>
      <c r="M118" s="616"/>
      <c r="N118" s="426"/>
      <c r="O118" s="366"/>
      <c r="P118" s="366"/>
      <c r="Q118" s="366"/>
      <c r="R118" s="366"/>
      <c r="S118" s="366"/>
      <c r="T118" s="366"/>
      <c r="U118" s="366"/>
      <c r="V118" s="366"/>
      <c r="W118" s="366"/>
      <c r="X118" s="366"/>
      <c r="Y118" s="366"/>
      <c r="Z118" s="366"/>
      <c r="AA118" s="366"/>
      <c r="AB118" s="366"/>
      <c r="AC118" s="366"/>
      <c r="AD118" s="366"/>
      <c r="AE118" s="366"/>
      <c r="AF118" s="366"/>
      <c r="AG118" s="366"/>
      <c r="AH118" s="366"/>
      <c r="AI118" s="366"/>
      <c r="AJ118" s="366"/>
      <c r="AK118" s="366"/>
      <c r="AL118" s="366"/>
      <c r="AM118" s="366"/>
      <c r="AN118" s="366"/>
      <c r="AO118" s="366"/>
      <c r="AP118" s="366"/>
      <c r="AQ118" s="366"/>
      <c r="AR118" s="366"/>
      <c r="AS118" s="366"/>
      <c r="AT118" s="366"/>
      <c r="AU118" s="366"/>
      <c r="AV118" s="366"/>
      <c r="AW118" s="366"/>
      <c r="AX118" s="366"/>
      <c r="AY118" s="366"/>
      <c r="AZ118" s="366"/>
    </row>
    <row r="119" spans="1:52" s="346" customFormat="1" ht="14.25" customHeight="1" x14ac:dyDescent="0.3">
      <c r="A119" s="366"/>
      <c r="B119" s="427" t="s">
        <v>292</v>
      </c>
      <c r="C119" s="444"/>
      <c r="D119" s="445">
        <f>+_xlfn.XLOOKUP($B119,Inputs!$B:$B,Inputs!Q:Q)</f>
        <v>119855.20000000001</v>
      </c>
      <c r="E119" s="764">
        <f>+'Samsung BS'!D39</f>
        <v>514531.9</v>
      </c>
      <c r="F119" s="764">
        <f>+'Micron BS'!D38</f>
        <v>92519.7</v>
      </c>
      <c r="G119" s="770">
        <f>+'Kioxia BS'!D33</f>
        <v>25484.799999999999</v>
      </c>
      <c r="H119" s="765">
        <f>+'WDC BS'!O36/1000</f>
        <v>33358.6</v>
      </c>
      <c r="I119" s="616"/>
      <c r="J119" s="616"/>
      <c r="K119" s="616"/>
      <c r="L119" s="616"/>
      <c r="M119" s="616"/>
      <c r="N119" s="426"/>
      <c r="O119" s="366"/>
      <c r="P119" s="366"/>
      <c r="Q119" s="366"/>
      <c r="R119" s="366"/>
      <c r="S119" s="366"/>
      <c r="T119" s="366"/>
      <c r="U119" s="366"/>
      <c r="V119" s="366"/>
      <c r="W119" s="366"/>
      <c r="X119" s="366"/>
      <c r="Y119" s="366"/>
      <c r="Z119" s="366"/>
      <c r="AA119" s="366"/>
      <c r="AB119" s="366"/>
      <c r="AC119" s="366"/>
      <c r="AD119" s="366"/>
      <c r="AE119" s="366"/>
      <c r="AF119" s="366"/>
      <c r="AG119" s="366"/>
      <c r="AH119" s="366"/>
      <c r="AI119" s="366"/>
      <c r="AJ119" s="366"/>
      <c r="AK119" s="366"/>
      <c r="AL119" s="366"/>
      <c r="AM119" s="366"/>
      <c r="AN119" s="366"/>
      <c r="AO119" s="366"/>
      <c r="AP119" s="366"/>
      <c r="AQ119" s="366"/>
      <c r="AR119" s="366"/>
      <c r="AS119" s="366"/>
      <c r="AT119" s="366"/>
      <c r="AU119" s="366"/>
      <c r="AV119" s="366"/>
      <c r="AW119" s="366"/>
      <c r="AX119" s="366"/>
      <c r="AY119" s="366"/>
      <c r="AZ119" s="366"/>
    </row>
    <row r="120" spans="1:52" s="346" customFormat="1" ht="14.25" customHeight="1" x14ac:dyDescent="0.3">
      <c r="A120" s="366"/>
      <c r="B120" s="427" t="s">
        <v>293</v>
      </c>
      <c r="C120" s="366"/>
      <c r="D120" s="425">
        <f>+_xlfn.XLOOKUP($B120,Inputs!$B:$B,Inputs!Q:Q)</f>
        <v>2277.3000000000002</v>
      </c>
      <c r="E120" s="764">
        <f>+'Samsung BS'!D43</f>
        <v>12370.2</v>
      </c>
      <c r="F120" s="771">
        <f>+'Micron BS'!D42</f>
        <v>3633.3</v>
      </c>
      <c r="G120" s="770">
        <f>+'Kioxia BS'!D37</f>
        <v>1004.3</v>
      </c>
      <c r="H120" s="765">
        <f>+'WDC BS'!O40/1000</f>
        <v>1946</v>
      </c>
      <c r="I120" s="616"/>
      <c r="J120" s="616"/>
      <c r="K120" s="616"/>
      <c r="L120" s="616"/>
      <c r="M120" s="616"/>
      <c r="N120" s="426"/>
      <c r="O120" s="366"/>
      <c r="P120" s="366"/>
      <c r="Q120" s="366"/>
      <c r="R120" s="366"/>
      <c r="S120" s="366"/>
      <c r="T120" s="366"/>
      <c r="U120" s="366"/>
      <c r="V120" s="366"/>
      <c r="W120" s="366"/>
      <c r="X120" s="366"/>
      <c r="Y120" s="366"/>
      <c r="Z120" s="366"/>
      <c r="AA120" s="366"/>
      <c r="AB120" s="366"/>
      <c r="AC120" s="366"/>
      <c r="AD120" s="366"/>
      <c r="AE120" s="366"/>
      <c r="AF120" s="366"/>
      <c r="AG120" s="366"/>
      <c r="AH120" s="366"/>
      <c r="AI120" s="366"/>
      <c r="AJ120" s="366"/>
      <c r="AK120" s="366"/>
      <c r="AL120" s="366"/>
      <c r="AM120" s="366"/>
      <c r="AN120" s="366"/>
      <c r="AO120" s="366"/>
      <c r="AP120" s="366"/>
      <c r="AQ120" s="366"/>
      <c r="AR120" s="366"/>
      <c r="AS120" s="366"/>
      <c r="AT120" s="366"/>
      <c r="AU120" s="366"/>
      <c r="AV120" s="366"/>
      <c r="AW120" s="366"/>
      <c r="AX120" s="366"/>
      <c r="AY120" s="366"/>
      <c r="AZ120" s="366"/>
    </row>
    <row r="121" spans="1:52" s="346" customFormat="1" ht="14.25" customHeight="1" x14ac:dyDescent="0.3">
      <c r="A121" s="366"/>
      <c r="B121" s="427" t="s">
        <v>294</v>
      </c>
      <c r="C121" s="366"/>
      <c r="D121" s="425">
        <f>+_xlfn.XLOOKUP($B121,Inputs!$B:$B,Inputs!Q:Q)</f>
        <v>24965.4</v>
      </c>
      <c r="E121" s="764">
        <f>+'Samsung BS'!D56</f>
        <v>93326.3</v>
      </c>
      <c r="F121" s="771">
        <f>+'Micron BS'!D56</f>
        <v>12326</v>
      </c>
      <c r="G121" s="770">
        <f>+'Kioxia BS'!D49</f>
        <v>16599.900000000001</v>
      </c>
      <c r="H121" s="765">
        <f>+'WDC BS'!O54/1000</f>
        <v>8394.7999999999993</v>
      </c>
      <c r="I121" s="616"/>
      <c r="J121" s="616"/>
      <c r="K121" s="616"/>
      <c r="L121" s="616"/>
      <c r="M121" s="616"/>
      <c r="N121" s="426"/>
      <c r="O121" s="366"/>
      <c r="P121" s="366"/>
      <c r="Q121" s="366"/>
      <c r="R121" s="366"/>
      <c r="S121" s="366"/>
      <c r="T121" s="366"/>
      <c r="U121" s="366"/>
      <c r="V121" s="366"/>
      <c r="W121" s="366"/>
      <c r="X121" s="366"/>
      <c r="Y121" s="366"/>
      <c r="Z121" s="366"/>
      <c r="AA121" s="366"/>
      <c r="AB121" s="366"/>
      <c r="AC121" s="366"/>
      <c r="AD121" s="366"/>
      <c r="AE121" s="366"/>
      <c r="AF121" s="366"/>
      <c r="AG121" s="366"/>
      <c r="AH121" s="366"/>
      <c r="AI121" s="366"/>
      <c r="AJ121" s="366"/>
      <c r="AK121" s="366"/>
      <c r="AL121" s="366"/>
      <c r="AM121" s="366"/>
      <c r="AN121" s="366"/>
      <c r="AO121" s="366"/>
      <c r="AP121" s="366"/>
      <c r="AQ121" s="366"/>
      <c r="AR121" s="366"/>
      <c r="AS121" s="366"/>
      <c r="AT121" s="366"/>
      <c r="AU121" s="366"/>
      <c r="AV121" s="366"/>
      <c r="AW121" s="366"/>
      <c r="AX121" s="366"/>
      <c r="AY121" s="366"/>
      <c r="AZ121" s="366"/>
    </row>
    <row r="122" spans="1:52" s="346" customFormat="1" ht="14.25" customHeight="1" x14ac:dyDescent="0.3">
      <c r="A122" s="366"/>
      <c r="B122" s="427" t="s">
        <v>295</v>
      </c>
      <c r="C122" s="366"/>
      <c r="D122" s="425">
        <f>+_xlfn.XLOOKUP($B122,Inputs!$B:$B,Inputs!Q:Q)</f>
        <v>19611.5</v>
      </c>
      <c r="E122" s="764">
        <f>+'Samsung BS'!D57</f>
        <v>3950.4</v>
      </c>
      <c r="F122" s="771">
        <f>+'Micron BS'!D57</f>
        <v>18094.5</v>
      </c>
      <c r="G122" s="770">
        <f>+'Kioxia BS'!D50</f>
        <v>3805.2</v>
      </c>
      <c r="H122" s="765">
        <f>+'WDC BS'!O55/1000</f>
        <v>8262.4</v>
      </c>
      <c r="I122" s="616"/>
      <c r="J122" s="616"/>
      <c r="K122" s="616"/>
      <c r="L122" s="616"/>
      <c r="M122" s="616"/>
      <c r="N122" s="426"/>
      <c r="O122" s="366"/>
      <c r="P122" s="366"/>
      <c r="Q122" s="366"/>
      <c r="R122" s="366"/>
      <c r="S122" s="366"/>
      <c r="T122" s="366"/>
      <c r="U122" s="366"/>
      <c r="V122" s="366"/>
      <c r="W122" s="366"/>
      <c r="X122" s="366"/>
      <c r="Y122" s="366"/>
      <c r="Z122" s="366"/>
      <c r="AA122" s="366"/>
      <c r="AB122" s="366"/>
      <c r="AC122" s="366"/>
      <c r="AD122" s="366"/>
      <c r="AE122" s="366"/>
      <c r="AF122" s="366"/>
      <c r="AG122" s="366"/>
      <c r="AH122" s="366"/>
      <c r="AI122" s="366"/>
      <c r="AJ122" s="366"/>
      <c r="AK122" s="366"/>
      <c r="AL122" s="366"/>
      <c r="AM122" s="366"/>
      <c r="AN122" s="366"/>
      <c r="AO122" s="366"/>
      <c r="AP122" s="366"/>
      <c r="AQ122" s="366"/>
      <c r="AR122" s="366"/>
      <c r="AS122" s="366"/>
      <c r="AT122" s="366"/>
      <c r="AU122" s="366"/>
      <c r="AV122" s="366"/>
      <c r="AW122" s="366"/>
      <c r="AX122" s="366"/>
      <c r="AY122" s="366"/>
      <c r="AZ122" s="366"/>
    </row>
    <row r="123" spans="1:52" s="346" customFormat="1" ht="14.25" customHeight="1" x14ac:dyDescent="0.3">
      <c r="A123" s="366"/>
      <c r="B123" s="427" t="s">
        <v>296</v>
      </c>
      <c r="C123" s="366"/>
      <c r="D123" s="425">
        <f>+_xlfn.XLOOKUP($B123,Inputs!$B:$B,Inputs!Q:Q,,,-1)</f>
        <v>21483.4</v>
      </c>
      <c r="E123" s="764">
        <f>+'Samsung BS'!D57+'Samsung BS'!D46</f>
        <v>19330.2</v>
      </c>
      <c r="F123" s="771">
        <f>+'Micron BS'!D57+'Micron BS'!D46</f>
        <v>18763.599999999999</v>
      </c>
      <c r="G123" s="770">
        <f>+'Kioxia BS'!D50+'Kioxia BS'!D41</f>
        <v>14383.400000000001</v>
      </c>
      <c r="H123" s="765">
        <f>+('WDC BS'!O55+'WDC BS'!O44)/1000</f>
        <v>10733.8</v>
      </c>
      <c r="I123" s="616"/>
      <c r="J123" s="616"/>
      <c r="K123" s="616"/>
      <c r="L123" s="616"/>
      <c r="M123" s="616"/>
      <c r="N123" s="426"/>
      <c r="O123" s="366"/>
      <c r="P123" s="366"/>
      <c r="Q123" s="366"/>
      <c r="R123" s="366"/>
      <c r="S123" s="366"/>
      <c r="T123" s="366"/>
      <c r="U123" s="366"/>
      <c r="V123" s="366"/>
      <c r="W123" s="366"/>
      <c r="X123" s="366"/>
      <c r="Y123" s="366"/>
      <c r="Z123" s="366"/>
      <c r="AA123" s="366"/>
      <c r="AB123" s="366"/>
      <c r="AC123" s="366"/>
      <c r="AD123" s="366"/>
      <c r="AE123" s="366"/>
      <c r="AF123" s="366"/>
      <c r="AG123" s="366"/>
      <c r="AH123" s="366"/>
      <c r="AI123" s="366"/>
      <c r="AJ123" s="366"/>
      <c r="AK123" s="366"/>
      <c r="AL123" s="366"/>
      <c r="AM123" s="366"/>
      <c r="AN123" s="366"/>
      <c r="AO123" s="366"/>
      <c r="AP123" s="366"/>
      <c r="AQ123" s="366"/>
      <c r="AR123" s="366"/>
      <c r="AS123" s="366"/>
      <c r="AT123" s="366"/>
      <c r="AU123" s="366"/>
      <c r="AV123" s="366"/>
      <c r="AW123" s="366"/>
      <c r="AX123" s="366"/>
      <c r="AY123" s="366"/>
      <c r="AZ123" s="366"/>
    </row>
    <row r="124" spans="1:52" s="346" customFormat="1" ht="14.25" customHeight="1" x14ac:dyDescent="0.3">
      <c r="A124" s="366"/>
      <c r="B124" s="427" t="s">
        <v>297</v>
      </c>
      <c r="C124" s="366"/>
      <c r="D124" s="425">
        <f>+_xlfn.XLOOKUP($B124,Inputs!$B:$B,Inputs!Q:Q)</f>
        <v>73915.700000000012</v>
      </c>
      <c r="E124" s="764">
        <f>+'Samsung BS'!D81</f>
        <v>402192.1</v>
      </c>
      <c r="F124" s="771">
        <f>+'Micron BS'!D82</f>
        <v>60152</v>
      </c>
      <c r="G124" s="770">
        <f>+'Kioxia BS'!D70</f>
        <v>4000.8</v>
      </c>
      <c r="H124" s="765">
        <f>+'WDC BS'!O80/1000</f>
        <v>15235.4</v>
      </c>
      <c r="I124" s="616"/>
      <c r="J124" s="616"/>
      <c r="K124" s="616"/>
      <c r="L124" s="616"/>
      <c r="M124" s="616"/>
      <c r="N124" s="426"/>
      <c r="O124" s="366"/>
      <c r="P124" s="366"/>
      <c r="Q124" s="366"/>
      <c r="R124" s="366"/>
      <c r="S124" s="366"/>
      <c r="T124" s="366"/>
      <c r="U124" s="366"/>
      <c r="V124" s="366"/>
      <c r="W124" s="366"/>
      <c r="X124" s="366"/>
      <c r="Y124" s="366"/>
      <c r="Z124" s="366"/>
      <c r="AA124" s="366"/>
      <c r="AB124" s="366"/>
      <c r="AC124" s="366"/>
      <c r="AD124" s="366"/>
      <c r="AE124" s="366"/>
      <c r="AF124" s="366"/>
      <c r="AG124" s="366"/>
      <c r="AH124" s="366"/>
      <c r="AI124" s="366"/>
      <c r="AJ124" s="366"/>
      <c r="AK124" s="366"/>
      <c r="AL124" s="366"/>
      <c r="AM124" s="366"/>
      <c r="AN124" s="366"/>
      <c r="AO124" s="366"/>
      <c r="AP124" s="366"/>
      <c r="AQ124" s="366"/>
      <c r="AR124" s="366"/>
      <c r="AS124" s="366"/>
      <c r="AT124" s="366"/>
      <c r="AU124" s="366"/>
      <c r="AV124" s="366"/>
      <c r="AW124" s="366"/>
      <c r="AX124" s="366"/>
      <c r="AY124" s="366"/>
      <c r="AZ124" s="366"/>
    </row>
    <row r="125" spans="1:52" s="346" customFormat="1" ht="4.1500000000000004" customHeight="1" x14ac:dyDescent="0.3">
      <c r="A125" s="366"/>
      <c r="B125" s="427"/>
      <c r="C125" s="366"/>
      <c r="D125" s="613"/>
      <c r="E125" s="616"/>
      <c r="F125" s="616"/>
      <c r="G125" s="620"/>
      <c r="H125" s="616"/>
      <c r="I125" s="616"/>
      <c r="J125" s="616"/>
      <c r="K125" s="616"/>
      <c r="L125" s="616"/>
      <c r="M125" s="616"/>
      <c r="N125" s="426"/>
      <c r="O125" s="366"/>
      <c r="P125" s="366"/>
      <c r="Q125" s="366"/>
      <c r="R125" s="366"/>
      <c r="S125" s="366"/>
      <c r="T125" s="366"/>
      <c r="U125" s="366"/>
      <c r="V125" s="366"/>
      <c r="W125" s="366"/>
      <c r="X125" s="366"/>
      <c r="Y125" s="366"/>
      <c r="Z125" s="366"/>
      <c r="AA125" s="366"/>
      <c r="AB125" s="366"/>
      <c r="AC125" s="366"/>
      <c r="AD125" s="366"/>
      <c r="AE125" s="366"/>
      <c r="AF125" s="366"/>
      <c r="AG125" s="366"/>
      <c r="AH125" s="366"/>
      <c r="AI125" s="366"/>
      <c r="AJ125" s="366"/>
      <c r="AK125" s="366"/>
      <c r="AL125" s="366"/>
      <c r="AM125" s="366"/>
      <c r="AN125" s="366"/>
      <c r="AO125" s="366"/>
      <c r="AP125" s="366"/>
      <c r="AQ125" s="366"/>
      <c r="AR125" s="366"/>
      <c r="AS125" s="366"/>
      <c r="AT125" s="366"/>
      <c r="AU125" s="366"/>
      <c r="AV125" s="366"/>
      <c r="AW125" s="366"/>
      <c r="AX125" s="366"/>
      <c r="AY125" s="366"/>
      <c r="AZ125" s="366"/>
    </row>
    <row r="126" spans="1:52" s="346" customFormat="1" ht="14.25" customHeight="1" x14ac:dyDescent="0.3">
      <c r="A126" s="366"/>
      <c r="B126" s="418" t="s">
        <v>298</v>
      </c>
      <c r="C126" s="403"/>
      <c r="D126" s="614"/>
      <c r="E126" s="617"/>
      <c r="F126" s="617"/>
      <c r="G126" s="623"/>
      <c r="H126" s="617"/>
      <c r="I126" s="617"/>
      <c r="J126" s="617"/>
      <c r="K126" s="617"/>
      <c r="L126" s="617"/>
      <c r="M126" s="617"/>
      <c r="N126" s="440"/>
      <c r="O126" s="366"/>
      <c r="P126" s="366"/>
      <c r="Q126" s="366"/>
      <c r="R126" s="366"/>
      <c r="S126" s="366"/>
      <c r="T126" s="366"/>
      <c r="U126" s="366"/>
      <c r="V126" s="366"/>
      <c r="W126" s="366"/>
      <c r="X126" s="366"/>
      <c r="Y126" s="366"/>
      <c r="Z126" s="366"/>
      <c r="AA126" s="366"/>
      <c r="AB126" s="366"/>
      <c r="AC126" s="366"/>
      <c r="AD126" s="366"/>
      <c r="AE126" s="366"/>
      <c r="AF126" s="366"/>
      <c r="AG126" s="366"/>
      <c r="AH126" s="366"/>
      <c r="AI126" s="366"/>
      <c r="AJ126" s="366"/>
      <c r="AK126" s="366"/>
      <c r="AL126" s="366"/>
      <c r="AM126" s="366"/>
      <c r="AN126" s="366"/>
      <c r="AO126" s="366"/>
      <c r="AP126" s="366"/>
      <c r="AQ126" s="366"/>
      <c r="AR126" s="366"/>
      <c r="AS126" s="366"/>
      <c r="AT126" s="366"/>
      <c r="AU126" s="366"/>
      <c r="AV126" s="366"/>
      <c r="AW126" s="366"/>
      <c r="AX126" s="366"/>
      <c r="AY126" s="366"/>
      <c r="AZ126" s="366"/>
    </row>
    <row r="127" spans="1:52" s="346" customFormat="1" ht="4.1500000000000004" customHeight="1" x14ac:dyDescent="0.3">
      <c r="A127" s="366"/>
      <c r="B127" s="419"/>
      <c r="C127" s="407"/>
      <c r="D127" s="615"/>
      <c r="E127" s="615"/>
      <c r="F127" s="618"/>
      <c r="G127" s="615"/>
      <c r="H127" s="618"/>
      <c r="I127" s="618"/>
      <c r="J127" s="618"/>
      <c r="K127" s="618"/>
      <c r="L127" s="618"/>
      <c r="M127" s="618"/>
      <c r="N127" s="412"/>
      <c r="O127" s="366"/>
      <c r="P127" s="366"/>
      <c r="Q127" s="366"/>
      <c r="R127" s="366"/>
      <c r="S127" s="366"/>
      <c r="T127" s="366"/>
      <c r="U127" s="366"/>
      <c r="V127" s="366"/>
      <c r="W127" s="366"/>
      <c r="X127" s="366"/>
      <c r="Y127" s="366"/>
      <c r="Z127" s="366"/>
      <c r="AA127" s="366"/>
      <c r="AB127" s="366"/>
      <c r="AC127" s="366"/>
      <c r="AD127" s="366"/>
      <c r="AE127" s="366"/>
      <c r="AF127" s="366"/>
      <c r="AG127" s="366"/>
      <c r="AH127" s="366"/>
      <c r="AI127" s="366"/>
      <c r="AJ127" s="366"/>
      <c r="AK127" s="366"/>
      <c r="AL127" s="366"/>
      <c r="AM127" s="366"/>
      <c r="AN127" s="366"/>
      <c r="AO127" s="366"/>
      <c r="AP127" s="366"/>
      <c r="AQ127" s="366"/>
      <c r="AR127" s="366"/>
      <c r="AS127" s="366"/>
      <c r="AT127" s="366"/>
      <c r="AU127" s="366"/>
      <c r="AV127" s="366"/>
      <c r="AW127" s="366"/>
      <c r="AX127" s="366"/>
      <c r="AY127" s="366"/>
      <c r="AZ127" s="366"/>
    </row>
    <row r="128" spans="1:52" s="346" customFormat="1" ht="14.25" customHeight="1" x14ac:dyDescent="0.3">
      <c r="A128" s="366"/>
      <c r="B128" s="427" t="s">
        <v>299</v>
      </c>
      <c r="C128" s="366"/>
      <c r="D128" s="425">
        <f>+_xlfn.XLOOKUP($B128,Inputs!$B:$B,Inputs!Q:Q)</f>
        <v>29795.9</v>
      </c>
      <c r="E128" s="765">
        <f>+'Samsung CF'!D17</f>
        <v>72982.600000000006</v>
      </c>
      <c r="F128" s="765">
        <f>+'Micron CF'!D19</f>
        <v>11439.4</v>
      </c>
      <c r="G128" s="770">
        <f>+'Kioxia CF'!D17</f>
        <v>1783.6</v>
      </c>
      <c r="H128" s="765">
        <f>+'WDC CF'!N19/1000</f>
        <v>-392.16300000000001</v>
      </c>
      <c r="I128" s="616"/>
      <c r="J128" s="616"/>
      <c r="K128" s="616"/>
      <c r="L128" s="616"/>
      <c r="M128" s="616"/>
      <c r="N128" s="426"/>
      <c r="O128" s="366"/>
      <c r="P128" s="366"/>
      <c r="Q128" s="366"/>
      <c r="R128" s="366"/>
      <c r="S128" s="366"/>
      <c r="T128" s="366"/>
      <c r="U128" s="366"/>
      <c r="V128" s="366"/>
      <c r="W128" s="366"/>
      <c r="X128" s="366"/>
      <c r="Y128" s="366"/>
      <c r="Z128" s="366"/>
      <c r="AA128" s="366"/>
      <c r="AB128" s="366"/>
      <c r="AC128" s="366"/>
      <c r="AD128" s="366"/>
      <c r="AE128" s="366"/>
      <c r="AF128" s="366"/>
      <c r="AG128" s="366"/>
      <c r="AH128" s="366"/>
      <c r="AI128" s="366"/>
      <c r="AJ128" s="366"/>
      <c r="AK128" s="366"/>
      <c r="AL128" s="366"/>
      <c r="AM128" s="366"/>
      <c r="AN128" s="366"/>
      <c r="AO128" s="366"/>
      <c r="AP128" s="366"/>
      <c r="AQ128" s="366"/>
      <c r="AR128" s="366"/>
      <c r="AS128" s="366"/>
      <c r="AT128" s="366"/>
      <c r="AU128" s="366"/>
      <c r="AV128" s="366"/>
      <c r="AW128" s="366"/>
      <c r="AX128" s="366"/>
      <c r="AY128" s="366"/>
      <c r="AZ128" s="366"/>
    </row>
    <row r="129" spans="1:52" s="346" customFormat="1" ht="14.25" customHeight="1" x14ac:dyDescent="0.3">
      <c r="A129" s="366"/>
      <c r="B129" s="427" t="s">
        <v>26</v>
      </c>
      <c r="C129" s="366"/>
      <c r="D129" s="425">
        <f>+_xlfn.XLOOKUP($B129,Inputs!$B:$B,Inputs!Q:Q)</f>
        <v>-16595.8</v>
      </c>
      <c r="E129" s="765">
        <f>+'Samsung CF'!D20</f>
        <v>-53468</v>
      </c>
      <c r="F129" s="765">
        <f>+'Micron CF'!D22</f>
        <v>-11276.7</v>
      </c>
      <c r="G129" s="770">
        <f>+'Kioxia CF'!D20</f>
        <v>-2685.4</v>
      </c>
      <c r="H129" s="765">
        <f>+'WDC CF'!N22/1000</f>
        <v>-389.495</v>
      </c>
      <c r="I129" s="616"/>
      <c r="J129" s="616"/>
      <c r="K129" s="616"/>
      <c r="L129" s="616"/>
      <c r="M129" s="616"/>
      <c r="N129" s="426"/>
      <c r="O129" s="366"/>
      <c r="P129" s="366"/>
      <c r="Q129" s="366"/>
      <c r="R129" s="366"/>
      <c r="S129" s="366"/>
      <c r="T129" s="366"/>
      <c r="U129" s="366"/>
      <c r="V129" s="366"/>
      <c r="W129" s="366"/>
      <c r="X129" s="366"/>
      <c r="Y129" s="366"/>
      <c r="Z129" s="366"/>
      <c r="AA129" s="366"/>
      <c r="AB129" s="366"/>
      <c r="AC129" s="366"/>
      <c r="AD129" s="366"/>
      <c r="AE129" s="366"/>
      <c r="AF129" s="366"/>
      <c r="AG129" s="366"/>
      <c r="AH129" s="366"/>
      <c r="AI129" s="366"/>
      <c r="AJ129" s="366"/>
      <c r="AK129" s="366"/>
      <c r="AL129" s="366"/>
      <c r="AM129" s="366"/>
      <c r="AN129" s="366"/>
      <c r="AO129" s="366"/>
      <c r="AP129" s="366"/>
      <c r="AQ129" s="366"/>
      <c r="AR129" s="366"/>
      <c r="AS129" s="366"/>
      <c r="AT129" s="366"/>
      <c r="AU129" s="366"/>
      <c r="AV129" s="366"/>
      <c r="AW129" s="366"/>
      <c r="AX129" s="366"/>
      <c r="AY129" s="366"/>
      <c r="AZ129" s="366"/>
    </row>
    <row r="130" spans="1:52" s="346" customFormat="1" ht="14.25" customHeight="1" x14ac:dyDescent="0.3">
      <c r="A130" s="366"/>
      <c r="B130" s="427" t="s">
        <v>300</v>
      </c>
      <c r="C130" s="366"/>
      <c r="D130" s="425">
        <f>+_xlfn.XLOOKUP($B130,Inputs!$B:$B,Inputs!Q:Q)</f>
        <v>-18004.599999999999</v>
      </c>
      <c r="E130" s="765">
        <f>+'Samsung CF'!D36</f>
        <v>-85381.7</v>
      </c>
      <c r="F130" s="765">
        <f>+'Micron CF'!D38</f>
        <v>-11173.1</v>
      </c>
      <c r="G130" s="770">
        <f>+'Kioxia CF'!D36</f>
        <v>-2512.6</v>
      </c>
      <c r="H130" s="765">
        <f>+'WDC CF'!N38/1000</f>
        <v>-36.015000000000001</v>
      </c>
      <c r="I130" s="616"/>
      <c r="J130" s="616"/>
      <c r="K130" s="616"/>
      <c r="L130" s="616"/>
      <c r="M130" s="616"/>
      <c r="N130" s="426"/>
      <c r="O130" s="366"/>
      <c r="P130" s="366"/>
      <c r="Q130" s="366"/>
      <c r="R130" s="366"/>
      <c r="S130" s="366"/>
      <c r="T130" s="366"/>
      <c r="U130" s="366"/>
      <c r="V130" s="366"/>
      <c r="W130" s="366"/>
      <c r="X130" s="366"/>
      <c r="Y130" s="366"/>
      <c r="Z130" s="366"/>
      <c r="AA130" s="366"/>
      <c r="AB130" s="366"/>
      <c r="AC130" s="366"/>
      <c r="AD130" s="366"/>
      <c r="AE130" s="366"/>
      <c r="AF130" s="366"/>
      <c r="AG130" s="366"/>
      <c r="AH130" s="366"/>
      <c r="AI130" s="366"/>
      <c r="AJ130" s="366"/>
      <c r="AK130" s="366"/>
      <c r="AL130" s="366"/>
      <c r="AM130" s="366"/>
      <c r="AN130" s="366"/>
      <c r="AO130" s="366"/>
      <c r="AP130" s="366"/>
      <c r="AQ130" s="366"/>
      <c r="AR130" s="366"/>
      <c r="AS130" s="366"/>
      <c r="AT130" s="366"/>
      <c r="AU130" s="366"/>
      <c r="AV130" s="366"/>
      <c r="AW130" s="366"/>
      <c r="AX130" s="366"/>
      <c r="AY130" s="366"/>
      <c r="AZ130" s="366"/>
    </row>
    <row r="131" spans="1:52" s="346" customFormat="1" ht="14.25" customHeight="1" x14ac:dyDescent="0.3">
      <c r="A131" s="366"/>
      <c r="B131" s="427" t="s">
        <v>301</v>
      </c>
      <c r="C131" s="366"/>
      <c r="D131" s="425">
        <f>+_xlfn.XLOOKUP($B131,Inputs!$B:$B,Inputs!Q:Q)</f>
        <v>18715</v>
      </c>
      <c r="E131" s="765">
        <f>+'Samsung BS'!D47+'Samsung BS'!D58</f>
        <v>13193.6</v>
      </c>
      <c r="F131" s="765">
        <f>+'Micron BS'!D58+'Micron BS'!D47</f>
        <v>14977</v>
      </c>
      <c r="G131" s="770">
        <f>+'Kioxia BS'!D51+'Kioxia BS'!D42</f>
        <v>6527.6</v>
      </c>
      <c r="H131" s="765">
        <f>('WDC BS'!O56+'WDC BS'!O45)/1000</f>
        <v>7839</v>
      </c>
      <c r="I131" s="616"/>
      <c r="J131" s="616"/>
      <c r="K131" s="616"/>
      <c r="L131" s="616"/>
      <c r="M131" s="616"/>
      <c r="N131" s="426"/>
      <c r="O131" s="366"/>
      <c r="P131" s="366"/>
      <c r="Q131" s="366"/>
      <c r="R131" s="366"/>
      <c r="S131" s="366"/>
      <c r="T131" s="366"/>
      <c r="U131" s="366"/>
      <c r="V131" s="366"/>
      <c r="W131" s="366"/>
      <c r="X131" s="366"/>
      <c r="Y131" s="366"/>
      <c r="Z131" s="366"/>
      <c r="AA131" s="366"/>
      <c r="AB131" s="366"/>
      <c r="AC131" s="366"/>
      <c r="AD131" s="366"/>
      <c r="AE131" s="366"/>
      <c r="AF131" s="366"/>
      <c r="AG131" s="366"/>
      <c r="AH131" s="366"/>
      <c r="AI131" s="366"/>
      <c r="AJ131" s="366"/>
      <c r="AK131" s="366"/>
      <c r="AL131" s="366"/>
      <c r="AM131" s="366"/>
      <c r="AN131" s="366"/>
      <c r="AO131" s="366"/>
      <c r="AP131" s="366"/>
      <c r="AQ131" s="366"/>
      <c r="AR131" s="366"/>
      <c r="AS131" s="366"/>
      <c r="AT131" s="366"/>
      <c r="AU131" s="366"/>
      <c r="AV131" s="366"/>
      <c r="AW131" s="366"/>
      <c r="AX131" s="366"/>
      <c r="AY131" s="366"/>
      <c r="AZ131" s="366"/>
    </row>
    <row r="132" spans="1:52" s="346" customFormat="1" ht="14.25" customHeight="1" x14ac:dyDescent="0.3">
      <c r="A132" s="366"/>
      <c r="B132" s="427" t="s">
        <v>302</v>
      </c>
      <c r="C132" s="366"/>
      <c r="D132" s="425">
        <f>+_xlfn.XLOOKUP($B132,Inputs!$B:$B,Inputs!Q:Q)</f>
        <v>-7977.5</v>
      </c>
      <c r="E132" s="765">
        <f>+'Samsung CF'!D40</f>
        <v>4911.8</v>
      </c>
      <c r="F132" s="765">
        <f>+'Micron CF'!D42</f>
        <v>-1207.5</v>
      </c>
      <c r="G132" s="770">
        <f>+'Kioxia CF'!D40</f>
        <v>29.6</v>
      </c>
      <c r="H132" s="765">
        <f>+'WDC CF'!N42/1000</f>
        <v>521.54999999999995</v>
      </c>
      <c r="I132" s="616"/>
      <c r="J132" s="616"/>
      <c r="K132" s="616"/>
      <c r="L132" s="616"/>
      <c r="M132" s="616"/>
      <c r="N132" s="426"/>
      <c r="O132" s="366"/>
      <c r="P132" s="366"/>
      <c r="Q132" s="366"/>
      <c r="R132" s="366"/>
      <c r="S132" s="366"/>
      <c r="T132" s="366"/>
      <c r="U132" s="366"/>
      <c r="V132" s="366"/>
      <c r="W132" s="366"/>
      <c r="X132" s="366"/>
      <c r="Y132" s="366"/>
      <c r="Z132" s="366"/>
      <c r="AA132" s="366"/>
      <c r="AB132" s="366"/>
      <c r="AC132" s="366"/>
      <c r="AD132" s="366"/>
      <c r="AE132" s="366"/>
      <c r="AF132" s="366"/>
      <c r="AG132" s="366"/>
      <c r="AH132" s="366"/>
      <c r="AI132" s="366"/>
      <c r="AJ132" s="366"/>
      <c r="AK132" s="366"/>
      <c r="AL132" s="366"/>
      <c r="AM132" s="366"/>
      <c r="AN132" s="366"/>
      <c r="AO132" s="366"/>
      <c r="AP132" s="366"/>
      <c r="AQ132" s="366"/>
      <c r="AR132" s="366"/>
      <c r="AS132" s="366"/>
      <c r="AT132" s="366"/>
      <c r="AU132" s="366"/>
      <c r="AV132" s="366"/>
      <c r="AW132" s="366"/>
      <c r="AX132" s="366"/>
      <c r="AY132" s="366"/>
      <c r="AZ132" s="366"/>
    </row>
    <row r="133" spans="1:52" s="346" customFormat="1" ht="14.25" customHeight="1" x14ac:dyDescent="0.3">
      <c r="A133" s="366"/>
      <c r="B133" s="427" t="s">
        <v>303</v>
      </c>
      <c r="C133" s="366"/>
      <c r="D133" s="425">
        <f>+_xlfn.XLOOKUP($B133,Inputs!$B:$B,Inputs!Q:Q)</f>
        <v>-8703.9</v>
      </c>
      <c r="E133" s="765">
        <f>+'Samsung CF'!D49</f>
        <v>-7797.2</v>
      </c>
      <c r="F133" s="765">
        <f>+'Micron CF'!D51</f>
        <v>-2476.9</v>
      </c>
      <c r="G133" s="770">
        <f>+'Kioxia CF'!D49</f>
        <v>29.6</v>
      </c>
      <c r="H133" s="765">
        <f>+'WDC CF'!N51/1000</f>
        <v>249.43700000000001</v>
      </c>
      <c r="I133" s="616"/>
      <c r="J133" s="616"/>
      <c r="K133" s="616"/>
      <c r="L133" s="616"/>
      <c r="M133" s="616"/>
      <c r="N133" s="426"/>
      <c r="O133" s="366"/>
      <c r="P133" s="366"/>
      <c r="Q133" s="366"/>
      <c r="R133" s="366"/>
      <c r="S133" s="366"/>
      <c r="T133" s="366"/>
      <c r="U133" s="366"/>
      <c r="V133" s="366"/>
      <c r="W133" s="366"/>
      <c r="X133" s="366"/>
      <c r="Y133" s="366"/>
      <c r="Z133" s="366"/>
      <c r="AA133" s="366"/>
      <c r="AB133" s="366"/>
      <c r="AC133" s="366"/>
      <c r="AD133" s="366"/>
      <c r="AE133" s="366"/>
      <c r="AF133" s="366"/>
      <c r="AG133" s="366"/>
      <c r="AH133" s="366"/>
      <c r="AI133" s="366"/>
      <c r="AJ133" s="366"/>
      <c r="AK133" s="366"/>
      <c r="AL133" s="366"/>
      <c r="AM133" s="366"/>
      <c r="AN133" s="366"/>
      <c r="AO133" s="366"/>
      <c r="AP133" s="366"/>
      <c r="AQ133" s="366"/>
      <c r="AR133" s="366"/>
      <c r="AS133" s="366"/>
      <c r="AT133" s="366"/>
      <c r="AU133" s="366"/>
      <c r="AV133" s="366"/>
      <c r="AW133" s="366"/>
      <c r="AX133" s="366"/>
      <c r="AY133" s="366"/>
      <c r="AZ133" s="366"/>
    </row>
    <row r="134" spans="1:52" s="346" customFormat="1" ht="14.25" customHeight="1" x14ac:dyDescent="0.3">
      <c r="A134" s="366"/>
      <c r="B134" s="427" t="s">
        <v>304</v>
      </c>
      <c r="C134" s="366"/>
      <c r="D134" s="425">
        <f>+_xlfn.XLOOKUP($B134,Inputs!$B:$B,Inputs!Q:Q)</f>
        <v>3617.8</v>
      </c>
      <c r="E134" s="765">
        <f>+'Samsung CF'!D53</f>
        <v>-15375.3</v>
      </c>
      <c r="F134" s="765">
        <f>+'Micron CF'!D55</f>
        <v>-2156.9</v>
      </c>
      <c r="G134" s="770">
        <f>+'Kioxia CF'!D53</f>
        <v>-674.3</v>
      </c>
      <c r="H134" s="765">
        <f>+'WDC CF'!N55/1000</f>
        <v>-192.08</v>
      </c>
      <c r="I134" s="616"/>
      <c r="J134" s="616"/>
      <c r="K134" s="616"/>
      <c r="L134" s="616"/>
      <c r="M134" s="616"/>
      <c r="N134" s="426"/>
      <c r="O134" s="366"/>
      <c r="P134" s="366"/>
      <c r="Q134" s="366"/>
      <c r="R134" s="366"/>
      <c r="S134" s="366"/>
      <c r="T134" s="366"/>
      <c r="U134" s="366"/>
      <c r="V134" s="366"/>
      <c r="W134" s="366"/>
      <c r="X134" s="366"/>
      <c r="Y134" s="366"/>
      <c r="Z134" s="366"/>
      <c r="AA134" s="366"/>
      <c r="AB134" s="366"/>
      <c r="AC134" s="366"/>
      <c r="AD134" s="366"/>
      <c r="AE134" s="366"/>
      <c r="AF134" s="366"/>
      <c r="AG134" s="366"/>
      <c r="AH134" s="366"/>
      <c r="AI134" s="366"/>
      <c r="AJ134" s="366"/>
      <c r="AK134" s="366"/>
      <c r="AL134" s="366"/>
      <c r="AM134" s="366"/>
      <c r="AN134" s="366"/>
      <c r="AO134" s="366"/>
      <c r="AP134" s="366"/>
      <c r="AQ134" s="366"/>
      <c r="AR134" s="366"/>
      <c r="AS134" s="366"/>
      <c r="AT134" s="366"/>
      <c r="AU134" s="366"/>
      <c r="AV134" s="366"/>
      <c r="AW134" s="366"/>
      <c r="AX134" s="366"/>
      <c r="AY134" s="366"/>
      <c r="AZ134" s="366"/>
    </row>
    <row r="135" spans="1:52" s="346" customFormat="1" ht="4.1500000000000004" customHeight="1" x14ac:dyDescent="0.3">
      <c r="A135" s="366"/>
      <c r="B135" s="428"/>
      <c r="C135" s="366"/>
      <c r="D135" s="610"/>
      <c r="E135" s="611"/>
      <c r="F135" s="773"/>
      <c r="G135" s="773"/>
      <c r="H135" s="611"/>
      <c r="I135" s="611"/>
      <c r="J135" s="611"/>
      <c r="K135" s="611"/>
      <c r="L135" s="611"/>
      <c r="M135" s="611"/>
      <c r="N135" s="612"/>
      <c r="O135" s="366"/>
      <c r="P135" s="366"/>
      <c r="Q135" s="366"/>
      <c r="R135" s="366"/>
      <c r="S135" s="366"/>
      <c r="T135" s="366"/>
      <c r="U135" s="366"/>
      <c r="V135" s="366"/>
      <c r="W135" s="366"/>
      <c r="X135" s="366"/>
      <c r="Y135" s="366"/>
      <c r="Z135" s="366"/>
      <c r="AA135" s="366"/>
      <c r="AB135" s="366"/>
      <c r="AC135" s="366"/>
      <c r="AD135" s="366"/>
      <c r="AE135" s="366"/>
      <c r="AF135" s="366"/>
      <c r="AG135" s="366"/>
      <c r="AH135" s="366"/>
      <c r="AI135" s="366"/>
      <c r="AJ135" s="366"/>
      <c r="AK135" s="366"/>
      <c r="AL135" s="366"/>
      <c r="AM135" s="366"/>
      <c r="AN135" s="366"/>
      <c r="AO135" s="366"/>
      <c r="AP135" s="366"/>
      <c r="AQ135" s="366"/>
      <c r="AR135" s="366"/>
      <c r="AS135" s="366"/>
      <c r="AT135" s="366"/>
      <c r="AU135" s="366"/>
      <c r="AV135" s="366"/>
      <c r="AW135" s="366"/>
      <c r="AX135" s="366"/>
      <c r="AY135" s="366"/>
      <c r="AZ135" s="366"/>
    </row>
    <row r="136" spans="1:52" ht="14.25" customHeight="1" x14ac:dyDescent="0.35">
      <c r="B136" s="57" t="s">
        <v>100</v>
      </c>
      <c r="C136" s="58"/>
      <c r="D136" s="57"/>
      <c r="E136" s="58"/>
      <c r="F136" s="58"/>
      <c r="G136" s="58"/>
      <c r="H136" s="58"/>
      <c r="I136" s="58"/>
      <c r="J136" s="85"/>
      <c r="K136" s="86"/>
      <c r="L136" s="86"/>
      <c r="M136" s="86"/>
      <c r="N136" s="86"/>
      <c r="O136" s="86"/>
    </row>
    <row r="137" spans="1:52" ht="3.75" customHeight="1" x14ac:dyDescent="0.35">
      <c r="B137" s="59"/>
      <c r="C137" s="59"/>
      <c r="D137" s="59"/>
      <c r="E137" s="59"/>
      <c r="F137" s="59"/>
      <c r="G137" s="59"/>
      <c r="H137" s="59"/>
      <c r="I137" s="59"/>
      <c r="J137" s="87"/>
      <c r="K137" s="87"/>
      <c r="L137" s="87"/>
      <c r="M137" s="87"/>
      <c r="N137" s="87"/>
      <c r="O137" s="87"/>
    </row>
    <row r="138" spans="1:52" ht="14.25" customHeight="1" x14ac:dyDescent="0.3">
      <c r="B138" s="347" t="s">
        <v>305</v>
      </c>
      <c r="D138" s="946" t="s">
        <v>306</v>
      </c>
      <c r="E138" s="946"/>
      <c r="F138" s="946"/>
      <c r="G138" s="946"/>
      <c r="H138" s="946"/>
      <c r="I138" s="946"/>
      <c r="J138" s="946"/>
      <c r="K138" s="946"/>
      <c r="L138" s="946"/>
      <c r="M138" s="946"/>
      <c r="N138" s="946"/>
      <c r="O138" s="946"/>
    </row>
    <row r="139" spans="1:52" ht="14.25" customHeight="1" x14ac:dyDescent="0.3">
      <c r="B139" s="347" t="s">
        <v>307</v>
      </c>
      <c r="D139" s="945" t="s">
        <v>308</v>
      </c>
      <c r="E139" s="945"/>
      <c r="F139" s="945"/>
      <c r="G139" s="945"/>
      <c r="H139" s="945"/>
      <c r="I139" s="945"/>
      <c r="J139" s="945"/>
      <c r="K139" s="945"/>
      <c r="L139" s="945"/>
      <c r="M139" s="945"/>
      <c r="N139" s="945"/>
      <c r="O139" s="945"/>
    </row>
    <row r="140" spans="1:52" ht="14.25" customHeight="1" x14ac:dyDescent="0.35">
      <c r="B140" s="57" t="s">
        <v>115</v>
      </c>
      <c r="C140" s="58"/>
      <c r="D140" s="57"/>
      <c r="E140" s="58"/>
      <c r="F140" s="58"/>
      <c r="G140" s="58"/>
      <c r="H140" s="58"/>
      <c r="I140" s="58"/>
      <c r="J140" s="85"/>
      <c r="K140" s="86"/>
      <c r="L140" s="86"/>
      <c r="M140" s="86"/>
      <c r="N140" s="86"/>
      <c r="O140" s="86"/>
    </row>
    <row r="141" spans="1:52" ht="4.1500000000000004" customHeight="1" x14ac:dyDescent="0.3">
      <c r="B141" s="668"/>
      <c r="C141" s="668"/>
      <c r="D141" s="668"/>
      <c r="E141" s="668"/>
      <c r="F141" s="668"/>
      <c r="G141" s="668"/>
      <c r="H141" s="668"/>
      <c r="I141" s="668"/>
      <c r="J141" s="668"/>
      <c r="K141" s="668"/>
      <c r="L141" s="668"/>
      <c r="M141" s="668"/>
      <c r="N141" s="668"/>
      <c r="O141" s="668"/>
    </row>
    <row r="152" spans="15:15" ht="14.25" customHeight="1" x14ac:dyDescent="0.3">
      <c r="O152"/>
    </row>
    <row r="163" spans="2:23" ht="14.25" customHeight="1" x14ac:dyDescent="0.35">
      <c r="B163" s="57" t="s">
        <v>115</v>
      </c>
      <c r="C163" s="58"/>
      <c r="D163" s="57"/>
      <c r="E163" s="58"/>
      <c r="F163" s="58"/>
      <c r="G163" s="58"/>
      <c r="H163" s="58"/>
      <c r="I163" s="58"/>
      <c r="J163" s="85"/>
      <c r="K163" s="86"/>
      <c r="L163" s="86"/>
      <c r="M163" s="86"/>
      <c r="N163" s="86"/>
      <c r="O163" s="86"/>
    </row>
    <row r="164" spans="2:23" ht="4.1500000000000004" customHeight="1" x14ac:dyDescent="0.3">
      <c r="B164" s="668"/>
      <c r="C164" s="668"/>
      <c r="D164" s="668"/>
      <c r="E164" s="668"/>
      <c r="F164" s="668"/>
      <c r="G164" s="668"/>
      <c r="H164" s="668"/>
      <c r="I164" s="668"/>
      <c r="J164" s="668"/>
      <c r="K164" s="668"/>
      <c r="L164" s="668"/>
      <c r="M164" s="668"/>
      <c r="N164" s="668"/>
      <c r="O164" s="668"/>
    </row>
    <row r="166" spans="2:23" ht="14.25" customHeight="1" x14ac:dyDescent="0.3">
      <c r="B166" s="368" t="s">
        <v>110</v>
      </c>
      <c r="C166" s="368"/>
      <c r="D166" s="831">
        <v>44286</v>
      </c>
      <c r="E166" s="831" t="s">
        <v>309</v>
      </c>
      <c r="F166" s="831" t="s">
        <v>310</v>
      </c>
      <c r="G166" s="831">
        <v>44561</v>
      </c>
      <c r="H166" s="831">
        <v>44651</v>
      </c>
      <c r="I166" s="831" t="s">
        <v>311</v>
      </c>
      <c r="J166" s="831" t="s">
        <v>312</v>
      </c>
      <c r="K166" s="831">
        <v>44926</v>
      </c>
      <c r="L166" s="831">
        <v>45016</v>
      </c>
      <c r="M166" s="831" t="s">
        <v>313</v>
      </c>
      <c r="N166" s="831" t="s">
        <v>314</v>
      </c>
      <c r="O166" s="831">
        <v>45291</v>
      </c>
      <c r="P166" s="831">
        <v>45382</v>
      </c>
      <c r="Q166" s="831" t="s">
        <v>315</v>
      </c>
      <c r="R166" s="831" t="s">
        <v>316</v>
      </c>
      <c r="S166" s="831">
        <v>45657</v>
      </c>
    </row>
    <row r="167" spans="2:23" ht="14.25" customHeight="1" x14ac:dyDescent="0.3">
      <c r="B167" s="368" t="s">
        <v>199</v>
      </c>
      <c r="C167" s="368" t="s">
        <v>200</v>
      </c>
      <c r="D167" s="807" t="s">
        <v>317</v>
      </c>
      <c r="E167" s="807" t="s">
        <v>318</v>
      </c>
      <c r="F167" s="807" t="s">
        <v>319</v>
      </c>
      <c r="G167" s="807" t="s">
        <v>320</v>
      </c>
      <c r="H167" s="807" t="s">
        <v>321</v>
      </c>
      <c r="I167" s="807" t="s">
        <v>322</v>
      </c>
      <c r="J167" s="807" t="s">
        <v>323</v>
      </c>
      <c r="K167" s="807" t="s">
        <v>324</v>
      </c>
      <c r="L167" s="807" t="s">
        <v>325</v>
      </c>
      <c r="M167" s="807" t="s">
        <v>326</v>
      </c>
      <c r="N167" s="807" t="s">
        <v>327</v>
      </c>
      <c r="O167" s="807" t="s">
        <v>328</v>
      </c>
      <c r="P167" s="807" t="s">
        <v>329</v>
      </c>
      <c r="Q167" s="807" t="s">
        <v>330</v>
      </c>
      <c r="R167" s="807" t="s">
        <v>331</v>
      </c>
      <c r="S167" s="807" t="s">
        <v>332</v>
      </c>
      <c r="T167" s="347" t="s">
        <v>333</v>
      </c>
      <c r="U167" s="347" t="s">
        <v>334</v>
      </c>
      <c r="V167" s="347" t="s">
        <v>335</v>
      </c>
    </row>
    <row r="168" spans="2:23" ht="3.75" customHeight="1" x14ac:dyDescent="0.3">
      <c r="B168" s="373"/>
      <c r="C168" s="373"/>
      <c r="D168" s="373"/>
      <c r="E168" s="373"/>
      <c r="F168" s="373"/>
      <c r="G168" s="373"/>
      <c r="H168" s="373"/>
      <c r="I168" s="373"/>
      <c r="J168" s="373"/>
      <c r="K168" s="373"/>
      <c r="L168" s="373"/>
      <c r="M168" s="373"/>
      <c r="N168" s="373"/>
      <c r="O168" s="373"/>
      <c r="P168" s="373"/>
      <c r="Q168" s="373"/>
      <c r="R168" s="373"/>
      <c r="S168" s="373"/>
    </row>
    <row r="169" spans="2:23" ht="14.25" customHeight="1" x14ac:dyDescent="0.3">
      <c r="B169" s="376" t="s">
        <v>336</v>
      </c>
      <c r="C169" s="377" t="s">
        <v>337</v>
      </c>
      <c r="D169" s="393">
        <f>+SEG!G55</f>
        <v>6062469</v>
      </c>
      <c r="E169" s="393">
        <f>+SEG!H55</f>
        <v>7505783</v>
      </c>
      <c r="F169" s="393">
        <f>+SEG!I55</f>
        <v>8312960</v>
      </c>
      <c r="G169" s="393">
        <f>+SEG!J55</f>
        <v>8718499</v>
      </c>
      <c r="H169" s="393">
        <f>+SEG!K55</f>
        <v>7857576</v>
      </c>
      <c r="I169" s="393">
        <f>+SEG!L55</f>
        <v>8781735</v>
      </c>
      <c r="J169" s="393">
        <f>+SEG!M55</f>
        <v>6954326</v>
      </c>
      <c r="K169" s="393">
        <f>+SEG!N55</f>
        <v>4575165</v>
      </c>
      <c r="L169" s="393">
        <f>+SEG!O55</f>
        <v>2918692</v>
      </c>
      <c r="M169" s="393">
        <f>+SEG!P55</f>
        <v>4414132</v>
      </c>
      <c r="N169" s="393">
        <f>+SEG!Q55</f>
        <v>6085615</v>
      </c>
      <c r="O169" s="393">
        <f>+SEG!R55</f>
        <v>7350223</v>
      </c>
      <c r="P169" s="393">
        <f>+SEG!S55</f>
        <v>7493448</v>
      </c>
      <c r="Q169" s="393">
        <f>+SEG!T55</f>
        <v>10700356</v>
      </c>
      <c r="R169" s="393">
        <f>+SEG!U55</f>
        <v>12048412</v>
      </c>
      <c r="S169" s="393">
        <f>+SEG!V55</f>
        <v>14489448</v>
      </c>
      <c r="T169" s="395">
        <f>+((SUM(P169:S169)/SUM(D169:G169))^(1/4))-1</f>
        <v>9.9573924403408842E-2</v>
      </c>
      <c r="U169" s="395">
        <f>+((SUM(P169:S169)/SUM(H169:K169))^(1/4))-1</f>
        <v>0.12256544414232717</v>
      </c>
      <c r="V169" s="395">
        <f>+((SUM(P169:S169)/SUM(L169:O169))^(1/4))-1</f>
        <v>0.21143923167312662</v>
      </c>
    </row>
    <row r="170" spans="2:23" ht="14.25" customHeight="1" x14ac:dyDescent="0.3">
      <c r="B170" s="376" t="s">
        <v>338</v>
      </c>
      <c r="C170" s="377" t="s">
        <v>339</v>
      </c>
      <c r="D170" s="393">
        <f>+'SAMSUNG SEG'!D46</f>
        <v>13927987.109999999</v>
      </c>
      <c r="E170" s="393">
        <f>+'SAMSUNG SEG'!E46</f>
        <v>16403517.35</v>
      </c>
      <c r="F170" s="393">
        <f>+'SAMSUNG SEG'!F46</f>
        <v>20284871.609999999</v>
      </c>
      <c r="G170" s="393">
        <f>+'SAMSUNG SEG'!G46</f>
        <v>19450000</v>
      </c>
      <c r="H170" s="393">
        <f>+'SAMSUNG SEG'!H46</f>
        <v>20090000</v>
      </c>
      <c r="I170" s="393">
        <f>+'SAMSUNG SEG'!I46</f>
        <v>21080000</v>
      </c>
      <c r="J170" s="393">
        <f>+'SAMSUNG SEG'!J46</f>
        <v>15230000</v>
      </c>
      <c r="K170" s="393">
        <f>+'SAMSUNG SEG'!K46</f>
        <v>12140000</v>
      </c>
      <c r="L170" s="393">
        <f>+'SAMSUNG SEG'!L46</f>
        <v>8920000</v>
      </c>
      <c r="M170" s="393">
        <f>+'SAMSUNG SEG'!M46</f>
        <v>8970000</v>
      </c>
      <c r="N170" s="393">
        <f>+'SAMSUNG SEG'!N46</f>
        <v>10530000</v>
      </c>
      <c r="O170" s="393">
        <f>+'SAMSUNG SEG'!O46</f>
        <v>15710000</v>
      </c>
      <c r="P170" s="393">
        <f>+'SAMSUNG SEG'!P46</f>
        <v>17490000</v>
      </c>
      <c r="Q170" s="393">
        <f>+'SAMSUNG SEG'!Q46</f>
        <v>21740000</v>
      </c>
      <c r="R170" s="393">
        <f>+'SAMSUNG SEG'!R46</f>
        <v>22270000</v>
      </c>
      <c r="S170" s="393">
        <f>+'SAMSUNG SEG'!S46</f>
        <v>22994650</v>
      </c>
      <c r="T170" s="395">
        <f>+((SUM(P170:S170)/SUM(D170:G170))^(1/4))-1</f>
        <v>4.7924246176545005E-2</v>
      </c>
      <c r="U170" s="395">
        <f>+((SUM(P170:S170)/SUM(H170:K170))^(1/4))-1</f>
        <v>5.3710427416592932E-2</v>
      </c>
      <c r="V170" s="395">
        <f>+((SUM(P170:S170)/SUM(L170:O170))^(1/4))-1</f>
        <v>0.17631550359818138</v>
      </c>
      <c r="W170" s="832"/>
    </row>
    <row r="171" spans="2:23" ht="14.25" customHeight="1" x14ac:dyDescent="0.3">
      <c r="B171" s="376" t="s">
        <v>340</v>
      </c>
      <c r="C171" s="377" t="s">
        <v>341</v>
      </c>
      <c r="D171" s="795">
        <f>+'MICRON SEG'!B6*1000</f>
        <v>4632060</v>
      </c>
      <c r="E171" s="795">
        <f>+'MICRON SEG'!C6*1000</f>
        <v>4902450</v>
      </c>
      <c r="F171" s="795">
        <f>+'MICRON SEG'!D6*1000</f>
        <v>6121980</v>
      </c>
      <c r="G171" s="795">
        <f>+'MICRON SEG'!E6*1000</f>
        <v>6974840</v>
      </c>
      <c r="H171" s="795">
        <f>+'MICRON SEG'!F6*1000</f>
        <v>6595360</v>
      </c>
      <c r="I171" s="795">
        <f>+'MICRON SEG'!G6*1000</f>
        <v>6826810</v>
      </c>
      <c r="J171" s="795">
        <f>+'MICRON SEG'!H6*1000</f>
        <v>7795920</v>
      </c>
      <c r="K171" s="795">
        <f>+'MICRON SEG'!I6*1000</f>
        <v>6278710</v>
      </c>
      <c r="L171" s="795">
        <f>+'MICRON SEG'!J6*1000</f>
        <v>3937560</v>
      </c>
      <c r="M171" s="795">
        <f>+'MICRON SEG'!K6*1000</f>
        <v>3465150</v>
      </c>
      <c r="N171" s="795">
        <f>+'MICRON SEG'!L6*1000</f>
        <v>3524320</v>
      </c>
      <c r="O171" s="795">
        <f>+'MICRON SEG'!M6*1000</f>
        <v>3584560</v>
      </c>
      <c r="P171" s="795">
        <f>+'MICRON SEG'!N6*1000</f>
        <v>4559030</v>
      </c>
      <c r="Q171" s="795">
        <f>+'MICRON SEG'!O6*1000</f>
        <v>5492910</v>
      </c>
      <c r="R171" s="795">
        <f>+'MICRON SEG'!P6*1000</f>
        <v>6361980</v>
      </c>
      <c r="S171" s="795">
        <f>+'MICRON SEG'!Q6*1000</f>
        <v>7308150</v>
      </c>
      <c r="T171" s="395">
        <f>+((SUM(P171:S171)/SUM(D171:G171))^(1/4))-1</f>
        <v>1.1837163460722389E-2</v>
      </c>
      <c r="U171" s="395">
        <f>+((SUM(P171:S171)/SUM(H171:K171))^(1/4))-1</f>
        <v>-3.6242863259528968E-2</v>
      </c>
      <c r="V171" s="395">
        <f>+((SUM(P171:S171)/SUM(L171:O171))^(1/4))-1</f>
        <v>0.13073125244870498</v>
      </c>
      <c r="W171" s="395"/>
    </row>
    <row r="172" spans="2:23" ht="14.25" customHeight="1" x14ac:dyDescent="0.3">
      <c r="B172" s="376"/>
      <c r="C172" s="377"/>
      <c r="D172" s="795"/>
      <c r="E172" s="795"/>
      <c r="F172" s="795"/>
      <c r="G172" s="795"/>
      <c r="H172" s="795"/>
      <c r="I172" s="795"/>
      <c r="J172" s="795"/>
      <c r="K172" s="795"/>
      <c r="L172" s="795"/>
      <c r="M172" s="795"/>
      <c r="N172" s="795"/>
      <c r="O172" s="795"/>
      <c r="P172" s="795"/>
      <c r="Q172" s="795"/>
      <c r="R172" s="795"/>
      <c r="S172" s="795"/>
      <c r="T172" s="395"/>
      <c r="U172" s="395"/>
      <c r="V172" s="395"/>
      <c r="W172" s="395"/>
    </row>
    <row r="173" spans="2:23" ht="14.25" customHeight="1" x14ac:dyDescent="0.3">
      <c r="B173" s="368" t="s">
        <v>342</v>
      </c>
      <c r="C173" s="368"/>
      <c r="D173" s="368"/>
      <c r="E173" s="368"/>
      <c r="F173" s="368"/>
      <c r="G173" s="368"/>
      <c r="H173" s="368"/>
      <c r="I173" s="368"/>
      <c r="J173" s="368"/>
      <c r="K173" s="368"/>
      <c r="L173" s="368"/>
      <c r="M173" s="368"/>
      <c r="N173" s="368"/>
      <c r="O173" s="368"/>
      <c r="P173" s="368"/>
      <c r="Q173" s="368"/>
      <c r="R173" s="368"/>
      <c r="S173" s="368"/>
    </row>
    <row r="174" spans="2:23" ht="14.25" customHeight="1" x14ac:dyDescent="0.3">
      <c r="B174" s="368" t="s">
        <v>199</v>
      </c>
      <c r="C174" s="368" t="s">
        <v>200</v>
      </c>
      <c r="D174" s="807" t="s">
        <v>317</v>
      </c>
      <c r="E174" s="807" t="s">
        <v>318</v>
      </c>
      <c r="F174" s="807" t="s">
        <v>319</v>
      </c>
      <c r="G174" s="807" t="s">
        <v>320</v>
      </c>
      <c r="H174" s="807" t="s">
        <v>321</v>
      </c>
      <c r="I174" s="807" t="s">
        <v>322</v>
      </c>
      <c r="J174" s="807" t="s">
        <v>323</v>
      </c>
      <c r="K174" s="807" t="s">
        <v>324</v>
      </c>
      <c r="L174" s="807" t="s">
        <v>325</v>
      </c>
      <c r="M174" s="807" t="s">
        <v>326</v>
      </c>
      <c r="N174" s="807" t="s">
        <v>327</v>
      </c>
      <c r="O174" s="807" t="s">
        <v>328</v>
      </c>
      <c r="P174" s="807" t="s">
        <v>329</v>
      </c>
      <c r="Q174" s="807" t="s">
        <v>330</v>
      </c>
      <c r="R174" s="807" t="s">
        <v>331</v>
      </c>
      <c r="S174" s="807" t="s">
        <v>332</v>
      </c>
      <c r="T174" s="347" t="s">
        <v>333</v>
      </c>
      <c r="U174" s="347" t="s">
        <v>334</v>
      </c>
      <c r="V174" s="347" t="s">
        <v>335</v>
      </c>
    </row>
    <row r="175" spans="2:23" ht="3.75" customHeight="1" x14ac:dyDescent="0.3">
      <c r="B175" s="373"/>
      <c r="C175" s="373"/>
      <c r="D175" s="373"/>
      <c r="E175" s="373"/>
      <c r="F175" s="373"/>
      <c r="G175" s="373"/>
      <c r="H175" s="373"/>
      <c r="I175" s="373"/>
      <c r="J175" s="373"/>
      <c r="K175" s="373"/>
      <c r="L175" s="373"/>
      <c r="M175" s="373"/>
      <c r="N175" s="373"/>
      <c r="O175" s="373"/>
      <c r="P175" s="373"/>
      <c r="Q175" s="373"/>
      <c r="R175" s="373"/>
      <c r="S175" s="373"/>
    </row>
    <row r="176" spans="2:23" ht="14.25" customHeight="1" x14ac:dyDescent="0.3">
      <c r="B176" s="376" t="s">
        <v>336</v>
      </c>
      <c r="C176" s="377" t="s">
        <v>337</v>
      </c>
      <c r="D176" s="393">
        <f>+SEG!G57</f>
        <v>2007523</v>
      </c>
      <c r="E176" s="393">
        <f>+SEG!H57</f>
        <v>2305681</v>
      </c>
      <c r="F176" s="393">
        <f>+SEG!I57</f>
        <v>3044004</v>
      </c>
      <c r="G176" s="393">
        <f>+SEG!J57</f>
        <v>3172239</v>
      </c>
      <c r="H176" s="393">
        <f>+SEG!K57</f>
        <v>3913395</v>
      </c>
      <c r="I176" s="393">
        <f>+SEG!L57</f>
        <v>4517859</v>
      </c>
      <c r="J176" s="393">
        <f>+SEG!M57</f>
        <v>3388186</v>
      </c>
      <c r="K176" s="393">
        <f>+SEG!N57</f>
        <v>2364483</v>
      </c>
      <c r="L176" s="393">
        <f>+SEG!O57</f>
        <v>1688034</v>
      </c>
      <c r="M176" s="393">
        <f>+SEG!P57</f>
        <v>2240211</v>
      </c>
      <c r="N176" s="393">
        <f>+SEG!Q57</f>
        <v>2426210</v>
      </c>
      <c r="O176" s="393">
        <f>+SEG!R57</f>
        <v>3298606</v>
      </c>
      <c r="P176" s="393">
        <f>+SEG!S57</f>
        <v>4407213</v>
      </c>
      <c r="Q176" s="393">
        <f>+SEG!T57</f>
        <v>5184707</v>
      </c>
      <c r="R176" s="393">
        <f>+SEG!U57</f>
        <v>4980518</v>
      </c>
      <c r="S176" s="393">
        <f>+SEG!V57</f>
        <v>4701674</v>
      </c>
      <c r="T176" s="395">
        <f>+((SUM(P176:S176)/SUM(D176:G176))^(1/4))-1</f>
        <v>0.16316735205518862</v>
      </c>
      <c r="U176" s="395">
        <f>+((SUM(P176:S176)/SUM(H176:K176))^(1/4))-1</f>
        <v>7.9678624624166305E-2</v>
      </c>
      <c r="V176" s="395">
        <f>+((SUM(P176:S176)/SUM(L176:O176))^(1/4))-1</f>
        <v>0.18871387494575953</v>
      </c>
    </row>
    <row r="177" spans="2:22" ht="14.25" customHeight="1" x14ac:dyDescent="0.3">
      <c r="B177" s="376" t="s">
        <v>338</v>
      </c>
      <c r="C177" s="377" t="s">
        <v>339</v>
      </c>
      <c r="D177" s="393">
        <f>+'SAMSUNG SEG'!D20</f>
        <v>4571306</v>
      </c>
      <c r="E177" s="393">
        <f>+'SAMSUNG SEG'!E20</f>
        <v>4860433</v>
      </c>
      <c r="F177" s="393">
        <f>+'SAMSUNG SEG'!F20</f>
        <v>5573546</v>
      </c>
      <c r="G177" s="393">
        <f>+'SAMSUNG SEG'!G20</f>
        <v>6830000</v>
      </c>
      <c r="H177" s="393">
        <f>+'SAMSUNG SEG'!H20</f>
        <v>6780000</v>
      </c>
      <c r="I177" s="393">
        <f>+'SAMSUNG SEG'!I20</f>
        <v>7420000</v>
      </c>
      <c r="J177" s="393">
        <f>+'SAMSUNG SEG'!J20</f>
        <v>7790000</v>
      </c>
      <c r="K177" s="393">
        <f>+'SAMSUNG SEG'!K20</f>
        <v>7930000</v>
      </c>
      <c r="L177" s="393">
        <f>+'SAMSUNG SEG'!L20</f>
        <v>4810000</v>
      </c>
      <c r="M177" s="393">
        <f>+'SAMSUNG SEG'!M20</f>
        <v>5760000</v>
      </c>
      <c r="N177" s="393">
        <f>+'SAMSUNG SEG'!N20</f>
        <v>5890000</v>
      </c>
      <c r="O177" s="393">
        <f>+'SAMSUNG SEG'!O20</f>
        <v>6000000</v>
      </c>
      <c r="P177" s="393">
        <f>+'SAMSUNG SEG'!P20</f>
        <v>5650000</v>
      </c>
      <c r="Q177" s="393">
        <f>+'SAMSUNG SEG'!Q20</f>
        <v>6820000</v>
      </c>
      <c r="R177" s="393">
        <f>+'SAMSUNG SEG'!R20</f>
        <v>7000000</v>
      </c>
      <c r="S177" s="393">
        <f>+'SAMSUNG SEG'!S20</f>
        <v>7140136</v>
      </c>
      <c r="T177" s="395">
        <f>+((SUM(P177:S177)/SUM(D177:G177))^(1/4))-1</f>
        <v>5.0683851310506789E-2</v>
      </c>
      <c r="U177" s="395">
        <f>+((SUM(P177:S177)/SUM(H177:K177))^(1/4))-1</f>
        <v>-2.888340369651099E-2</v>
      </c>
      <c r="V177" s="395">
        <f>+((SUM(P177:S177)/SUM(L177:O177))^(1/4))-1</f>
        <v>4.3300307919521996E-2</v>
      </c>
    </row>
    <row r="178" spans="2:22" ht="14.25" customHeight="1" x14ac:dyDescent="0.3">
      <c r="B178" s="376" t="s">
        <v>340</v>
      </c>
      <c r="C178" s="377" t="s">
        <v>341</v>
      </c>
      <c r="D178" s="795">
        <f>1000*'MICRON SEG'!B8</f>
        <v>1797550</v>
      </c>
      <c r="E178" s="795">
        <f>1000*'MICRON SEG'!C8</f>
        <v>1820220</v>
      </c>
      <c r="F178" s="795">
        <f>1000*'MICRON SEG'!D8</f>
        <v>2036160</v>
      </c>
      <c r="G178" s="795">
        <f>1000*'MICRON SEG'!E8</f>
        <v>2257000</v>
      </c>
      <c r="H178" s="795">
        <f>1000*'MICRON SEG'!F8</f>
        <v>2216950</v>
      </c>
      <c r="I178" s="795">
        <f>1000*'MICRON SEG'!G8</f>
        <v>2336080</v>
      </c>
      <c r="J178" s="795">
        <f>1000*'MICRON SEG'!H8</f>
        <v>2844370</v>
      </c>
      <c r="K178" s="795">
        <f>1000*'MICRON SEG'!I8</f>
        <v>2203880</v>
      </c>
      <c r="L178" s="795">
        <f>1000*'MICRON SEG'!J8</f>
        <v>1535220</v>
      </c>
      <c r="M178" s="795">
        <f>1000*'MICRON SEG'!K8</f>
        <v>1126620</v>
      </c>
      <c r="N178" s="795">
        <f>1000*'MICRON SEG'!L8</f>
        <v>1336130</v>
      </c>
      <c r="O178" s="795">
        <f>1000*'MICRON SEG'!M8</f>
        <v>1567840</v>
      </c>
      <c r="P178" s="795">
        <f>1000*'MICRON SEG'!N8</f>
        <v>1636300</v>
      </c>
      <c r="Q178" s="795">
        <f>1000*'MICRON SEG'!O8</f>
        <v>2070080</v>
      </c>
      <c r="R178" s="795">
        <f>1000*'MICRON SEG'!P8</f>
        <v>2799980</v>
      </c>
      <c r="S178" s="795">
        <f>1000*'MICRON SEG'!Q8</f>
        <v>3245170</v>
      </c>
      <c r="T178" s="395">
        <f>+((SUM(P178:S178)/SUM(D178:G178))^(1/4))-1</f>
        <v>5.3686230791701872E-2</v>
      </c>
      <c r="U178" s="395">
        <f>+((SUM(P178:S178)/SUM(H178:K178))^(1/4))-1</f>
        <v>3.8894877149702189E-3</v>
      </c>
      <c r="V178" s="395">
        <f>+((SUM(P178:S178)/SUM(L178:O178))^(1/4))-1</f>
        <v>0.15049860418720939</v>
      </c>
    </row>
    <row r="179" spans="2:22" ht="14.25" customHeight="1" x14ac:dyDescent="0.3">
      <c r="B179" s="376" t="s">
        <v>343</v>
      </c>
      <c r="C179" s="377" t="s">
        <v>344</v>
      </c>
      <c r="Q179" s="393">
        <f>+'KIOXIA SEG'!Q6</f>
        <v>1962971.13</v>
      </c>
      <c r="R179" s="393">
        <f>+'KIOXIA SEG'!R6</f>
        <v>2494224.46</v>
      </c>
      <c r="S179" s="393">
        <f>+'KIOXIA SEG'!S6</f>
        <v>2558739.31</v>
      </c>
      <c r="T179" s="395"/>
      <c r="U179" s="395"/>
      <c r="V179" s="395"/>
    </row>
    <row r="180" spans="2:22" ht="14.25" customHeight="1" x14ac:dyDescent="0.3">
      <c r="B180" s="376" t="s">
        <v>345</v>
      </c>
      <c r="C180" s="377" t="s">
        <v>346</v>
      </c>
      <c r="D180" s="393">
        <f>+'WDC SEG'!B8</f>
        <v>2465903.14</v>
      </c>
      <c r="E180" s="393">
        <f>+'WDC SEG'!C8</f>
        <v>2269646.7200000002</v>
      </c>
      <c r="F180" s="393">
        <f>+'WDC SEG'!D8</f>
        <v>2426355.0499999998</v>
      </c>
      <c r="G180" s="393">
        <f>+'WDC SEG'!E8</f>
        <v>2712952.04</v>
      </c>
      <c r="H180" s="393">
        <f>+'WDC SEG'!F8</f>
        <v>2891150.88</v>
      </c>
      <c r="I180" s="393">
        <f>+'WDC SEG'!G8</f>
        <v>3101650.72</v>
      </c>
      <c r="J180" s="393">
        <f>+'WDC SEG'!H8</f>
        <v>2704469.3</v>
      </c>
      <c r="K180" s="393">
        <f>+'WDC SEG'!I8</f>
        <v>3030684.55</v>
      </c>
      <c r="L180" s="393">
        <f>+'WDC SEG'!J8</f>
        <v>2311998.5299999998</v>
      </c>
      <c r="M180" s="393">
        <f>+'WDC SEG'!K8</f>
        <v>2250617.19</v>
      </c>
      <c r="N180" s="393">
        <f>+'WDC SEG'!L8</f>
        <v>1668290.19</v>
      </c>
      <c r="O180" s="393">
        <f>+'WDC SEG'!M8</f>
        <v>1812161.45</v>
      </c>
      <c r="P180" s="393">
        <f>+'WDC SEG'!N8</f>
        <v>2044080.33</v>
      </c>
      <c r="Q180" s="393">
        <f>+'WDC SEG'!O8</f>
        <v>2198727.2799999998</v>
      </c>
      <c r="R180" s="393">
        <f>+'WDC SEG'!P8</f>
        <v>2268322.8199999998</v>
      </c>
      <c r="S180" s="393">
        <f>+'WDC SEG'!Q8</f>
        <v>2415003.9700000002</v>
      </c>
      <c r="T180" s="395">
        <f t="shared" ref="T180" si="41">+((SUM(P180:S180)/SUM(D180:G180))^(1/4))-1</f>
        <v>-2.4935932945926109E-2</v>
      </c>
      <c r="U180" s="395">
        <f t="shared" ref="U180" si="42">+((SUM(P180:S180)/SUM(H180:K180))^(1/4))-1</f>
        <v>-6.5971176383457952E-2</v>
      </c>
      <c r="V180" s="395">
        <f t="shared" ref="V180" si="43">+((SUM(P180:S180)/SUM(L180:O180))^(1/4))-1</f>
        <v>2.6385313111842779E-2</v>
      </c>
    </row>
    <row r="183" spans="2:22" ht="14.25" customHeight="1" x14ac:dyDescent="0.3">
      <c r="S183" s="855"/>
    </row>
  </sheetData>
  <mergeCells count="12">
    <mergeCell ref="D2:E2"/>
    <mergeCell ref="H3:I3"/>
    <mergeCell ref="J3:K3"/>
    <mergeCell ref="F3:G3"/>
    <mergeCell ref="N3:O3"/>
    <mergeCell ref="D3:E3"/>
    <mergeCell ref="L3:M3"/>
    <mergeCell ref="D139:O139"/>
    <mergeCell ref="D138:O138"/>
    <mergeCell ref="D21:F21"/>
    <mergeCell ref="J21:L21"/>
    <mergeCell ref="M21:O21"/>
  </mergeCells>
  <phoneticPr fontId="88" type="noConversion"/>
  <conditionalFormatting sqref="D8:D17 D6">
    <cfRule type="colorScale" priority="28">
      <colorScale>
        <cfvo type="min"/>
        <cfvo type="percentile" val="50"/>
        <cfvo type="max"/>
        <color rgb="FFF8696B"/>
        <color rgb="FFFFEB84"/>
        <color rgb="FF63BE7B"/>
      </colorScale>
    </cfRule>
  </conditionalFormatting>
  <conditionalFormatting sqref="E8:E17 E6">
    <cfRule type="colorScale" priority="27">
      <colorScale>
        <cfvo type="min"/>
        <cfvo type="percentile" val="50"/>
        <cfvo type="max"/>
        <color rgb="FFF8696B"/>
        <color rgb="FFFFEB84"/>
        <color rgb="FF63BE7B"/>
      </colorScale>
    </cfRule>
  </conditionalFormatting>
  <conditionalFormatting sqref="F8:G17 F6:G6">
    <cfRule type="colorScale" priority="25">
      <colorScale>
        <cfvo type="min"/>
        <cfvo type="percentile" val="50"/>
        <cfvo type="max"/>
        <color rgb="FFF8696B"/>
        <color rgb="FFFFEB84"/>
        <color rgb="FF63BE7B"/>
      </colorScale>
    </cfRule>
  </conditionalFormatting>
  <conditionalFormatting sqref="H6:H12">
    <cfRule type="colorScale" priority="31">
      <colorScale>
        <cfvo type="min"/>
        <cfvo type="percentile" val="50"/>
        <cfvo type="max"/>
        <color rgb="FF63BE7B"/>
        <color rgb="FFFFEB84"/>
        <color rgb="FFF8696B"/>
      </colorScale>
    </cfRule>
    <cfRule type="colorScale" priority="37">
      <colorScale>
        <cfvo type="min"/>
        <cfvo type="percentile" val="50"/>
        <cfvo type="max"/>
        <color rgb="FF63BE7B"/>
        <color rgb="FFFFEB84"/>
        <color rgb="FFF8696B"/>
      </colorScale>
    </cfRule>
  </conditionalFormatting>
  <conditionalFormatting sqref="H8:H17 H6">
    <cfRule type="colorScale" priority="24">
      <colorScale>
        <cfvo type="min"/>
        <cfvo type="percentile" val="50"/>
        <cfvo type="max"/>
        <color rgb="FFF8696B"/>
        <color rgb="FFFFEB84"/>
        <color rgb="FF63BE7B"/>
      </colorScale>
    </cfRule>
  </conditionalFormatting>
  <conditionalFormatting sqref="H13:H17">
    <cfRule type="colorScale" priority="61">
      <colorScale>
        <cfvo type="min"/>
        <cfvo type="percentile" val="50"/>
        <cfvo type="max"/>
        <color rgb="FFF8696B"/>
        <color rgb="FFFFEB84"/>
        <color rgb="FF63BE7B"/>
      </colorScale>
    </cfRule>
  </conditionalFormatting>
  <conditionalFormatting sqref="I7">
    <cfRule type="colorScale" priority="22">
      <colorScale>
        <cfvo type="min"/>
        <cfvo type="percentile" val="50"/>
        <cfvo type="max"/>
        <color rgb="FF63BE7B"/>
        <color rgb="FFFFEB84"/>
        <color rgb="FFF8696B"/>
      </colorScale>
    </cfRule>
    <cfRule type="colorScale" priority="23">
      <colorScale>
        <cfvo type="min"/>
        <cfvo type="percentile" val="50"/>
        <cfvo type="max"/>
        <color rgb="FF63BE7B"/>
        <color rgb="FFFFEB84"/>
        <color rgb="FFF8696B"/>
      </colorScale>
    </cfRule>
  </conditionalFormatting>
  <conditionalFormatting sqref="I8:I17 I6">
    <cfRule type="colorScale" priority="78">
      <colorScale>
        <cfvo type="min"/>
        <cfvo type="percentile" val="50"/>
        <cfvo type="max"/>
        <color rgb="FF63BE7B"/>
        <color rgb="FFFFEB84"/>
        <color rgb="FFF8696B"/>
      </colorScale>
    </cfRule>
    <cfRule type="colorScale" priority="79">
      <colorScale>
        <cfvo type="min"/>
        <cfvo type="percentile" val="50"/>
        <cfvo type="max"/>
        <color rgb="FF63BE7B"/>
        <color rgb="FFFFEB84"/>
        <color rgb="FFF8696B"/>
      </colorScale>
    </cfRule>
    <cfRule type="colorScale" priority="21">
      <colorScale>
        <cfvo type="min"/>
        <cfvo type="percentile" val="50"/>
        <cfvo type="max"/>
        <color rgb="FFF8696B"/>
        <color rgb="FFFFEB84"/>
        <color rgb="FF63BE7B"/>
      </colorScale>
    </cfRule>
  </conditionalFormatting>
  <conditionalFormatting sqref="J6:J17">
    <cfRule type="colorScale" priority="29">
      <colorScale>
        <cfvo type="min"/>
        <cfvo type="percentile" val="50"/>
        <cfvo type="max"/>
        <color rgb="FF63BE7B"/>
        <color rgb="FFFFEB84"/>
        <color rgb="FFF8696B"/>
      </colorScale>
    </cfRule>
    <cfRule type="colorScale" priority="35">
      <colorScale>
        <cfvo type="min"/>
        <cfvo type="percentile" val="50"/>
        <cfvo type="max"/>
        <color rgb="FF63BE7B"/>
        <color rgb="FFFFEB84"/>
        <color rgb="FFF8696B"/>
      </colorScale>
    </cfRule>
  </conditionalFormatting>
  <conditionalFormatting sqref="J13:J17">
    <cfRule type="colorScale" priority="59">
      <colorScale>
        <cfvo type="min"/>
        <cfvo type="percentile" val="50"/>
        <cfvo type="max"/>
        <color rgb="FFF8696B"/>
        <color rgb="FFFFEB84"/>
        <color rgb="FF63BE7B"/>
      </colorScale>
    </cfRule>
  </conditionalFormatting>
  <conditionalFormatting sqref="J8:K17 J6:K6">
    <cfRule type="colorScale" priority="20">
      <colorScale>
        <cfvo type="min"/>
        <cfvo type="percentile" val="50"/>
        <cfvo type="max"/>
        <color rgb="FF63BE7B"/>
        <color rgb="FFFFEB84"/>
        <color rgb="FFF8696B"/>
      </colorScale>
    </cfRule>
  </conditionalFormatting>
  <conditionalFormatting sqref="K6:K17">
    <cfRule type="colorScale" priority="13">
      <colorScale>
        <cfvo type="min"/>
        <cfvo type="percentile" val="50"/>
        <cfvo type="max"/>
        <color rgb="FF63BE7B"/>
        <color rgb="FFFFEB84"/>
        <color rgb="FFF8696B"/>
      </colorScale>
    </cfRule>
    <cfRule type="colorScale" priority="14">
      <colorScale>
        <cfvo type="min"/>
        <cfvo type="percentile" val="50"/>
        <cfvo type="max"/>
        <color rgb="FF63BE7B"/>
        <color rgb="FFFFEB84"/>
        <color rgb="FFF8696B"/>
      </colorScale>
    </cfRule>
  </conditionalFormatting>
  <conditionalFormatting sqref="K8:K17 K6">
    <cfRule type="colorScale" priority="12">
      <colorScale>
        <cfvo type="min"/>
        <cfvo type="percentile" val="50"/>
        <cfvo type="max"/>
        <color rgb="FF63BE7B"/>
        <color rgb="FFFFEB84"/>
        <color rgb="FFF8696B"/>
      </colorScale>
    </cfRule>
  </conditionalFormatting>
  <conditionalFormatting sqref="K13:K17">
    <cfRule type="colorScale" priority="15">
      <colorScale>
        <cfvo type="min"/>
        <cfvo type="percentile" val="50"/>
        <cfvo type="max"/>
        <color rgb="FFF8696B"/>
        <color rgb="FFFFEB84"/>
        <color rgb="FF63BE7B"/>
      </colorScale>
    </cfRule>
  </conditionalFormatting>
  <conditionalFormatting sqref="L13:L17">
    <cfRule type="colorScale" priority="77">
      <colorScale>
        <cfvo type="min"/>
        <cfvo type="percentile" val="50"/>
        <cfvo type="max"/>
        <color rgb="FFF8696B"/>
        <color rgb="FFFFEB84"/>
        <color rgb="FF63BE7B"/>
      </colorScale>
    </cfRule>
  </conditionalFormatting>
  <conditionalFormatting sqref="L8:M10 M6 M11">
    <cfRule type="colorScale" priority="2">
      <colorScale>
        <cfvo type="min"/>
        <cfvo type="percentile" val="50"/>
        <cfvo type="max"/>
        <color rgb="FF63BE7B"/>
        <color rgb="FFFFEB84"/>
        <color rgb="FFF8696B"/>
      </colorScale>
    </cfRule>
    <cfRule type="colorScale" priority="3">
      <colorScale>
        <cfvo type="min"/>
        <cfvo type="percentile" val="50"/>
        <cfvo type="max"/>
        <color rgb="FFF8696B"/>
        <color rgb="FFFFEB84"/>
        <color rgb="FF63BE7B"/>
      </colorScale>
    </cfRule>
  </conditionalFormatting>
  <conditionalFormatting sqref="M13:M17">
    <cfRule type="colorScale" priority="76">
      <colorScale>
        <cfvo type="min"/>
        <cfvo type="percentile" val="50"/>
        <cfvo type="max"/>
        <color rgb="FFF8696B"/>
        <color rgb="FFFFEB84"/>
        <color rgb="FF63BE7B"/>
      </colorScale>
    </cfRule>
  </conditionalFormatting>
  <conditionalFormatting sqref="M24:O27">
    <cfRule type="colorScale" priority="4">
      <colorScale>
        <cfvo type="num" val="-1"/>
        <cfvo type="num" val="0"/>
        <cfvo type="num" val="1"/>
        <color rgb="FFF8696B"/>
        <color rgb="FFFCFCFF"/>
        <color rgb="FF63BE7B"/>
      </colorScale>
    </cfRule>
  </conditionalFormatting>
  <conditionalFormatting sqref="N8:O8 O9 O6">
    <cfRule type="colorScale" priority="1">
      <colorScale>
        <cfvo type="min"/>
        <cfvo type="percentile" val="50"/>
        <cfvo type="max"/>
        <color rgb="FF63BE7B"/>
        <color rgb="FFFFEB84"/>
        <color rgb="FFF8696B"/>
      </colorScale>
    </cfRule>
  </conditionalFormatting>
  <conditionalFormatting sqref="P13:P17">
    <cfRule type="colorScale" priority="54">
      <colorScale>
        <cfvo type="min"/>
        <cfvo type="percentile" val="50"/>
        <cfvo type="max"/>
        <color rgb="FF63BE7B"/>
        <color rgb="FFFFEB84"/>
        <color rgb="FFF8696B"/>
      </colorScale>
    </cfRule>
  </conditionalFormatting>
  <conditionalFormatting sqref="Q13:Q17">
    <cfRule type="colorScale" priority="53">
      <colorScale>
        <cfvo type="min"/>
        <cfvo type="percentile" val="50"/>
        <cfvo type="max"/>
        <color rgb="FF63BE7B"/>
        <color rgb="FFFFEB84"/>
        <color rgb="FFF8696B"/>
      </colorScale>
    </cfRule>
  </conditionalFormatting>
  <conditionalFormatting sqref="R13:R17">
    <cfRule type="colorScale" priority="52">
      <colorScale>
        <cfvo type="min"/>
        <cfvo type="percentile" val="50"/>
        <cfvo type="max"/>
        <color rgb="FFF8696B"/>
        <color rgb="FFFFEB84"/>
        <color rgb="FF63BE7B"/>
      </colorScale>
    </cfRule>
  </conditionalFormatting>
  <conditionalFormatting sqref="T13:T17">
    <cfRule type="colorScale" priority="51">
      <colorScale>
        <cfvo type="min"/>
        <cfvo type="percentile" val="50"/>
        <cfvo type="max"/>
        <color rgb="FFF8696B"/>
        <color rgb="FFFFEB84"/>
        <color rgb="FF63BE7B"/>
      </colorScale>
    </cfRule>
    <cfRule type="colorScale" priority="71">
      <colorScale>
        <cfvo type="min"/>
        <cfvo type="percentile" val="50"/>
        <cfvo type="max"/>
        <color rgb="FFF8696B"/>
        <color rgb="FFFFEB84"/>
        <color rgb="FF63BE7B"/>
      </colorScale>
    </cfRule>
  </conditionalFormatting>
  <conditionalFormatting sqref="U13:U17">
    <cfRule type="colorScale" priority="50">
      <colorScale>
        <cfvo type="min"/>
        <cfvo type="percentile" val="50"/>
        <cfvo type="max"/>
        <color rgb="FFF8696B"/>
        <color rgb="FFFFEB84"/>
        <color rgb="FF63BE7B"/>
      </colorScale>
    </cfRule>
    <cfRule type="colorScale" priority="70">
      <colorScale>
        <cfvo type="min"/>
        <cfvo type="percentile" val="50"/>
        <cfvo type="max"/>
        <color rgb="FFF8696B"/>
        <color rgb="FFFFEB84"/>
        <color rgb="FF63BE7B"/>
      </colorScale>
    </cfRule>
  </conditionalFormatting>
  <conditionalFormatting sqref="W13:W17">
    <cfRule type="colorScale" priority="49">
      <colorScale>
        <cfvo type="min"/>
        <cfvo type="percentile" val="50"/>
        <cfvo type="max"/>
        <color rgb="FFF8696B"/>
        <color rgb="FFFFEB84"/>
        <color rgb="FF63BE7B"/>
      </colorScale>
    </cfRule>
    <cfRule type="colorScale" priority="69">
      <colorScale>
        <cfvo type="min"/>
        <cfvo type="percentile" val="50"/>
        <cfvo type="max"/>
        <color rgb="FFF8696B"/>
        <color rgb="FFFFEB84"/>
        <color rgb="FF63BE7B"/>
      </colorScale>
    </cfRule>
  </conditionalFormatting>
  <conditionalFormatting sqref="X13:X17">
    <cfRule type="colorScale" priority="48">
      <colorScale>
        <cfvo type="min"/>
        <cfvo type="percentile" val="50"/>
        <cfvo type="max"/>
        <color rgb="FFF8696B"/>
        <color rgb="FFFFEB84"/>
        <color rgb="FF63BE7B"/>
      </colorScale>
    </cfRule>
    <cfRule type="colorScale" priority="68">
      <colorScale>
        <cfvo type="min"/>
        <cfvo type="percentile" val="50"/>
        <cfvo type="max"/>
        <color rgb="FFF8696B"/>
        <color rgb="FFFFEB84"/>
        <color rgb="FF63BE7B"/>
      </colorScale>
    </cfRule>
  </conditionalFormatting>
  <conditionalFormatting sqref="Y13:Y17">
    <cfRule type="colorScale" priority="67">
      <colorScale>
        <cfvo type="min"/>
        <cfvo type="percentile" val="50"/>
        <cfvo type="max"/>
        <color rgb="FF63BE7B"/>
        <color rgb="FFFFEB84"/>
        <color rgb="FFF8696B"/>
      </colorScale>
    </cfRule>
  </conditionalFormatting>
  <conditionalFormatting sqref="Z13:Z17">
    <cfRule type="colorScale" priority="66">
      <colorScale>
        <cfvo type="min"/>
        <cfvo type="percentile" val="50"/>
        <cfvo type="max"/>
        <color rgb="FFF8696B"/>
        <color rgb="FFFFEB84"/>
        <color rgb="FF63BE7B"/>
      </colorScale>
    </cfRule>
    <cfRule type="colorScale" priority="47">
      <colorScale>
        <cfvo type="min"/>
        <cfvo type="percentile" val="50"/>
        <cfvo type="max"/>
        <color rgb="FFF8696B"/>
        <color rgb="FFFFEB84"/>
        <color rgb="FF63BE7B"/>
      </colorScale>
    </cfRule>
  </conditionalFormatting>
  <conditionalFormatting sqref="AA13:AA17">
    <cfRule type="colorScale" priority="65">
      <colorScale>
        <cfvo type="min"/>
        <cfvo type="percentile" val="50"/>
        <cfvo type="max"/>
        <color rgb="FFF8696B"/>
        <color rgb="FFFFEB84"/>
        <color rgb="FF63BE7B"/>
      </colorScale>
    </cfRule>
    <cfRule type="colorScale" priority="46">
      <colorScale>
        <cfvo type="min"/>
        <cfvo type="percentile" val="50"/>
        <cfvo type="max"/>
        <color rgb="FFF8696B"/>
        <color rgb="FFFFEB84"/>
        <color rgb="FF63BE7B"/>
      </colorScale>
    </cfRule>
  </conditionalFormatting>
  <conditionalFormatting sqref="AB13:AB17">
    <cfRule type="colorScale" priority="45">
      <colorScale>
        <cfvo type="min"/>
        <cfvo type="percentile" val="50"/>
        <cfvo type="max"/>
        <color rgb="FF63BE7B"/>
        <color rgb="FFFFEB84"/>
        <color rgb="FFF8696B"/>
      </colorScale>
    </cfRule>
  </conditionalFormatting>
  <conditionalFormatting sqref="AD6:AD17">
    <cfRule type="colorScale" priority="64">
      <colorScale>
        <cfvo type="min"/>
        <cfvo type="percentile" val="50"/>
        <cfvo type="max"/>
        <color rgb="FF63BE7B"/>
        <color rgb="FFFFEB84"/>
        <color rgb="FFF8696B"/>
      </colorScale>
    </cfRule>
    <cfRule type="colorScale" priority="44">
      <colorScale>
        <cfvo type="min"/>
        <cfvo type="percentile" val="50"/>
        <cfvo type="max"/>
        <color rgb="FF63BE7B"/>
        <color rgb="FFFFEB84"/>
        <color rgb="FFF8696B"/>
      </colorScale>
    </cfRule>
  </conditionalFormatting>
  <conditionalFormatting sqref="AE6:AE17">
    <cfRule type="colorScale" priority="43">
      <colorScale>
        <cfvo type="min"/>
        <cfvo type="percentile" val="50"/>
        <cfvo type="max"/>
        <color rgb="FF63BE7B"/>
        <color rgb="FFFFEB84"/>
        <color rgb="FFF8696B"/>
      </colorScale>
    </cfRule>
    <cfRule type="colorScale" priority="75">
      <colorScale>
        <cfvo type="min"/>
        <cfvo type="percentile" val="50"/>
        <cfvo type="max"/>
        <color rgb="FF63BE7B"/>
        <color rgb="FFFFEB84"/>
        <color rgb="FFF8696B"/>
      </colorScale>
    </cfRule>
  </conditionalFormatting>
  <conditionalFormatting sqref="AF6:AF17">
    <cfRule type="colorScale" priority="42">
      <colorScale>
        <cfvo type="min"/>
        <cfvo type="percentile" val="50"/>
        <cfvo type="max"/>
        <color rgb="FF63BE7B"/>
        <color rgb="FFFFEB84"/>
        <color rgb="FFF8696B"/>
      </colorScale>
    </cfRule>
    <cfRule type="colorScale" priority="74">
      <colorScale>
        <cfvo type="min"/>
        <cfvo type="percentile" val="50"/>
        <cfvo type="max"/>
        <color rgb="FF63BE7B"/>
        <color rgb="FFFFEB84"/>
        <color rgb="FFF8696B"/>
      </colorScale>
    </cfRule>
  </conditionalFormatting>
  <conditionalFormatting sqref="AG6:AG17">
    <cfRule type="colorScale" priority="41">
      <colorScale>
        <cfvo type="min"/>
        <cfvo type="percentile" val="50"/>
        <cfvo type="max"/>
        <color rgb="FF63BE7B"/>
        <color rgb="FFFFEB84"/>
        <color rgb="FFF8696B"/>
      </colorScale>
    </cfRule>
    <cfRule type="colorScale" priority="73">
      <colorScale>
        <cfvo type="min"/>
        <cfvo type="percentile" val="50"/>
        <cfvo type="max"/>
        <color rgb="FF63BE7B"/>
        <color rgb="FFFFEB84"/>
        <color rgb="FFF8696B"/>
      </colorScale>
    </cfRule>
  </conditionalFormatting>
  <conditionalFormatting sqref="AH6:AH17">
    <cfRule type="colorScale" priority="40">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AN6:AN17">
    <cfRule type="colorScale" priority="39">
      <colorScale>
        <cfvo type="min"/>
        <cfvo type="percentile" val="50"/>
        <cfvo type="max"/>
        <color rgb="FFF8696B"/>
        <color rgb="FFFFEB84"/>
        <color rgb="FF63BE7B"/>
      </colorScale>
    </cfRule>
  </conditionalFormatting>
  <pageMargins left="0.7" right="0.7" top="0.75" bottom="0.75" header="0.3" footer="0.3"/>
  <pageSetup orientation="portrait" r:id="rId1"/>
  <ignoredErrors>
    <ignoredError sqref="F19" formula="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108"/>
  <sheetViews>
    <sheetView showGridLines="0" zoomScaleNormal="100" workbookViewId="0">
      <selection activeCell="G88" sqref="G88:G89"/>
    </sheetView>
  </sheetViews>
  <sheetFormatPr defaultColWidth="7.75" defaultRowHeight="12.75" customHeight="1" x14ac:dyDescent="0.3"/>
  <cols>
    <col min="1" max="1" width="2" style="38" customWidth="1"/>
    <col min="2" max="2" width="29.58203125" style="38" customWidth="1"/>
    <col min="3" max="3" width="18.58203125" style="37" customWidth="1"/>
    <col min="4" max="4" width="4.08203125" style="38" customWidth="1"/>
    <col min="5" max="5" width="35.08203125" style="38" customWidth="1"/>
    <col min="6" max="6" width="14.83203125" style="38" customWidth="1"/>
    <col min="7" max="7" width="16.58203125" style="38" customWidth="1"/>
    <col min="8" max="12" width="11.25" style="38" customWidth="1"/>
    <col min="13" max="13" width="4.25" style="38" customWidth="1"/>
    <col min="14" max="14" width="11.08203125" style="38" customWidth="1"/>
    <col min="15" max="15" width="212.33203125" style="38" bestFit="1" customWidth="1"/>
    <col min="16" max="21" width="11.08203125" style="38" customWidth="1"/>
    <col min="22" max="22" width="12.5" style="38" customWidth="1"/>
    <col min="23" max="23" width="9.75" style="38" customWidth="1"/>
    <col min="24" max="24" width="14" style="38" customWidth="1"/>
    <col min="25" max="25" width="11.25" style="38" customWidth="1"/>
    <col min="26" max="26" width="14.25" style="38" customWidth="1"/>
    <col min="27" max="27" width="8" style="38" customWidth="1"/>
    <col min="28" max="28" width="8.75" style="38" bestFit="1" customWidth="1"/>
    <col min="29" max="29" width="6.25" style="38" customWidth="1"/>
    <col min="30" max="30" width="7.25" style="38" customWidth="1"/>
    <col min="31" max="31" width="8.75" style="38" customWidth="1"/>
    <col min="32" max="32" width="8.5" style="38" customWidth="1"/>
    <col min="33" max="33" width="9.75" style="38" customWidth="1"/>
    <col min="34" max="34" width="8.75" style="38" customWidth="1"/>
    <col min="35" max="35" width="7.75" style="38" customWidth="1"/>
    <col min="36" max="36" width="7.08203125" style="38" customWidth="1"/>
    <col min="37" max="37" width="7.25" style="38" customWidth="1"/>
    <col min="38" max="38" width="8.08203125" style="38" customWidth="1"/>
    <col min="39" max="39" width="7.58203125" style="38" customWidth="1"/>
    <col min="40" max="16384" width="7.75" style="38"/>
  </cols>
  <sheetData>
    <row r="1" spans="2:30" customFormat="1" ht="14" x14ac:dyDescent="0.3">
      <c r="Q1" s="6"/>
    </row>
    <row r="2" spans="2:30" s="35" customFormat="1" ht="20.25" customHeight="1" x14ac:dyDescent="0.4">
      <c r="B2" s="34" t="s">
        <v>347</v>
      </c>
      <c r="Q2" s="36"/>
    </row>
    <row r="3" spans="2:30" customFormat="1" ht="14" x14ac:dyDescent="0.3">
      <c r="Q3" s="6"/>
      <c r="Z3" s="38"/>
      <c r="AA3" s="38"/>
      <c r="AB3" s="38"/>
      <c r="AC3" s="38"/>
      <c r="AD3" s="38"/>
    </row>
    <row r="4" spans="2:30" ht="14.5" thickBot="1" x14ac:dyDescent="0.35">
      <c r="B4" s="1" t="s">
        <v>348</v>
      </c>
      <c r="C4" s="37" t="s">
        <v>349</v>
      </c>
      <c r="E4" s="1" t="s">
        <v>350</v>
      </c>
      <c r="F4" s="1"/>
      <c r="G4" s="1"/>
      <c r="H4" s="1"/>
      <c r="I4" s="1"/>
      <c r="J4" s="1"/>
      <c r="N4" s="1" t="s">
        <v>351</v>
      </c>
      <c r="O4" s="1"/>
      <c r="P4" s="1"/>
      <c r="Q4" s="1"/>
      <c r="R4" s="1"/>
      <c r="S4" s="1"/>
    </row>
    <row r="5" spans="2:30" ht="14" x14ac:dyDescent="0.3">
      <c r="B5" s="39"/>
      <c r="C5" s="40"/>
      <c r="E5" s="41"/>
      <c r="F5" s="41"/>
      <c r="G5" s="953"/>
      <c r="H5" s="953"/>
      <c r="I5" s="953"/>
      <c r="J5" s="953"/>
      <c r="K5" s="953"/>
      <c r="L5" s="953"/>
      <c r="N5" s="954"/>
      <c r="O5" s="954"/>
      <c r="P5" s="954"/>
      <c r="Q5" s="954"/>
      <c r="R5" s="954"/>
      <c r="S5" s="954"/>
      <c r="T5" s="954"/>
      <c r="U5" s="954"/>
    </row>
    <row r="6" spans="2:30" ht="14.5" thickBot="1" x14ac:dyDescent="0.35">
      <c r="B6" s="1" t="s">
        <v>352</v>
      </c>
      <c r="C6" s="38"/>
      <c r="D6" s="38" t="s">
        <v>353</v>
      </c>
      <c r="G6" s="937"/>
      <c r="H6" s="937"/>
      <c r="I6" s="937"/>
      <c r="J6" s="937"/>
      <c r="K6" s="937"/>
      <c r="L6" s="937"/>
      <c r="N6" s="955"/>
      <c r="O6" s="955"/>
      <c r="P6" s="955"/>
      <c r="Q6" s="955"/>
      <c r="R6" s="955"/>
      <c r="S6" s="955"/>
      <c r="T6" s="955"/>
      <c r="U6" s="955"/>
    </row>
    <row r="7" spans="2:30" ht="14" x14ac:dyDescent="0.3">
      <c r="B7" s="39" t="s">
        <v>354</v>
      </c>
      <c r="C7" s="42">
        <v>45767</v>
      </c>
      <c r="D7" s="38" t="s">
        <v>353</v>
      </c>
      <c r="E7" s="17"/>
      <c r="G7" s="937"/>
      <c r="H7" s="937"/>
      <c r="I7" s="937"/>
      <c r="J7" s="937"/>
      <c r="K7" s="937"/>
      <c r="L7" s="937"/>
      <c r="N7" s="955"/>
      <c r="O7" s="955"/>
      <c r="P7" s="955"/>
      <c r="Q7" s="955"/>
      <c r="R7" s="955"/>
      <c r="S7" s="955"/>
      <c r="T7" s="955"/>
      <c r="U7" s="955"/>
    </row>
    <row r="8" spans="2:30" ht="14" x14ac:dyDescent="0.3">
      <c r="B8" s="19" t="s">
        <v>355</v>
      </c>
      <c r="C8" s="33">
        <v>2024</v>
      </c>
      <c r="G8" s="937"/>
      <c r="H8" s="937"/>
      <c r="I8" s="937"/>
      <c r="J8" s="937"/>
      <c r="K8" s="937"/>
      <c r="L8" s="937"/>
      <c r="N8" s="955"/>
      <c r="O8" s="955"/>
      <c r="P8" s="955"/>
      <c r="Q8" s="955"/>
      <c r="R8" s="955"/>
      <c r="S8" s="955"/>
      <c r="T8" s="955"/>
      <c r="U8" s="955"/>
    </row>
    <row r="9" spans="2:30" ht="15" customHeight="1" x14ac:dyDescent="0.3">
      <c r="B9" s="19" t="s">
        <v>356</v>
      </c>
      <c r="C9" s="20" t="s">
        <v>357</v>
      </c>
      <c r="E9" s="17"/>
      <c r="G9" s="937"/>
      <c r="H9" s="937"/>
      <c r="I9" s="937"/>
      <c r="J9" s="937"/>
      <c r="K9" s="937"/>
      <c r="L9" s="937"/>
      <c r="N9" s="955"/>
      <c r="O9" s="955"/>
      <c r="P9" s="955"/>
      <c r="Q9" s="955"/>
      <c r="R9" s="955"/>
      <c r="S9" s="955"/>
      <c r="T9" s="955"/>
      <c r="U9" s="955"/>
    </row>
    <row r="10" spans="2:30" ht="13.9" customHeight="1" x14ac:dyDescent="0.3">
      <c r="B10" s="19" t="s">
        <v>358</v>
      </c>
      <c r="C10" s="20" t="s">
        <v>359</v>
      </c>
      <c r="G10" s="937"/>
      <c r="H10" s="937"/>
      <c r="I10" s="937"/>
      <c r="J10" s="937"/>
      <c r="K10" s="937"/>
      <c r="L10" s="937"/>
      <c r="N10" s="955"/>
      <c r="O10" s="955"/>
      <c r="P10" s="955"/>
      <c r="Q10" s="955"/>
      <c r="R10" s="955"/>
      <c r="S10" s="955"/>
      <c r="T10" s="955"/>
      <c r="U10" s="955"/>
    </row>
    <row r="11" spans="2:30" ht="15" customHeight="1" x14ac:dyDescent="0.3">
      <c r="B11" s="17" t="s">
        <v>360</v>
      </c>
      <c r="C11" s="924"/>
      <c r="E11" s="17"/>
      <c r="G11" s="937"/>
      <c r="H11" s="937"/>
      <c r="I11" s="937"/>
      <c r="J11" s="937"/>
      <c r="K11" s="937"/>
      <c r="L11" s="937"/>
      <c r="N11" s="955"/>
      <c r="O11" s="955"/>
      <c r="P11" s="955"/>
      <c r="Q11" s="955"/>
      <c r="R11" s="955"/>
      <c r="S11" s="955"/>
      <c r="T11" s="955"/>
      <c r="U11" s="955"/>
    </row>
    <row r="12" spans="2:30" ht="13.9" customHeight="1" x14ac:dyDescent="0.3">
      <c r="B12" s="19"/>
      <c r="G12" s="937"/>
      <c r="H12" s="937"/>
      <c r="I12" s="937"/>
      <c r="J12" s="937"/>
      <c r="K12" s="937"/>
      <c r="L12" s="937"/>
      <c r="N12" s="955"/>
      <c r="O12" s="955"/>
      <c r="P12" s="955"/>
      <c r="Q12" s="955"/>
      <c r="R12" s="955"/>
      <c r="S12" s="955"/>
      <c r="T12" s="955"/>
      <c r="U12" s="955"/>
    </row>
    <row r="13" spans="2:30" ht="14" x14ac:dyDescent="0.3">
      <c r="B13" s="1" t="s">
        <v>361</v>
      </c>
      <c r="C13" s="38"/>
      <c r="E13" s="17"/>
      <c r="G13" s="937"/>
      <c r="H13" s="937"/>
      <c r="I13" s="937"/>
      <c r="J13" s="937"/>
      <c r="K13" s="937"/>
      <c r="L13" s="937"/>
      <c r="N13" s="955"/>
      <c r="O13" s="955"/>
      <c r="P13" s="955"/>
      <c r="Q13" s="955"/>
      <c r="R13" s="955"/>
      <c r="S13" s="955"/>
      <c r="T13" s="955"/>
      <c r="U13" s="955"/>
    </row>
    <row r="14" spans="2:30" ht="14" x14ac:dyDescent="0.3">
      <c r="B14" s="41" t="s">
        <v>77</v>
      </c>
      <c r="C14" s="914">
        <v>70</v>
      </c>
      <c r="G14" s="937"/>
      <c r="H14" s="937"/>
      <c r="I14" s="937"/>
      <c r="J14" s="937"/>
      <c r="K14" s="937"/>
      <c r="L14" s="937"/>
      <c r="N14" s="955"/>
      <c r="O14" s="955"/>
      <c r="P14" s="955"/>
      <c r="Q14" s="955"/>
      <c r="R14" s="955"/>
      <c r="S14" s="955"/>
      <c r="T14" s="955"/>
      <c r="U14" s="955"/>
    </row>
    <row r="15" spans="2:30" ht="14" x14ac:dyDescent="0.3">
      <c r="B15" s="19" t="s">
        <v>79</v>
      </c>
      <c r="C15" s="669">
        <v>57</v>
      </c>
    </row>
    <row r="16" spans="2:30" ht="14" x14ac:dyDescent="0.3">
      <c r="B16" s="19" t="s">
        <v>81</v>
      </c>
      <c r="C16" s="669">
        <v>66</v>
      </c>
      <c r="E16" s="1" t="s">
        <v>362</v>
      </c>
      <c r="F16" s="1"/>
      <c r="G16" s="1"/>
      <c r="H16" s="1"/>
      <c r="I16" s="1"/>
      <c r="J16" s="1"/>
      <c r="N16" s="1" t="s">
        <v>363</v>
      </c>
      <c r="O16" s="1"/>
      <c r="P16" s="1"/>
      <c r="Q16" s="1"/>
      <c r="R16" s="1"/>
      <c r="S16" s="1"/>
    </row>
    <row r="17" spans="2:22" ht="14" x14ac:dyDescent="0.3">
      <c r="B17" s="19" t="s">
        <v>83</v>
      </c>
      <c r="C17" s="669">
        <v>94</v>
      </c>
      <c r="E17" s="41"/>
      <c r="F17" s="41"/>
      <c r="G17" s="953"/>
      <c r="H17" s="953"/>
      <c r="I17" s="953"/>
      <c r="J17" s="953"/>
      <c r="K17" s="953"/>
      <c r="L17" s="953"/>
      <c r="N17" s="41"/>
      <c r="O17" s="41"/>
      <c r="P17" s="41"/>
      <c r="Q17" s="41"/>
      <c r="R17" s="41"/>
      <c r="S17" s="41"/>
      <c r="T17" s="41"/>
      <c r="U17" s="41"/>
      <c r="V17" s="41"/>
    </row>
    <row r="18" spans="2:22" ht="14" x14ac:dyDescent="0.3">
      <c r="B18" s="17" t="s">
        <v>85</v>
      </c>
      <c r="C18" s="911">
        <v>56</v>
      </c>
      <c r="G18" s="937"/>
      <c r="H18" s="937"/>
      <c r="I18" s="937"/>
      <c r="J18" s="937"/>
      <c r="K18" s="937"/>
      <c r="L18" s="937"/>
      <c r="O18" s="600"/>
      <c r="P18" s="600"/>
      <c r="Q18" s="600"/>
      <c r="R18" s="600"/>
      <c r="S18" s="600"/>
      <c r="T18" s="600"/>
      <c r="U18" s="600"/>
      <c r="V18" s="600"/>
    </row>
    <row r="19" spans="2:22" ht="14" x14ac:dyDescent="0.3">
      <c r="B19" s="19" t="s">
        <v>86</v>
      </c>
      <c r="C19" s="38">
        <v>53</v>
      </c>
      <c r="E19" s="17"/>
      <c r="G19" s="937"/>
      <c r="H19" s="937"/>
      <c r="I19" s="937"/>
      <c r="J19" s="937"/>
      <c r="K19" s="937"/>
      <c r="L19" s="937"/>
      <c r="N19" s="17"/>
      <c r="P19" s="600"/>
      <c r="Q19" s="600"/>
      <c r="R19" s="600"/>
      <c r="S19" s="600"/>
      <c r="T19" s="600"/>
      <c r="U19" s="600"/>
      <c r="V19" s="600"/>
    </row>
    <row r="20" spans="2:22" ht="14" x14ac:dyDescent="0.3">
      <c r="B20" s="19" t="s">
        <v>88</v>
      </c>
      <c r="C20" s="38">
        <v>60</v>
      </c>
      <c r="G20" s="937"/>
      <c r="H20" s="937"/>
      <c r="I20" s="937"/>
      <c r="J20" s="937"/>
      <c r="K20" s="937"/>
      <c r="L20" s="937"/>
      <c r="P20" s="600"/>
      <c r="Q20" s="600"/>
      <c r="R20" s="600"/>
      <c r="S20" s="600"/>
      <c r="T20" s="600"/>
      <c r="U20" s="600"/>
    </row>
    <row r="21" spans="2:22" ht="14" x14ac:dyDescent="0.3">
      <c r="B21" s="19" t="s">
        <v>90</v>
      </c>
      <c r="C21" s="38">
        <v>56</v>
      </c>
      <c r="E21" s="17"/>
      <c r="G21" s="937"/>
      <c r="H21" s="937"/>
      <c r="I21" s="937"/>
      <c r="J21" s="937"/>
      <c r="K21" s="937"/>
      <c r="L21" s="937"/>
      <c r="N21" s="17"/>
      <c r="P21" s="937"/>
      <c r="Q21" s="937"/>
      <c r="R21" s="937"/>
      <c r="S21" s="937"/>
      <c r="T21" s="937"/>
      <c r="U21" s="937"/>
    </row>
    <row r="22" spans="2:22" ht="14" x14ac:dyDescent="0.3">
      <c r="B22" s="17" t="s">
        <v>92</v>
      </c>
      <c r="C22" s="912">
        <v>17.3</v>
      </c>
      <c r="G22" s="937"/>
      <c r="H22" s="937"/>
      <c r="I22" s="937"/>
      <c r="J22" s="937"/>
      <c r="K22" s="937"/>
      <c r="L22" s="937"/>
      <c r="P22" s="937"/>
      <c r="Q22" s="937"/>
      <c r="R22" s="937"/>
      <c r="S22" s="937"/>
      <c r="T22" s="937"/>
      <c r="U22" s="937"/>
    </row>
    <row r="23" spans="2:22" ht="14" x14ac:dyDescent="0.3">
      <c r="B23" s="17" t="s">
        <v>94</v>
      </c>
      <c r="C23" s="918" t="s">
        <v>364</v>
      </c>
      <c r="E23" s="17"/>
      <c r="G23" s="937"/>
      <c r="H23" s="937"/>
      <c r="I23" s="937"/>
      <c r="J23" s="937"/>
      <c r="K23" s="937"/>
      <c r="L23" s="937"/>
      <c r="N23" s="17"/>
      <c r="P23" s="937"/>
      <c r="Q23" s="937"/>
      <c r="R23" s="937"/>
      <c r="S23" s="937"/>
      <c r="T23" s="937"/>
      <c r="U23" s="937"/>
    </row>
    <row r="24" spans="2:22" ht="14" x14ac:dyDescent="0.3">
      <c r="B24" s="19" t="s">
        <v>95</v>
      </c>
      <c r="C24" s="38">
        <v>3.7</v>
      </c>
    </row>
    <row r="25" spans="2:22" ht="14" x14ac:dyDescent="0.3">
      <c r="B25" s="19" t="s">
        <v>98</v>
      </c>
      <c r="C25" s="38">
        <v>1</v>
      </c>
    </row>
    <row r="26" spans="2:22" ht="14" x14ac:dyDescent="0.3">
      <c r="B26" s="17" t="s">
        <v>99</v>
      </c>
      <c r="C26" s="913" t="s">
        <v>365</v>
      </c>
    </row>
    <row r="29" spans="2:22" ht="14.5" thickBot="1" x14ac:dyDescent="0.35">
      <c r="B29" s="1" t="s">
        <v>366</v>
      </c>
    </row>
    <row r="30" spans="2:22" ht="14.65" customHeight="1" x14ac:dyDescent="0.3">
      <c r="B30" s="956"/>
      <c r="C30" s="956"/>
    </row>
    <row r="31" spans="2:22" ht="12.5" x14ac:dyDescent="0.3">
      <c r="B31" s="957"/>
      <c r="C31" s="957"/>
    </row>
    <row r="32" spans="2:22" ht="12.5" x14ac:dyDescent="0.3">
      <c r="B32" s="957"/>
      <c r="C32" s="957"/>
    </row>
    <row r="33" spans="2:22" ht="15.5" x14ac:dyDescent="0.35">
      <c r="B33" s="957"/>
      <c r="C33" s="957"/>
      <c r="E33" s="43" t="s">
        <v>367</v>
      </c>
      <c r="F33" s="43"/>
      <c r="G33" s="43"/>
      <c r="H33" s="43"/>
      <c r="I33" s="43"/>
      <c r="J33" s="43"/>
      <c r="K33" s="43"/>
      <c r="L33" s="43"/>
      <c r="M33" s="43"/>
      <c r="N33" s="43"/>
      <c r="O33" s="43"/>
      <c r="P33" s="43"/>
      <c r="Q33" s="43"/>
      <c r="R33" s="43"/>
      <c r="S33" s="43"/>
      <c r="T33" s="43"/>
      <c r="U33" s="43"/>
      <c r="V33" s="43"/>
    </row>
    <row r="34" spans="2:22" customFormat="1" ht="4.1500000000000004" customHeight="1" x14ac:dyDescent="0.35">
      <c r="B34" s="957"/>
      <c r="C34" s="957"/>
      <c r="D34" s="38"/>
      <c r="E34" s="44"/>
      <c r="F34" s="44"/>
      <c r="G34" s="44"/>
      <c r="H34" s="44"/>
      <c r="I34" s="44"/>
      <c r="J34" s="44"/>
      <c r="K34" s="44"/>
      <c r="L34" s="44"/>
      <c r="M34" s="44"/>
      <c r="N34" s="44"/>
      <c r="O34" s="44"/>
      <c r="P34" s="44"/>
      <c r="Q34" s="44"/>
      <c r="R34" s="44"/>
      <c r="S34" s="44"/>
      <c r="T34" s="44"/>
      <c r="U34" s="44"/>
      <c r="V34" s="44"/>
    </row>
    <row r="35" spans="2:22" ht="13" x14ac:dyDescent="0.3">
      <c r="B35" s="957"/>
      <c r="C35" s="957"/>
      <c r="E35" s="45"/>
      <c r="F35" s="45"/>
      <c r="G35" s="46" t="s">
        <v>352</v>
      </c>
      <c r="H35" s="46" t="s">
        <v>368</v>
      </c>
      <c r="I35" s="46"/>
      <c r="J35" s="46"/>
      <c r="K35" s="46" t="s">
        <v>369</v>
      </c>
      <c r="L35" s="46"/>
      <c r="M35" s="46"/>
      <c r="N35" s="46"/>
      <c r="O35" s="46" t="s">
        <v>370</v>
      </c>
      <c r="P35" s="45"/>
      <c r="Q35" s="45"/>
      <c r="R35" s="45"/>
      <c r="S35" s="45"/>
      <c r="T35" s="45"/>
      <c r="U35" s="45"/>
      <c r="V35" s="45"/>
    </row>
    <row r="36" spans="2:22" ht="20.25" customHeight="1" x14ac:dyDescent="0.3">
      <c r="B36" s="957"/>
      <c r="C36" s="957"/>
      <c r="E36" s="17" t="s">
        <v>371</v>
      </c>
      <c r="G36" s="958"/>
      <c r="H36" s="959" t="s">
        <v>372</v>
      </c>
      <c r="I36" s="959"/>
      <c r="J36" s="959"/>
      <c r="K36" s="959" t="s">
        <v>373</v>
      </c>
      <c r="L36" s="959"/>
      <c r="M36" s="959"/>
      <c r="N36" s="959"/>
      <c r="O36" s="959" t="s">
        <v>374</v>
      </c>
      <c r="P36" s="959"/>
      <c r="Q36" s="959"/>
      <c r="R36" s="959"/>
      <c r="S36" s="959"/>
      <c r="T36" s="959"/>
      <c r="U36" s="959"/>
      <c r="V36" s="959"/>
    </row>
    <row r="37" spans="2:22" ht="20.25" customHeight="1" x14ac:dyDescent="0.3">
      <c r="B37" s="957"/>
      <c r="C37" s="957"/>
      <c r="G37" s="958"/>
      <c r="H37" s="959"/>
      <c r="I37" s="959"/>
      <c r="J37" s="959"/>
      <c r="K37" s="959"/>
      <c r="L37" s="959"/>
      <c r="M37" s="959"/>
      <c r="N37" s="959"/>
      <c r="O37" s="959"/>
      <c r="P37" s="959"/>
      <c r="Q37" s="959"/>
      <c r="R37" s="959"/>
      <c r="S37" s="959"/>
      <c r="T37" s="959"/>
      <c r="U37" s="959"/>
      <c r="V37" s="959"/>
    </row>
    <row r="38" spans="2:22" ht="22.5" customHeight="1" x14ac:dyDescent="0.3">
      <c r="B38" s="957"/>
      <c r="C38" s="957"/>
      <c r="E38" s="17" t="s">
        <v>375</v>
      </c>
      <c r="G38" s="960"/>
      <c r="H38" s="959" t="s">
        <v>376</v>
      </c>
      <c r="I38" s="959"/>
      <c r="J38" s="959"/>
      <c r="K38" s="959" t="s">
        <v>377</v>
      </c>
      <c r="L38" s="959"/>
      <c r="M38" s="959"/>
      <c r="N38" s="959"/>
      <c r="O38" s="963" t="s">
        <v>378</v>
      </c>
      <c r="P38" s="963"/>
      <c r="Q38" s="963"/>
      <c r="R38" s="963"/>
      <c r="S38" s="963"/>
      <c r="T38" s="963"/>
      <c r="U38" s="963"/>
      <c r="V38" s="963"/>
    </row>
    <row r="39" spans="2:22" ht="19.5" customHeight="1" x14ac:dyDescent="0.3">
      <c r="B39" s="957"/>
      <c r="C39" s="957"/>
      <c r="G39" s="960"/>
      <c r="H39" s="959"/>
      <c r="I39" s="959"/>
      <c r="J39" s="959"/>
      <c r="K39" s="959"/>
      <c r="L39" s="959"/>
      <c r="M39" s="959"/>
      <c r="N39" s="959"/>
      <c r="O39" s="963"/>
      <c r="P39" s="963"/>
      <c r="Q39" s="963"/>
      <c r="R39" s="963"/>
      <c r="S39" s="963"/>
      <c r="T39" s="963"/>
      <c r="U39" s="963"/>
      <c r="V39" s="963"/>
    </row>
    <row r="40" spans="2:22" ht="14" x14ac:dyDescent="0.3">
      <c r="B40" s="957"/>
      <c r="C40" s="957"/>
      <c r="E40" s="17" t="s">
        <v>379</v>
      </c>
      <c r="G40" s="964"/>
      <c r="H40" s="959" t="s">
        <v>380</v>
      </c>
      <c r="I40" s="959"/>
      <c r="J40" s="959"/>
      <c r="K40" s="959" t="s">
        <v>381</v>
      </c>
      <c r="L40" s="959"/>
      <c r="M40" s="959"/>
      <c r="N40" s="959"/>
      <c r="O40" s="963" t="s">
        <v>382</v>
      </c>
      <c r="P40" s="963"/>
      <c r="Q40" s="963"/>
      <c r="R40" s="963"/>
      <c r="S40" s="963"/>
      <c r="T40" s="963"/>
      <c r="U40" s="963"/>
      <c r="V40" s="963"/>
    </row>
    <row r="41" spans="2:22" ht="12.5" x14ac:dyDescent="0.3">
      <c r="B41" s="957"/>
      <c r="C41" s="957"/>
      <c r="G41" s="964"/>
      <c r="H41" s="959"/>
      <c r="I41" s="959"/>
      <c r="J41" s="959"/>
      <c r="K41" s="959"/>
      <c r="L41" s="959"/>
      <c r="M41" s="959"/>
      <c r="N41" s="959"/>
      <c r="O41" s="963"/>
      <c r="P41" s="963"/>
      <c r="Q41" s="963"/>
      <c r="R41" s="963"/>
      <c r="S41" s="963"/>
      <c r="T41" s="963"/>
      <c r="U41" s="963"/>
      <c r="V41" s="963"/>
    </row>
    <row r="42" spans="2:22" ht="14" x14ac:dyDescent="0.3">
      <c r="B42" s="957"/>
      <c r="C42" s="957"/>
      <c r="E42" s="17" t="s">
        <v>383</v>
      </c>
      <c r="G42" s="960"/>
      <c r="H42" s="965"/>
      <c r="I42" s="965"/>
      <c r="J42" s="965"/>
      <c r="K42" s="959" t="s">
        <v>384</v>
      </c>
      <c r="L42" s="959"/>
      <c r="M42" s="959"/>
      <c r="N42" s="959"/>
      <c r="O42" s="963" t="s">
        <v>385</v>
      </c>
      <c r="P42" s="963"/>
      <c r="Q42" s="963"/>
      <c r="R42" s="963"/>
      <c r="S42" s="963"/>
      <c r="T42" s="963"/>
      <c r="U42" s="963"/>
      <c r="V42" s="963"/>
    </row>
    <row r="43" spans="2:22" ht="12.5" x14ac:dyDescent="0.3">
      <c r="B43" s="957"/>
      <c r="C43" s="957"/>
      <c r="G43" s="960"/>
      <c r="H43" s="965"/>
      <c r="I43" s="965"/>
      <c r="J43" s="965"/>
      <c r="K43" s="959"/>
      <c r="L43" s="959"/>
      <c r="M43" s="959"/>
      <c r="N43" s="959"/>
      <c r="O43" s="963"/>
      <c r="P43" s="963"/>
      <c r="Q43" s="963"/>
      <c r="R43" s="963"/>
      <c r="S43" s="963"/>
      <c r="T43" s="963"/>
      <c r="U43" s="963"/>
      <c r="V43" s="963"/>
    </row>
    <row r="44" spans="2:22" ht="14" x14ac:dyDescent="0.3">
      <c r="B44" s="957"/>
      <c r="C44" s="957"/>
      <c r="E44" s="17" t="s">
        <v>112</v>
      </c>
      <c r="G44" s="961"/>
      <c r="H44" s="962"/>
      <c r="I44" s="962"/>
      <c r="J44" s="962"/>
      <c r="K44" s="962"/>
      <c r="L44" s="962"/>
      <c r="M44" s="962"/>
      <c r="N44" s="962"/>
      <c r="O44" s="962"/>
      <c r="P44" s="962"/>
      <c r="Q44" s="962"/>
      <c r="R44" s="962"/>
      <c r="S44" s="962"/>
      <c r="T44" s="962"/>
      <c r="U44" s="962"/>
      <c r="V44" s="962"/>
    </row>
    <row r="45" spans="2:22" ht="12.5" x14ac:dyDescent="0.3">
      <c r="B45" s="957"/>
      <c r="C45" s="957"/>
      <c r="G45" s="961"/>
      <c r="H45" s="962"/>
      <c r="I45" s="962"/>
      <c r="J45" s="962"/>
      <c r="K45" s="962"/>
      <c r="L45" s="962"/>
      <c r="M45" s="962"/>
      <c r="N45" s="962"/>
      <c r="O45" s="962"/>
      <c r="P45" s="962"/>
      <c r="Q45" s="962"/>
      <c r="R45" s="962"/>
      <c r="S45" s="962"/>
      <c r="T45" s="962"/>
      <c r="U45" s="962"/>
      <c r="V45" s="962"/>
    </row>
    <row r="46" spans="2:22" ht="15.5" x14ac:dyDescent="0.35">
      <c r="E46" s="43" t="s">
        <v>386</v>
      </c>
      <c r="F46" s="43"/>
      <c r="G46" s="43"/>
      <c r="H46" s="43"/>
      <c r="I46" s="43"/>
      <c r="J46" s="43"/>
      <c r="K46" s="43"/>
      <c r="L46" s="43"/>
      <c r="M46" s="43"/>
      <c r="N46" s="43"/>
      <c r="O46" s="43"/>
      <c r="P46" s="43"/>
      <c r="Q46" s="43"/>
      <c r="R46" s="43"/>
      <c r="S46" s="43"/>
      <c r="T46" s="43"/>
      <c r="U46" s="43"/>
      <c r="V46" s="43"/>
    </row>
    <row r="47" spans="2:22" customFormat="1" ht="4.1500000000000004" customHeight="1" x14ac:dyDescent="0.35">
      <c r="B47" s="38"/>
      <c r="C47" s="37"/>
      <c r="D47" s="38"/>
      <c r="E47" s="44"/>
      <c r="F47" s="44"/>
      <c r="G47" s="44"/>
      <c r="H47" s="44"/>
      <c r="I47" s="44"/>
      <c r="J47" s="44"/>
      <c r="K47" s="44"/>
      <c r="L47" s="44"/>
      <c r="M47" s="44"/>
      <c r="N47" s="44"/>
      <c r="O47" s="44"/>
      <c r="P47" s="44"/>
      <c r="Q47" s="44"/>
      <c r="R47" s="44"/>
      <c r="S47" s="44"/>
      <c r="T47" s="44"/>
      <c r="U47" s="44"/>
      <c r="V47" s="44"/>
    </row>
    <row r="48" spans="2:22" ht="14.5" thickBot="1" x14ac:dyDescent="0.35">
      <c r="B48" s="1" t="s">
        <v>387</v>
      </c>
      <c r="C48" s="38"/>
      <c r="E48" s="45"/>
      <c r="F48" s="45"/>
      <c r="G48" s="46" t="s">
        <v>352</v>
      </c>
      <c r="H48" s="46" t="s">
        <v>368</v>
      </c>
      <c r="I48" s="46"/>
      <c r="J48" s="46"/>
      <c r="K48" s="46" t="s">
        <v>369</v>
      </c>
      <c r="L48" s="46"/>
      <c r="M48" s="46"/>
      <c r="N48" s="46"/>
      <c r="O48" s="46" t="s">
        <v>370</v>
      </c>
      <c r="P48" s="45"/>
      <c r="Q48" s="45"/>
      <c r="R48" s="45"/>
      <c r="S48" s="45"/>
      <c r="T48" s="45"/>
      <c r="U48" s="45"/>
      <c r="V48" s="45"/>
    </row>
    <row r="49" spans="2:22" ht="14" x14ac:dyDescent="0.3">
      <c r="B49" s="39" t="s">
        <v>388</v>
      </c>
      <c r="C49" s="40"/>
      <c r="E49" s="17" t="s">
        <v>389</v>
      </c>
      <c r="G49" s="967" t="s">
        <v>390</v>
      </c>
      <c r="H49" s="968"/>
      <c r="I49" s="968"/>
      <c r="J49" s="968"/>
      <c r="K49" s="968"/>
      <c r="L49" s="968"/>
      <c r="M49" s="968"/>
      <c r="N49" s="968"/>
      <c r="O49" s="969"/>
      <c r="P49" s="969"/>
      <c r="Q49" s="969"/>
      <c r="R49" s="969"/>
      <c r="S49" s="969"/>
      <c r="T49" s="969"/>
      <c r="U49" s="969"/>
      <c r="V49" s="969"/>
    </row>
    <row r="50" spans="2:22" ht="14" x14ac:dyDescent="0.3">
      <c r="B50" s="19" t="s">
        <v>391</v>
      </c>
      <c r="C50" s="52"/>
      <c r="D50" s="38" t="s">
        <v>353</v>
      </c>
      <c r="G50" s="961"/>
      <c r="H50" s="966"/>
      <c r="I50" s="966"/>
      <c r="J50" s="966"/>
      <c r="K50" s="966"/>
      <c r="L50" s="966"/>
      <c r="M50" s="966"/>
      <c r="N50" s="966"/>
      <c r="O50" s="970"/>
      <c r="P50" s="970"/>
      <c r="Q50" s="970"/>
      <c r="R50" s="970"/>
      <c r="S50" s="970"/>
      <c r="T50" s="970"/>
      <c r="U50" s="970"/>
      <c r="V50" s="970"/>
    </row>
    <row r="51" spans="2:22" ht="14" x14ac:dyDescent="0.3">
      <c r="B51" s="19" t="s">
        <v>392</v>
      </c>
      <c r="C51" s="52"/>
      <c r="D51" s="38" t="s">
        <v>353</v>
      </c>
      <c r="E51" s="17" t="s">
        <v>393</v>
      </c>
      <c r="G51" s="958"/>
      <c r="H51" s="966"/>
      <c r="I51" s="966"/>
      <c r="J51" s="966"/>
      <c r="K51" s="966"/>
      <c r="L51" s="966"/>
      <c r="M51" s="966"/>
      <c r="N51" s="966"/>
      <c r="O51" s="959" t="s">
        <v>394</v>
      </c>
      <c r="P51" s="959"/>
      <c r="Q51" s="959"/>
      <c r="R51" s="959"/>
      <c r="S51" s="959"/>
      <c r="T51" s="959"/>
      <c r="U51" s="959"/>
      <c r="V51" s="959"/>
    </row>
    <row r="52" spans="2:22" ht="13" x14ac:dyDescent="0.3">
      <c r="G52" s="958"/>
      <c r="H52" s="966"/>
      <c r="I52" s="966"/>
      <c r="J52" s="966"/>
      <c r="K52" s="966"/>
      <c r="L52" s="966"/>
      <c r="M52" s="966"/>
      <c r="N52" s="966"/>
      <c r="O52" s="959"/>
      <c r="P52" s="959"/>
      <c r="Q52" s="959"/>
      <c r="R52" s="959"/>
      <c r="S52" s="959"/>
      <c r="T52" s="959"/>
      <c r="U52" s="959"/>
      <c r="V52" s="959"/>
    </row>
    <row r="53" spans="2:22" ht="14" x14ac:dyDescent="0.3">
      <c r="E53" s="17" t="s">
        <v>395</v>
      </c>
      <c r="G53" s="960"/>
      <c r="H53" s="966"/>
      <c r="I53" s="966"/>
      <c r="J53" s="966"/>
      <c r="K53" s="959" t="s">
        <v>396</v>
      </c>
      <c r="L53" s="959"/>
      <c r="M53" s="959"/>
      <c r="N53" s="959"/>
      <c r="O53" s="959" t="s">
        <v>397</v>
      </c>
      <c r="P53" s="959"/>
      <c r="Q53" s="959"/>
      <c r="R53" s="959"/>
      <c r="S53" s="959"/>
      <c r="T53" s="959"/>
      <c r="U53" s="959"/>
      <c r="V53" s="959"/>
    </row>
    <row r="54" spans="2:22" ht="13" x14ac:dyDescent="0.3">
      <c r="G54" s="960"/>
      <c r="H54" s="966"/>
      <c r="I54" s="966"/>
      <c r="J54" s="966"/>
      <c r="K54" s="959"/>
      <c r="L54" s="959"/>
      <c r="M54" s="959"/>
      <c r="N54" s="959"/>
      <c r="O54" s="959"/>
      <c r="P54" s="959"/>
      <c r="Q54" s="959"/>
      <c r="R54" s="959"/>
      <c r="S54" s="959"/>
      <c r="T54" s="959"/>
      <c r="U54" s="959"/>
      <c r="V54" s="959"/>
    </row>
    <row r="55" spans="2:22" ht="14" x14ac:dyDescent="0.3">
      <c r="E55" s="17" t="s">
        <v>398</v>
      </c>
      <c r="G55" s="958"/>
      <c r="H55" s="966"/>
      <c r="I55" s="966"/>
      <c r="J55" s="966"/>
      <c r="K55" s="966"/>
      <c r="L55" s="966"/>
      <c r="M55" s="966"/>
      <c r="N55" s="966"/>
      <c r="O55" s="959" t="s">
        <v>399</v>
      </c>
      <c r="P55" s="959"/>
      <c r="Q55" s="959"/>
      <c r="R55" s="959"/>
      <c r="S55" s="959"/>
      <c r="T55" s="959"/>
      <c r="U55" s="959"/>
      <c r="V55" s="959"/>
    </row>
    <row r="56" spans="2:22" ht="13" x14ac:dyDescent="0.3">
      <c r="G56" s="958"/>
      <c r="H56" s="966"/>
      <c r="I56" s="966"/>
      <c r="J56" s="966"/>
      <c r="K56" s="966"/>
      <c r="L56" s="966"/>
      <c r="M56" s="966"/>
      <c r="N56" s="966"/>
      <c r="O56" s="959"/>
      <c r="P56" s="959"/>
      <c r="Q56" s="959"/>
      <c r="R56" s="959"/>
      <c r="S56" s="959"/>
      <c r="T56" s="959"/>
      <c r="U56" s="959"/>
      <c r="V56" s="959"/>
    </row>
    <row r="57" spans="2:22" ht="32.25" customHeight="1" x14ac:dyDescent="0.3">
      <c r="E57" s="17" t="s">
        <v>400</v>
      </c>
      <c r="G57" s="958"/>
      <c r="H57" s="966"/>
      <c r="I57" s="966"/>
      <c r="J57" s="966"/>
      <c r="K57" s="966"/>
      <c r="L57" s="966"/>
      <c r="M57" s="966"/>
      <c r="N57" s="966"/>
      <c r="O57" s="959" t="s">
        <v>401</v>
      </c>
      <c r="P57" s="959"/>
      <c r="Q57" s="959"/>
      <c r="R57" s="959"/>
      <c r="S57" s="959"/>
      <c r="T57" s="959"/>
      <c r="U57" s="959"/>
      <c r="V57" s="959"/>
    </row>
    <row r="58" spans="2:22" ht="13" x14ac:dyDescent="0.3">
      <c r="G58" s="958"/>
      <c r="H58" s="966"/>
      <c r="I58" s="966"/>
      <c r="J58" s="966"/>
      <c r="K58" s="966"/>
      <c r="L58" s="966"/>
      <c r="M58" s="966"/>
      <c r="N58" s="966"/>
      <c r="O58" s="959"/>
      <c r="P58" s="959"/>
      <c r="Q58" s="959"/>
      <c r="R58" s="959"/>
      <c r="S58" s="959"/>
      <c r="T58" s="959"/>
      <c r="U58" s="959"/>
      <c r="V58" s="959"/>
    </row>
    <row r="59" spans="2:22" ht="20.25" customHeight="1" x14ac:dyDescent="0.3">
      <c r="E59" s="17" t="s">
        <v>402</v>
      </c>
      <c r="G59" s="958"/>
      <c r="H59" s="966"/>
      <c r="I59" s="966"/>
      <c r="J59" s="966"/>
      <c r="K59" s="966"/>
      <c r="L59" s="966"/>
      <c r="M59" s="966"/>
      <c r="N59" s="966"/>
      <c r="O59" s="959" t="s">
        <v>403</v>
      </c>
      <c r="P59" s="959"/>
      <c r="Q59" s="959"/>
      <c r="R59" s="959"/>
      <c r="S59" s="959"/>
      <c r="T59" s="959"/>
      <c r="U59" s="959"/>
      <c r="V59" s="959"/>
    </row>
    <row r="60" spans="2:22" ht="20.25" customHeight="1" x14ac:dyDescent="0.3">
      <c r="G60" s="958"/>
      <c r="H60" s="966"/>
      <c r="I60" s="966"/>
      <c r="J60" s="966"/>
      <c r="K60" s="966"/>
      <c r="L60" s="966"/>
      <c r="M60" s="966"/>
      <c r="N60" s="966"/>
      <c r="O60" s="959"/>
      <c r="P60" s="959"/>
      <c r="Q60" s="959"/>
      <c r="R60" s="959"/>
      <c r="S60" s="959"/>
      <c r="T60" s="959"/>
      <c r="U60" s="959"/>
      <c r="V60" s="959"/>
    </row>
    <row r="61" spans="2:22" ht="15" customHeight="1" x14ac:dyDescent="0.3">
      <c r="E61" s="17" t="s">
        <v>404</v>
      </c>
      <c r="G61" s="971"/>
      <c r="H61" s="966"/>
      <c r="I61" s="966"/>
      <c r="J61" s="966"/>
      <c r="K61" s="966"/>
      <c r="L61" s="966"/>
      <c r="M61" s="966"/>
      <c r="N61" s="966"/>
      <c r="O61" s="963" t="s">
        <v>405</v>
      </c>
      <c r="P61" s="963"/>
      <c r="Q61" s="963"/>
      <c r="R61" s="963"/>
      <c r="S61" s="963"/>
      <c r="T61" s="963"/>
      <c r="U61" s="963"/>
      <c r="V61" s="963"/>
    </row>
    <row r="62" spans="2:22" ht="13" x14ac:dyDescent="0.3">
      <c r="G62" s="971"/>
      <c r="H62" s="966"/>
      <c r="I62" s="966"/>
      <c r="J62" s="966"/>
      <c r="K62" s="966"/>
      <c r="L62" s="966"/>
      <c r="M62" s="966"/>
      <c r="N62" s="966"/>
      <c r="O62" s="963"/>
      <c r="P62" s="963"/>
      <c r="Q62" s="963"/>
      <c r="R62" s="963"/>
      <c r="S62" s="963"/>
      <c r="T62" s="963"/>
      <c r="U62" s="963"/>
      <c r="V62" s="963"/>
    </row>
    <row r="63" spans="2:22" ht="27.75" customHeight="1" x14ac:dyDescent="0.3">
      <c r="E63" s="17" t="s">
        <v>406</v>
      </c>
      <c r="G63" s="958"/>
      <c r="H63" s="966"/>
      <c r="I63" s="966"/>
      <c r="J63" s="966"/>
      <c r="K63" s="966"/>
      <c r="L63" s="966"/>
      <c r="M63" s="966"/>
      <c r="N63" s="966"/>
      <c r="O63" s="959" t="s">
        <v>407</v>
      </c>
      <c r="P63" s="959"/>
      <c r="Q63" s="959"/>
      <c r="R63" s="959"/>
      <c r="S63" s="959"/>
      <c r="T63" s="959"/>
      <c r="U63" s="959"/>
      <c r="V63" s="959"/>
    </row>
    <row r="64" spans="2:22" ht="27.75" customHeight="1" x14ac:dyDescent="0.3">
      <c r="G64" s="958"/>
      <c r="H64" s="966"/>
      <c r="I64" s="966"/>
      <c r="J64" s="966"/>
      <c r="K64" s="966"/>
      <c r="L64" s="966"/>
      <c r="M64" s="966"/>
      <c r="N64" s="966"/>
      <c r="O64" s="959"/>
      <c r="P64" s="959"/>
      <c r="Q64" s="959"/>
      <c r="R64" s="959"/>
      <c r="S64" s="959"/>
      <c r="T64" s="959"/>
      <c r="U64" s="959"/>
      <c r="V64" s="959"/>
    </row>
    <row r="65" spans="2:22" ht="24" customHeight="1" x14ac:dyDescent="0.3">
      <c r="E65" s="17" t="s">
        <v>408</v>
      </c>
      <c r="G65" s="958"/>
      <c r="H65" s="966"/>
      <c r="I65" s="966"/>
      <c r="J65" s="966"/>
      <c r="K65" s="966"/>
      <c r="L65" s="966"/>
      <c r="M65" s="966"/>
      <c r="N65" s="966"/>
      <c r="O65" s="972" t="s">
        <v>409</v>
      </c>
      <c r="P65" s="972"/>
      <c r="Q65" s="972"/>
      <c r="R65" s="972"/>
      <c r="S65" s="972"/>
      <c r="T65" s="972"/>
      <c r="U65" s="972"/>
      <c r="V65" s="972"/>
    </row>
    <row r="66" spans="2:22" ht="32.25" customHeight="1" x14ac:dyDescent="0.3">
      <c r="G66" s="958"/>
      <c r="H66" s="966"/>
      <c r="I66" s="966"/>
      <c r="J66" s="966"/>
      <c r="K66" s="966"/>
      <c r="L66" s="966"/>
      <c r="M66" s="966"/>
      <c r="N66" s="966"/>
      <c r="O66" s="972"/>
      <c r="P66" s="972"/>
      <c r="Q66" s="972"/>
      <c r="R66" s="972"/>
      <c r="S66" s="972"/>
      <c r="T66" s="972"/>
      <c r="U66" s="972"/>
      <c r="V66" s="972"/>
    </row>
    <row r="67" spans="2:22" ht="14" x14ac:dyDescent="0.3">
      <c r="E67" s="17" t="s">
        <v>410</v>
      </c>
      <c r="G67" s="961"/>
      <c r="H67" s="966"/>
      <c r="I67" s="966"/>
      <c r="J67" s="966"/>
      <c r="K67" s="966"/>
      <c r="L67" s="966"/>
      <c r="M67" s="966"/>
      <c r="N67" s="966"/>
      <c r="O67" s="959"/>
      <c r="P67" s="959"/>
      <c r="Q67" s="959"/>
      <c r="R67" s="959"/>
      <c r="S67" s="959"/>
      <c r="T67" s="959"/>
      <c r="U67" s="959"/>
      <c r="V67" s="959"/>
    </row>
    <row r="68" spans="2:22" ht="14" x14ac:dyDescent="0.3">
      <c r="E68" s="17"/>
      <c r="G68" s="961"/>
      <c r="H68" s="966"/>
      <c r="I68" s="966"/>
      <c r="J68" s="966"/>
      <c r="K68" s="966"/>
      <c r="L68" s="966"/>
      <c r="M68" s="966"/>
      <c r="N68" s="966"/>
      <c r="O68" s="959"/>
      <c r="P68" s="959"/>
      <c r="Q68" s="959"/>
      <c r="R68" s="959"/>
      <c r="S68" s="959"/>
      <c r="T68" s="959"/>
      <c r="U68" s="959"/>
      <c r="V68" s="959"/>
    </row>
    <row r="69" spans="2:22" ht="33" customHeight="1" x14ac:dyDescent="0.3">
      <c r="E69" s="17" t="s">
        <v>411</v>
      </c>
      <c r="G69" s="964"/>
      <c r="H69" s="966"/>
      <c r="I69" s="966"/>
      <c r="J69" s="966"/>
      <c r="K69" s="966"/>
      <c r="L69" s="966"/>
      <c r="M69" s="966"/>
      <c r="N69" s="966"/>
      <c r="O69" s="959" t="s">
        <v>412</v>
      </c>
      <c r="P69" s="959"/>
      <c r="Q69" s="959"/>
      <c r="R69" s="959"/>
      <c r="S69" s="959"/>
      <c r="T69" s="959"/>
      <c r="U69" s="959"/>
      <c r="V69" s="959"/>
    </row>
    <row r="70" spans="2:22" ht="13" x14ac:dyDescent="0.3">
      <c r="G70" s="964"/>
      <c r="H70" s="966"/>
      <c r="I70" s="966"/>
      <c r="J70" s="966"/>
      <c r="K70" s="966"/>
      <c r="L70" s="966"/>
      <c r="M70" s="966"/>
      <c r="N70" s="966"/>
      <c r="O70" s="959"/>
      <c r="P70" s="959"/>
      <c r="Q70" s="959"/>
      <c r="R70" s="959"/>
      <c r="S70" s="959"/>
      <c r="T70" s="959"/>
      <c r="U70" s="959"/>
      <c r="V70" s="959"/>
    </row>
    <row r="71" spans="2:22" ht="15.5" x14ac:dyDescent="0.35">
      <c r="E71" s="43" t="s">
        <v>413</v>
      </c>
      <c r="F71" s="43"/>
      <c r="G71" s="43"/>
      <c r="H71" s="43"/>
      <c r="I71" s="43"/>
      <c r="J71" s="43"/>
      <c r="K71" s="43"/>
      <c r="L71" s="43"/>
      <c r="M71" s="43"/>
      <c r="N71" s="43"/>
      <c r="O71" s="43"/>
      <c r="P71" s="43"/>
      <c r="Q71" s="43"/>
      <c r="R71" s="43"/>
      <c r="S71" s="43"/>
      <c r="T71" s="43"/>
      <c r="U71" s="43"/>
      <c r="V71" s="43"/>
    </row>
    <row r="72" spans="2:22" customFormat="1" ht="4.1500000000000004" customHeight="1" x14ac:dyDescent="0.35">
      <c r="B72" s="38"/>
      <c r="C72" s="37"/>
      <c r="D72" s="38"/>
      <c r="E72" s="44"/>
      <c r="F72" s="44"/>
      <c r="G72" s="44"/>
      <c r="H72" s="44"/>
      <c r="I72" s="44"/>
      <c r="J72" s="44"/>
      <c r="K72" s="44"/>
      <c r="L72" s="44"/>
      <c r="M72" s="44"/>
      <c r="N72" s="44"/>
      <c r="O72" s="44"/>
      <c r="P72" s="44"/>
      <c r="Q72" s="44"/>
      <c r="R72" s="44"/>
      <c r="S72" s="44"/>
      <c r="T72" s="44"/>
      <c r="U72" s="44"/>
      <c r="V72" s="44"/>
    </row>
    <row r="73" spans="2:22" ht="13.5" thickBot="1" x14ac:dyDescent="0.35">
      <c r="E73" s="45"/>
      <c r="F73" s="45"/>
      <c r="G73" s="46" t="s">
        <v>352</v>
      </c>
      <c r="H73" s="46" t="s">
        <v>368</v>
      </c>
      <c r="I73" s="46"/>
      <c r="J73" s="46"/>
      <c r="K73" s="46" t="s">
        <v>369</v>
      </c>
      <c r="L73" s="46"/>
      <c r="M73" s="46"/>
      <c r="N73" s="46"/>
      <c r="O73" s="46" t="s">
        <v>370</v>
      </c>
      <c r="P73" s="45"/>
      <c r="Q73" s="45"/>
      <c r="R73" s="45"/>
      <c r="S73" s="45"/>
      <c r="T73" s="45"/>
      <c r="U73" s="45"/>
      <c r="V73" s="45"/>
    </row>
    <row r="74" spans="2:22" ht="25.5" customHeight="1" x14ac:dyDescent="0.3">
      <c r="E74" s="17" t="s">
        <v>414</v>
      </c>
      <c r="G74" s="974"/>
      <c r="H74" s="976"/>
      <c r="I74" s="976"/>
      <c r="J74" s="976"/>
      <c r="K74" s="977" t="s">
        <v>415</v>
      </c>
      <c r="L74" s="977"/>
      <c r="M74" s="977"/>
      <c r="N74" s="977"/>
      <c r="O74" s="977" t="s">
        <v>416</v>
      </c>
      <c r="P74" s="977"/>
      <c r="Q74" s="977"/>
      <c r="R74" s="977"/>
      <c r="S74" s="977"/>
      <c r="T74" s="977"/>
      <c r="U74" s="977"/>
      <c r="V74" s="977"/>
    </row>
    <row r="75" spans="2:22" ht="25.5" customHeight="1" x14ac:dyDescent="0.3">
      <c r="G75" s="975"/>
      <c r="H75" s="965"/>
      <c r="I75" s="965"/>
      <c r="J75" s="965"/>
      <c r="K75" s="959"/>
      <c r="L75" s="959"/>
      <c r="M75" s="959"/>
      <c r="N75" s="959"/>
      <c r="O75" s="959"/>
      <c r="P75" s="959"/>
      <c r="Q75" s="959"/>
      <c r="R75" s="959"/>
      <c r="S75" s="959"/>
      <c r="T75" s="959"/>
      <c r="U75" s="959"/>
      <c r="V75" s="959"/>
    </row>
    <row r="76" spans="2:22" ht="14.25" customHeight="1" x14ac:dyDescent="0.3">
      <c r="E76" s="17" t="s">
        <v>417</v>
      </c>
      <c r="G76" s="973"/>
      <c r="H76" s="965"/>
      <c r="I76" s="965"/>
      <c r="J76" s="965"/>
      <c r="K76" s="959" t="s">
        <v>418</v>
      </c>
      <c r="L76" s="959"/>
      <c r="M76" s="959"/>
      <c r="N76" s="959"/>
      <c r="O76" s="963" t="s">
        <v>419</v>
      </c>
      <c r="P76" s="963"/>
      <c r="Q76" s="963"/>
      <c r="R76" s="963"/>
      <c r="S76" s="963"/>
      <c r="T76" s="963"/>
      <c r="U76" s="963"/>
      <c r="V76" s="963"/>
    </row>
    <row r="77" spans="2:22" ht="12.4" customHeight="1" x14ac:dyDescent="0.3">
      <c r="G77" s="973"/>
      <c r="H77" s="965"/>
      <c r="I77" s="965"/>
      <c r="J77" s="965"/>
      <c r="K77" s="959"/>
      <c r="L77" s="959"/>
      <c r="M77" s="959"/>
      <c r="N77" s="959"/>
      <c r="O77" s="963"/>
      <c r="P77" s="963"/>
      <c r="Q77" s="963"/>
      <c r="R77" s="963"/>
      <c r="S77" s="963"/>
      <c r="T77" s="963"/>
      <c r="U77" s="963"/>
      <c r="V77" s="963"/>
    </row>
    <row r="78" spans="2:22" ht="14.25" customHeight="1" x14ac:dyDescent="0.3">
      <c r="E78" s="17" t="s">
        <v>420</v>
      </c>
      <c r="G78" s="973"/>
      <c r="H78" s="965"/>
      <c r="I78" s="965"/>
      <c r="J78" s="965"/>
      <c r="K78" s="965"/>
      <c r="L78" s="965"/>
      <c r="M78" s="965"/>
      <c r="N78" s="965"/>
      <c r="O78" s="963" t="s">
        <v>421</v>
      </c>
      <c r="P78" s="963"/>
      <c r="Q78" s="963"/>
      <c r="R78" s="963"/>
      <c r="S78" s="963"/>
      <c r="T78" s="963"/>
      <c r="U78" s="963"/>
      <c r="V78" s="963"/>
    </row>
    <row r="79" spans="2:22" ht="12.4" customHeight="1" x14ac:dyDescent="0.3">
      <c r="G79" s="973"/>
      <c r="H79" s="965"/>
      <c r="I79" s="965"/>
      <c r="J79" s="965"/>
      <c r="K79" s="965"/>
      <c r="L79" s="965"/>
      <c r="M79" s="965"/>
      <c r="N79" s="965"/>
      <c r="O79" s="963"/>
      <c r="P79" s="963"/>
      <c r="Q79" s="963"/>
      <c r="R79" s="963"/>
      <c r="S79" s="963"/>
      <c r="T79" s="963"/>
      <c r="U79" s="963"/>
      <c r="V79" s="963"/>
    </row>
    <row r="80" spans="2:22" ht="14.25" customHeight="1" x14ac:dyDescent="0.3">
      <c r="E80" s="17" t="s">
        <v>422</v>
      </c>
      <c r="G80" s="973"/>
      <c r="H80" s="965"/>
      <c r="I80" s="965"/>
      <c r="J80" s="965"/>
      <c r="K80" s="965"/>
      <c r="L80" s="965"/>
      <c r="M80" s="965"/>
      <c r="N80" s="965"/>
      <c r="O80" s="963" t="s">
        <v>423</v>
      </c>
      <c r="P80" s="963"/>
      <c r="Q80" s="963"/>
      <c r="R80" s="963"/>
      <c r="S80" s="963"/>
      <c r="T80" s="963"/>
      <c r="U80" s="963"/>
      <c r="V80" s="963"/>
    </row>
    <row r="81" spans="5:22" ht="12.4" customHeight="1" x14ac:dyDescent="0.3">
      <c r="G81" s="973"/>
      <c r="H81" s="965"/>
      <c r="I81" s="965"/>
      <c r="J81" s="965"/>
      <c r="K81" s="965"/>
      <c r="L81" s="965"/>
      <c r="M81" s="965"/>
      <c r="N81" s="965"/>
      <c r="O81" s="963"/>
      <c r="P81" s="963"/>
      <c r="Q81" s="963"/>
      <c r="R81" s="963"/>
      <c r="S81" s="963"/>
      <c r="T81" s="963"/>
      <c r="U81" s="963"/>
      <c r="V81" s="963"/>
    </row>
    <row r="82" spans="5:22" ht="14" x14ac:dyDescent="0.3">
      <c r="E82" s="17" t="s">
        <v>424</v>
      </c>
      <c r="G82" s="978"/>
      <c r="H82" s="965"/>
      <c r="I82" s="965"/>
      <c r="J82" s="965"/>
      <c r="K82" s="965"/>
      <c r="L82" s="965"/>
      <c r="M82" s="965"/>
      <c r="N82" s="965"/>
      <c r="O82" s="963" t="s">
        <v>425</v>
      </c>
      <c r="P82" s="963"/>
      <c r="Q82" s="963"/>
      <c r="R82" s="963"/>
      <c r="S82" s="963"/>
      <c r="T82" s="963"/>
      <c r="U82" s="963"/>
      <c r="V82" s="963"/>
    </row>
    <row r="83" spans="5:22" ht="13" x14ac:dyDescent="0.3">
      <c r="G83" s="978"/>
      <c r="H83" s="965"/>
      <c r="I83" s="965"/>
      <c r="J83" s="965"/>
      <c r="K83" s="965"/>
      <c r="L83" s="965"/>
      <c r="M83" s="965"/>
      <c r="N83" s="965"/>
      <c r="O83" s="963"/>
      <c r="P83" s="963"/>
      <c r="Q83" s="963"/>
      <c r="R83" s="963"/>
      <c r="S83" s="963"/>
      <c r="T83" s="963"/>
      <c r="U83" s="963"/>
      <c r="V83" s="963"/>
    </row>
    <row r="84" spans="5:22" ht="14.25" customHeight="1" x14ac:dyDescent="0.3">
      <c r="E84" s="17" t="s">
        <v>426</v>
      </c>
      <c r="G84" s="973"/>
      <c r="H84" s="965"/>
      <c r="I84" s="965"/>
      <c r="J84" s="965"/>
      <c r="K84" s="965"/>
      <c r="L84" s="965"/>
      <c r="M84" s="965"/>
      <c r="N84" s="965"/>
      <c r="O84" s="963" t="s">
        <v>427</v>
      </c>
      <c r="P84" s="963"/>
      <c r="Q84" s="963"/>
      <c r="R84" s="963"/>
      <c r="S84" s="963"/>
      <c r="T84" s="963"/>
      <c r="U84" s="963"/>
      <c r="V84" s="963"/>
    </row>
    <row r="85" spans="5:22" ht="12.4" customHeight="1" x14ac:dyDescent="0.3">
      <c r="G85" s="973"/>
      <c r="H85" s="965"/>
      <c r="I85" s="965"/>
      <c r="J85" s="965"/>
      <c r="K85" s="965"/>
      <c r="L85" s="965"/>
      <c r="M85" s="965"/>
      <c r="N85" s="965"/>
      <c r="O85" s="963"/>
      <c r="P85" s="963"/>
      <c r="Q85" s="963"/>
      <c r="R85" s="963"/>
      <c r="S85" s="963"/>
      <c r="T85" s="963"/>
      <c r="U85" s="963"/>
      <c r="V85" s="963"/>
    </row>
    <row r="86" spans="5:22" ht="21.75" customHeight="1" x14ac:dyDescent="0.3">
      <c r="E86" s="17" t="s">
        <v>428</v>
      </c>
      <c r="G86" s="973"/>
      <c r="H86" s="965"/>
      <c r="I86" s="965"/>
      <c r="J86" s="965"/>
      <c r="K86" s="965"/>
      <c r="L86" s="965"/>
      <c r="M86" s="965"/>
      <c r="N86" s="965"/>
      <c r="O86" s="963" t="s">
        <v>429</v>
      </c>
      <c r="P86" s="963"/>
      <c r="Q86" s="963"/>
      <c r="R86" s="963"/>
      <c r="S86" s="963"/>
      <c r="T86" s="963"/>
      <c r="U86" s="963"/>
      <c r="V86" s="963"/>
    </row>
    <row r="87" spans="5:22" ht="12.4" customHeight="1" x14ac:dyDescent="0.3">
      <c r="G87" s="973"/>
      <c r="H87" s="965"/>
      <c r="I87" s="965"/>
      <c r="J87" s="965"/>
      <c r="K87" s="965"/>
      <c r="L87" s="965"/>
      <c r="M87" s="965"/>
      <c r="N87" s="965"/>
      <c r="O87" s="963"/>
      <c r="P87" s="963"/>
      <c r="Q87" s="963"/>
      <c r="R87" s="963"/>
      <c r="S87" s="963"/>
      <c r="T87" s="963"/>
      <c r="U87" s="963"/>
      <c r="V87" s="963"/>
    </row>
    <row r="88" spans="5:22" ht="13.9" customHeight="1" x14ac:dyDescent="0.3">
      <c r="E88" s="17" t="s">
        <v>430</v>
      </c>
      <c r="G88" s="975"/>
      <c r="H88" s="965"/>
      <c r="I88" s="965"/>
      <c r="J88" s="965"/>
      <c r="K88" s="965"/>
      <c r="L88" s="965"/>
      <c r="M88" s="965"/>
      <c r="N88" s="965"/>
      <c r="O88" s="963" t="s">
        <v>431</v>
      </c>
      <c r="P88" s="963"/>
      <c r="Q88" s="963"/>
      <c r="R88" s="963"/>
      <c r="S88" s="963"/>
      <c r="T88" s="963"/>
      <c r="U88" s="963"/>
      <c r="V88" s="963"/>
    </row>
    <row r="89" spans="5:22" ht="13.15" customHeight="1" x14ac:dyDescent="0.3">
      <c r="E89" s="17"/>
      <c r="G89" s="975"/>
      <c r="H89" s="965"/>
      <c r="I89" s="965"/>
      <c r="J89" s="965"/>
      <c r="K89" s="965"/>
      <c r="L89" s="965"/>
      <c r="M89" s="965"/>
      <c r="N89" s="965"/>
      <c r="O89" s="963"/>
      <c r="P89" s="963"/>
      <c r="Q89" s="963"/>
      <c r="R89" s="963"/>
      <c r="S89" s="963"/>
      <c r="T89" s="963"/>
      <c r="U89" s="963"/>
      <c r="V89" s="963"/>
    </row>
    <row r="90" spans="5:22" ht="14.25" customHeight="1" x14ac:dyDescent="0.3">
      <c r="E90" s="17" t="s">
        <v>432</v>
      </c>
      <c r="G90" s="963"/>
      <c r="H90" s="965"/>
      <c r="I90" s="965"/>
      <c r="J90" s="965"/>
      <c r="K90" s="965"/>
      <c r="L90" s="965"/>
      <c r="M90" s="965"/>
      <c r="N90" s="965"/>
      <c r="O90" s="963"/>
      <c r="P90" s="963"/>
      <c r="Q90" s="963"/>
      <c r="R90" s="963"/>
      <c r="S90" s="963"/>
      <c r="T90" s="963"/>
      <c r="U90" s="963"/>
      <c r="V90" s="963"/>
    </row>
    <row r="91" spans="5:22" ht="14.25" customHeight="1" x14ac:dyDescent="0.3">
      <c r="E91" s="17"/>
      <c r="G91" s="963"/>
      <c r="H91" s="965"/>
      <c r="I91" s="965"/>
      <c r="J91" s="965"/>
      <c r="K91" s="965"/>
      <c r="L91" s="965"/>
      <c r="M91" s="965"/>
      <c r="N91" s="965"/>
      <c r="O91" s="963"/>
      <c r="P91" s="963"/>
      <c r="Q91" s="963"/>
      <c r="R91" s="963"/>
      <c r="S91" s="963"/>
      <c r="T91" s="963"/>
      <c r="U91" s="963"/>
      <c r="V91" s="963"/>
    </row>
    <row r="92" spans="5:22" ht="14.25" customHeight="1" x14ac:dyDescent="0.3">
      <c r="E92" s="17" t="s">
        <v>433</v>
      </c>
      <c r="G92" s="963" t="s">
        <v>434</v>
      </c>
      <c r="H92" s="965"/>
      <c r="I92" s="965"/>
      <c r="J92" s="965"/>
      <c r="K92" s="965"/>
      <c r="L92" s="965"/>
      <c r="M92" s="965"/>
      <c r="N92" s="965"/>
      <c r="O92" s="917"/>
      <c r="P92" s="917"/>
      <c r="Q92" s="917"/>
      <c r="R92" s="917"/>
      <c r="S92" s="917"/>
      <c r="T92" s="917"/>
      <c r="U92" s="917"/>
      <c r="V92" s="917"/>
    </row>
    <row r="93" spans="5:22" ht="12.4" customHeight="1" x14ac:dyDescent="0.3">
      <c r="G93" s="963"/>
      <c r="H93" s="965"/>
      <c r="I93" s="965"/>
      <c r="J93" s="965"/>
      <c r="K93" s="965"/>
      <c r="L93" s="965"/>
      <c r="M93" s="965"/>
      <c r="N93" s="965"/>
      <c r="O93" s="917"/>
      <c r="P93" s="917"/>
      <c r="Q93" s="917"/>
      <c r="R93" s="917"/>
      <c r="S93" s="917"/>
      <c r="T93" s="917"/>
      <c r="U93" s="917"/>
      <c r="V93" s="917"/>
    </row>
    <row r="94" spans="5:22" ht="14.25" customHeight="1" x14ac:dyDescent="0.3">
      <c r="E94" s="17" t="s">
        <v>435</v>
      </c>
      <c r="G94" s="973"/>
      <c r="H94" s="965"/>
      <c r="I94" s="965"/>
      <c r="J94" s="965"/>
      <c r="K94" s="965"/>
      <c r="L94" s="965"/>
      <c r="M94" s="965"/>
      <c r="N94" s="965"/>
      <c r="O94" s="963" t="s">
        <v>436</v>
      </c>
      <c r="P94" s="963"/>
      <c r="Q94" s="963"/>
      <c r="R94" s="963"/>
      <c r="S94" s="963"/>
      <c r="T94" s="963"/>
      <c r="U94" s="963"/>
      <c r="V94" s="963"/>
    </row>
    <row r="95" spans="5:22" ht="20.25" customHeight="1" x14ac:dyDescent="0.3">
      <c r="G95" s="973"/>
      <c r="H95" s="965"/>
      <c r="I95" s="965"/>
      <c r="J95" s="965"/>
      <c r="K95" s="965"/>
      <c r="L95" s="965"/>
      <c r="M95" s="965"/>
      <c r="N95" s="965"/>
      <c r="O95" s="963"/>
      <c r="P95" s="963"/>
      <c r="Q95" s="963"/>
      <c r="R95" s="963"/>
      <c r="S95" s="963"/>
      <c r="T95" s="963"/>
      <c r="U95" s="963"/>
      <c r="V95" s="963"/>
    </row>
    <row r="96" spans="5:22" ht="12.75" customHeight="1" x14ac:dyDescent="0.35">
      <c r="E96" s="43" t="s">
        <v>437</v>
      </c>
      <c r="F96" s="43"/>
      <c r="G96" s="43"/>
      <c r="H96" s="43"/>
      <c r="I96" s="43"/>
      <c r="J96" s="43"/>
      <c r="K96" s="43"/>
      <c r="L96" s="43"/>
      <c r="M96" s="43"/>
      <c r="N96" s="43"/>
      <c r="O96" s="43"/>
      <c r="P96" s="43"/>
      <c r="Q96" s="43"/>
      <c r="R96" s="43"/>
      <c r="S96" s="43"/>
      <c r="T96" s="43"/>
      <c r="U96" s="43"/>
      <c r="V96" s="43"/>
    </row>
    <row r="97" spans="5:22" ht="9" customHeight="1" x14ac:dyDescent="0.35">
      <c r="E97" s="44"/>
      <c r="F97" s="44"/>
      <c r="G97" s="44"/>
      <c r="H97" s="44"/>
      <c r="I97" s="44"/>
      <c r="J97" s="44"/>
      <c r="K97" s="44"/>
      <c r="L97" s="44"/>
      <c r="M97" s="44"/>
      <c r="N97" s="44"/>
      <c r="O97" s="44"/>
      <c r="P97" s="44"/>
      <c r="Q97" s="44"/>
      <c r="R97" s="44"/>
      <c r="S97" s="44"/>
      <c r="T97" s="44"/>
      <c r="U97" s="44"/>
      <c r="V97" s="44"/>
    </row>
    <row r="98" spans="5:22" ht="12.75" customHeight="1" x14ac:dyDescent="0.3">
      <c r="E98" s="38" t="s">
        <v>438</v>
      </c>
    </row>
    <row r="99" spans="5:22" ht="101.25" customHeight="1" x14ac:dyDescent="0.3"/>
    <row r="100" spans="5:22" ht="70.5" customHeight="1" x14ac:dyDescent="0.3"/>
    <row r="101" spans="5:22" ht="74.25" customHeight="1" x14ac:dyDescent="0.3"/>
    <row r="102" spans="5:22" ht="78" customHeight="1" x14ac:dyDescent="0.3"/>
    <row r="103" spans="5:22" ht="61.5" customHeight="1" x14ac:dyDescent="0.3"/>
    <row r="104" spans="5:22" ht="69" customHeight="1" x14ac:dyDescent="0.3"/>
    <row r="105" spans="5:22" ht="60" customHeight="1" x14ac:dyDescent="0.3"/>
    <row r="106" spans="5:22" ht="48" customHeight="1" x14ac:dyDescent="0.3"/>
    <row r="107" spans="5:22" ht="57.75" customHeight="1" x14ac:dyDescent="0.3"/>
    <row r="108" spans="5:22" ht="35.25" customHeight="1" x14ac:dyDescent="0.3"/>
  </sheetData>
  <mergeCells count="128">
    <mergeCell ref="V94:V95"/>
    <mergeCell ref="G94:G95"/>
    <mergeCell ref="H94:J95"/>
    <mergeCell ref="K94:N95"/>
    <mergeCell ref="G90:G91"/>
    <mergeCell ref="H90:J91"/>
    <mergeCell ref="K90:N91"/>
    <mergeCell ref="O90:V91"/>
    <mergeCell ref="G92:G93"/>
    <mergeCell ref="H92:J93"/>
    <mergeCell ref="K92:N93"/>
    <mergeCell ref="O94:O95"/>
    <mergeCell ref="P94:P95"/>
    <mergeCell ref="Q94:Q95"/>
    <mergeCell ref="R94:R95"/>
    <mergeCell ref="S94:S95"/>
    <mergeCell ref="T94:T95"/>
    <mergeCell ref="U94:U95"/>
    <mergeCell ref="G86:G87"/>
    <mergeCell ref="H86:J87"/>
    <mergeCell ref="K86:N87"/>
    <mergeCell ref="O86:V87"/>
    <mergeCell ref="G88:G89"/>
    <mergeCell ref="H88:J89"/>
    <mergeCell ref="K88:N89"/>
    <mergeCell ref="O88:V89"/>
    <mergeCell ref="G82:G83"/>
    <mergeCell ref="H82:J83"/>
    <mergeCell ref="K82:N83"/>
    <mergeCell ref="O82:V83"/>
    <mergeCell ref="G84:G85"/>
    <mergeCell ref="H84:J85"/>
    <mergeCell ref="K84:N85"/>
    <mergeCell ref="O84:V85"/>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G5:L6"/>
    <mergeCell ref="N5:Q14"/>
    <mergeCell ref="R5:U14"/>
    <mergeCell ref="G7:L8"/>
    <mergeCell ref="G9:L10"/>
    <mergeCell ref="G11:L12"/>
    <mergeCell ref="G13:L14"/>
  </mergeCells>
  <dataValidations disablePrompts="1" count="1">
    <dataValidation type="list" allowBlank="1" showInputMessage="1" showErrorMessage="1" sqref="F6" xr:uid="{00000000-0002-0000-0400-000000000000}">
      <formula1>#REF!</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R86"/>
  <sheetViews>
    <sheetView showGridLines="0" topLeftCell="A18" zoomScale="65" zoomScaleNormal="85" workbookViewId="0"/>
  </sheetViews>
  <sheetFormatPr defaultRowHeight="14" x14ac:dyDescent="0.3"/>
  <cols>
    <col min="1" max="1" width="2.58203125" customWidth="1"/>
    <col min="5" max="5" width="30.58203125" customWidth="1"/>
    <col min="6" max="6" width="13.08203125" customWidth="1"/>
    <col min="7" max="17" width="11.08203125" customWidth="1"/>
    <col min="18" max="18" width="20.58203125" style="6" customWidth="1"/>
  </cols>
  <sheetData>
    <row r="2" spans="1:18" s="32" customFormat="1" ht="20.25" customHeight="1" x14ac:dyDescent="0.4">
      <c r="B2" s="601" t="s">
        <v>439</v>
      </c>
      <c r="R2" s="637"/>
    </row>
    <row r="4" spans="1:18" ht="15.5" x14ac:dyDescent="0.35">
      <c r="A4" t="s">
        <v>440</v>
      </c>
      <c r="B4" s="206" t="s">
        <v>441</v>
      </c>
      <c r="C4" s="47"/>
      <c r="D4" s="47"/>
      <c r="E4" s="47"/>
      <c r="F4" s="47"/>
      <c r="G4" s="207">
        <v>2014</v>
      </c>
      <c r="H4" s="207">
        <f>+G4+1</f>
        <v>2015</v>
      </c>
      <c r="I4" s="207">
        <f t="shared" ref="I4:M4" si="0">+H4+1</f>
        <v>2016</v>
      </c>
      <c r="J4" s="207">
        <f t="shared" si="0"/>
        <v>2017</v>
      </c>
      <c r="K4" s="207">
        <f t="shared" si="0"/>
        <v>2018</v>
      </c>
      <c r="L4" s="207">
        <f t="shared" si="0"/>
        <v>2019</v>
      </c>
      <c r="M4" s="207">
        <f t="shared" si="0"/>
        <v>2020</v>
      </c>
      <c r="N4" s="207">
        <f>+M4+1</f>
        <v>2021</v>
      </c>
      <c r="O4" s="207">
        <f>+N4+1</f>
        <v>2022</v>
      </c>
      <c r="P4" s="207">
        <f t="shared" ref="P4" si="1">+O4+1</f>
        <v>2023</v>
      </c>
      <c r="Q4" s="207">
        <f>+P4+1</f>
        <v>2024</v>
      </c>
      <c r="R4" s="49" t="str">
        <f>"CAGR "&amp;$G$4&amp;" - "&amp;$Q$4</f>
        <v>CAGR 2014 - 2024</v>
      </c>
    </row>
    <row r="5" spans="1:18" ht="3.75" customHeight="1" x14ac:dyDescent="0.35">
      <c r="B5" s="44"/>
      <c r="C5" s="44"/>
      <c r="D5" s="44"/>
      <c r="E5" s="44"/>
      <c r="F5" s="44"/>
      <c r="G5" s="208"/>
      <c r="H5" s="208"/>
      <c r="I5" s="208"/>
      <c r="J5" s="208"/>
      <c r="K5" s="208"/>
      <c r="L5" s="208"/>
      <c r="M5" s="208"/>
      <c r="N5" s="208"/>
      <c r="O5" s="208"/>
      <c r="P5" s="208"/>
      <c r="Q5" s="208"/>
      <c r="R5" s="51"/>
    </row>
    <row r="6" spans="1:18" x14ac:dyDescent="0.3">
      <c r="B6" t="str">
        <f ca="1">+Peers!B6</f>
        <v>SK hynix Inc.</v>
      </c>
      <c r="G6" s="186">
        <v>1645</v>
      </c>
      <c r="H6" s="186">
        <v>1726</v>
      </c>
      <c r="I6" s="186">
        <v>1691</v>
      </c>
      <c r="J6" s="186">
        <v>1710</v>
      </c>
      <c r="K6" s="186">
        <v>1959</v>
      </c>
      <c r="L6" s="186">
        <v>2126</v>
      </c>
      <c r="M6" s="186">
        <v>2711</v>
      </c>
      <c r="N6" s="186">
        <v>2629</v>
      </c>
      <c r="O6" s="186">
        <v>2943</v>
      </c>
      <c r="P6" s="186">
        <v>2338</v>
      </c>
      <c r="Q6" s="186"/>
      <c r="R6" s="638">
        <f t="shared" ref="R6:R16" si="2">IFERROR((Q6/G6)^(1/COUNT($G$4:$Q$4))-1,"")</f>
        <v>-1</v>
      </c>
    </row>
    <row r="7" spans="1:18" x14ac:dyDescent="0.3">
      <c r="B7" s="606" t="str">
        <f ca="1">+Peers!B8</f>
        <v>Samsung Electronics Co., Ltd.</v>
      </c>
      <c r="C7" s="606"/>
      <c r="D7" s="606"/>
      <c r="E7" s="606"/>
      <c r="F7" s="606"/>
      <c r="G7" s="607">
        <v>2620</v>
      </c>
      <c r="H7" s="607">
        <v>2445</v>
      </c>
      <c r="I7" s="607">
        <v>2554</v>
      </c>
      <c r="J7" s="607">
        <v>3668</v>
      </c>
      <c r="K7" s="607">
        <v>4855</v>
      </c>
      <c r="L7" s="607">
        <v>5067</v>
      </c>
      <c r="M7" s="607">
        <v>5726</v>
      </c>
      <c r="N7" s="607">
        <v>7604</v>
      </c>
      <c r="O7" s="607">
        <v>5972</v>
      </c>
      <c r="P7" s="607">
        <v>3733</v>
      </c>
      <c r="Q7" s="607"/>
      <c r="R7" s="639">
        <f t="shared" si="2"/>
        <v>-1</v>
      </c>
    </row>
    <row r="8" spans="1:18" x14ac:dyDescent="0.3">
      <c r="B8" t="str">
        <f ca="1">+Peers!B9</f>
        <v>MICRON TECHNOLOGY, INC.</v>
      </c>
      <c r="G8" s="186"/>
      <c r="H8" s="186">
        <v>1415</v>
      </c>
      <c r="I8" s="186">
        <v>1724</v>
      </c>
      <c r="J8" s="186">
        <v>2844</v>
      </c>
      <c r="K8" s="186">
        <v>2946</v>
      </c>
      <c r="L8" s="186">
        <v>3195</v>
      </c>
      <c r="M8" s="186">
        <v>3048</v>
      </c>
      <c r="N8" s="186">
        <v>3340</v>
      </c>
      <c r="O8" s="186">
        <v>3478</v>
      </c>
      <c r="P8" s="186">
        <v>2699</v>
      </c>
      <c r="Q8" s="186"/>
      <c r="R8" s="638" t="str">
        <f t="shared" si="2"/>
        <v/>
      </c>
    </row>
    <row r="9" spans="1:18" x14ac:dyDescent="0.3">
      <c r="B9" s="606" t="str">
        <f ca="1">+Peers!B10</f>
        <v>Kioxia Holdings Corporation</v>
      </c>
      <c r="C9" s="606"/>
      <c r="D9" s="606"/>
      <c r="E9" s="606"/>
      <c r="F9" s="606"/>
      <c r="G9" s="607"/>
      <c r="H9" s="607"/>
      <c r="I9" s="607"/>
      <c r="J9" s="607"/>
      <c r="K9" s="607"/>
      <c r="L9" s="607"/>
      <c r="M9" s="607"/>
      <c r="N9" s="607"/>
      <c r="O9" s="607"/>
      <c r="P9" s="607"/>
      <c r="Q9" s="606"/>
      <c r="R9" s="639" t="str">
        <f t="shared" si="2"/>
        <v/>
      </c>
    </row>
    <row r="10" spans="1:18" x14ac:dyDescent="0.3">
      <c r="B10" t="str">
        <f ca="1">+Peers!B11</f>
        <v>WESTERN DIGITAL CORPORATION</v>
      </c>
      <c r="G10" s="186">
        <v>55</v>
      </c>
      <c r="H10" s="186">
        <v>29</v>
      </c>
      <c r="I10" s="186">
        <v>45</v>
      </c>
      <c r="J10" s="186">
        <v>50</v>
      </c>
      <c r="K10" s="186">
        <v>46</v>
      </c>
      <c r="L10" s="186">
        <v>51</v>
      </c>
      <c r="M10" s="186">
        <v>45</v>
      </c>
      <c r="N10" s="186">
        <v>46</v>
      </c>
      <c r="O10" s="186">
        <v>48</v>
      </c>
      <c r="P10" s="186">
        <v>107</v>
      </c>
      <c r="Q10" s="186"/>
      <c r="R10" s="638">
        <f t="shared" si="2"/>
        <v>-1</v>
      </c>
    </row>
    <row r="11" spans="1:18" x14ac:dyDescent="0.3">
      <c r="B11" s="606" t="str">
        <f>+Peers!B12</f>
        <v/>
      </c>
      <c r="C11" s="606"/>
      <c r="D11" s="606"/>
      <c r="E11" s="606"/>
      <c r="F11" s="606"/>
      <c r="G11" s="607"/>
      <c r="H11" s="607"/>
      <c r="I11" s="607"/>
      <c r="J11" s="607"/>
      <c r="K11" s="607"/>
      <c r="L11" s="607"/>
      <c r="M11" s="607"/>
      <c r="N11" s="607"/>
      <c r="O11" s="607"/>
      <c r="P11" s="607"/>
      <c r="Q11" s="607"/>
      <c r="R11" s="639" t="str">
        <f t="shared" si="2"/>
        <v/>
      </c>
    </row>
    <row r="12" spans="1:18" x14ac:dyDescent="0.3">
      <c r="B12" t="str">
        <f>+Peers!B13</f>
        <v/>
      </c>
      <c r="G12" s="186"/>
      <c r="H12" s="186"/>
      <c r="I12" s="186"/>
      <c r="J12" s="186"/>
      <c r="K12" s="186"/>
      <c r="L12" s="186"/>
      <c r="M12" s="186"/>
      <c r="N12" s="186"/>
      <c r="O12" s="186"/>
      <c r="P12" s="186"/>
      <c r="Q12" s="186"/>
      <c r="R12" s="638" t="str">
        <f t="shared" si="2"/>
        <v/>
      </c>
    </row>
    <row r="13" spans="1:18" x14ac:dyDescent="0.3">
      <c r="B13" s="606" t="str">
        <f>+Peers!B14</f>
        <v/>
      </c>
      <c r="C13" s="606"/>
      <c r="D13" s="606"/>
      <c r="E13" s="606"/>
      <c r="F13" s="606"/>
      <c r="G13" s="607"/>
      <c r="H13" s="607"/>
      <c r="I13" s="607"/>
      <c r="J13" s="607"/>
      <c r="K13" s="607"/>
      <c r="L13" s="607"/>
      <c r="M13" s="607"/>
      <c r="N13" s="607"/>
      <c r="O13" s="607"/>
      <c r="P13" s="607"/>
      <c r="Q13" s="607"/>
      <c r="R13" s="639" t="str">
        <f t="shared" si="2"/>
        <v/>
      </c>
    </row>
    <row r="14" spans="1:18" x14ac:dyDescent="0.3">
      <c r="B14" t="str">
        <f>+Peers!B15</f>
        <v/>
      </c>
      <c r="G14" s="186"/>
      <c r="H14" s="186"/>
      <c r="I14" s="186"/>
      <c r="J14" s="186"/>
      <c r="K14" s="186"/>
      <c r="L14" s="186"/>
      <c r="M14" s="186"/>
      <c r="N14" s="186"/>
      <c r="O14" s="186"/>
      <c r="P14" s="186"/>
      <c r="Q14" s="186"/>
      <c r="R14" s="638" t="str">
        <f t="shared" si="2"/>
        <v/>
      </c>
    </row>
    <row r="15" spans="1:18" x14ac:dyDescent="0.3">
      <c r="B15" s="606" t="str">
        <f>+Peers!B16</f>
        <v/>
      </c>
      <c r="C15" s="606"/>
      <c r="D15" s="606"/>
      <c r="E15" s="606"/>
      <c r="F15" s="606"/>
      <c r="G15" s="607"/>
      <c r="H15" s="607"/>
      <c r="I15" s="607"/>
      <c r="J15" s="607"/>
      <c r="K15" s="607"/>
      <c r="L15" s="607"/>
      <c r="M15" s="607"/>
      <c r="N15" s="607"/>
      <c r="O15" s="607"/>
      <c r="P15" s="607"/>
      <c r="Q15" s="607"/>
      <c r="R15" s="639" t="str">
        <f t="shared" si="2"/>
        <v/>
      </c>
    </row>
    <row r="16" spans="1:18" x14ac:dyDescent="0.3">
      <c r="B16" t="str">
        <f>+Peers!B17</f>
        <v/>
      </c>
      <c r="G16" s="186"/>
      <c r="H16" s="186"/>
      <c r="I16" s="186"/>
      <c r="J16" s="186"/>
      <c r="K16" s="186"/>
      <c r="L16" s="186"/>
      <c r="M16" s="186"/>
      <c r="N16" s="186"/>
      <c r="O16" s="186"/>
      <c r="P16" s="186"/>
      <c r="Q16" s="186"/>
      <c r="R16" s="638" t="str">
        <f t="shared" si="2"/>
        <v/>
      </c>
    </row>
    <row r="17" spans="1:18" x14ac:dyDescent="0.3">
      <c r="G17" s="186"/>
      <c r="H17" s="186"/>
      <c r="I17" s="186"/>
      <c r="J17" s="186"/>
      <c r="K17" s="186"/>
      <c r="L17" s="186"/>
      <c r="M17" s="186"/>
      <c r="N17" s="186"/>
      <c r="O17" s="186"/>
      <c r="P17" s="186"/>
      <c r="Q17" s="186"/>
    </row>
    <row r="18" spans="1:18" ht="15.5" x14ac:dyDescent="0.35">
      <c r="A18" t="s">
        <v>440</v>
      </c>
      <c r="B18" s="206" t="s">
        <v>442</v>
      </c>
      <c r="C18" s="47"/>
      <c r="D18" s="47"/>
      <c r="E18" s="47"/>
      <c r="F18" s="47"/>
      <c r="G18" s="207">
        <v>2014</v>
      </c>
      <c r="H18" s="207">
        <f t="shared" ref="H18:Q18" si="3">+G18+1</f>
        <v>2015</v>
      </c>
      <c r="I18" s="207">
        <f t="shared" si="3"/>
        <v>2016</v>
      </c>
      <c r="J18" s="207">
        <f t="shared" si="3"/>
        <v>2017</v>
      </c>
      <c r="K18" s="207">
        <f t="shared" si="3"/>
        <v>2018</v>
      </c>
      <c r="L18" s="207">
        <f t="shared" si="3"/>
        <v>2019</v>
      </c>
      <c r="M18" s="207">
        <f t="shared" si="3"/>
        <v>2020</v>
      </c>
      <c r="N18" s="207">
        <f t="shared" si="3"/>
        <v>2021</v>
      </c>
      <c r="O18" s="207">
        <f t="shared" si="3"/>
        <v>2022</v>
      </c>
      <c r="P18" s="207">
        <f t="shared" si="3"/>
        <v>2023</v>
      </c>
      <c r="Q18" s="207">
        <f t="shared" si="3"/>
        <v>2024</v>
      </c>
      <c r="R18" s="49" t="str">
        <f>"CAGR "&amp;$G$4&amp;" - "&amp;$Q$4</f>
        <v>CAGR 2014 - 2024</v>
      </c>
    </row>
    <row r="19" spans="1:18" s="83" customFormat="1" ht="3.75" customHeight="1" x14ac:dyDescent="0.35">
      <c r="B19" s="602"/>
      <c r="C19" s="602"/>
      <c r="D19" s="602"/>
      <c r="E19" s="602"/>
      <c r="F19" s="602"/>
      <c r="G19" s="603"/>
      <c r="H19" s="603"/>
      <c r="I19" s="603"/>
      <c r="J19" s="603"/>
      <c r="K19" s="603"/>
      <c r="L19" s="603"/>
      <c r="M19" s="603"/>
      <c r="N19" s="603"/>
      <c r="O19" s="603"/>
      <c r="P19" s="603"/>
      <c r="Q19" s="603"/>
      <c r="R19" s="604"/>
    </row>
    <row r="20" spans="1:18" x14ac:dyDescent="0.3">
      <c r="B20" t="str">
        <f ca="1">+$B$6</f>
        <v>SK hynix Inc.</v>
      </c>
      <c r="G20" s="186">
        <v>2741</v>
      </c>
      <c r="H20" s="186">
        <v>2997</v>
      </c>
      <c r="I20" s="186">
        <v>3251</v>
      </c>
      <c r="J20" s="186">
        <v>3378</v>
      </c>
      <c r="K20" s="186">
        <v>3956</v>
      </c>
      <c r="L20" s="186">
        <v>4713</v>
      </c>
      <c r="M20" s="186">
        <v>4837</v>
      </c>
      <c r="N20" s="186">
        <v>5214</v>
      </c>
      <c r="O20" s="186">
        <v>6140</v>
      </c>
      <c r="P20" s="186">
        <v>4987</v>
      </c>
      <c r="Q20" s="186"/>
      <c r="R20" s="638">
        <f t="shared" ref="R20:R30" si="4">IFERROR((Q20/G20)^(1/COUNT($G$4:$Q$4))-1,"")</f>
        <v>-1</v>
      </c>
    </row>
    <row r="21" spans="1:18" x14ac:dyDescent="0.3">
      <c r="B21" s="606" t="str">
        <f ca="1">+$B$7</f>
        <v>Samsung Electronics Co., Ltd.</v>
      </c>
      <c r="C21" s="606"/>
      <c r="D21" s="606"/>
      <c r="E21" s="606"/>
      <c r="F21" s="606"/>
      <c r="G21" s="607">
        <v>6670</v>
      </c>
      <c r="H21" s="607">
        <v>7747</v>
      </c>
      <c r="I21" s="607">
        <v>9046</v>
      </c>
      <c r="J21" s="607">
        <v>9917</v>
      </c>
      <c r="K21" s="607"/>
      <c r="L21" s="607"/>
      <c r="M21" s="607"/>
      <c r="N21" s="607">
        <v>12566</v>
      </c>
      <c r="O21" s="607">
        <v>13920</v>
      </c>
      <c r="P21" s="607">
        <v>14570</v>
      </c>
      <c r="Q21" s="607"/>
      <c r="R21" s="639">
        <f t="shared" si="4"/>
        <v>-1</v>
      </c>
    </row>
    <row r="22" spans="1:18" x14ac:dyDescent="0.3">
      <c r="B22" t="str">
        <f ca="1">+$B$8</f>
        <v>MICRON TECHNOLOGY, INC.</v>
      </c>
      <c r="G22" s="186"/>
      <c r="H22" s="186">
        <v>1619</v>
      </c>
      <c r="I22" s="186">
        <v>1971</v>
      </c>
      <c r="J22" s="186">
        <v>2455</v>
      </c>
      <c r="K22" s="186">
        <v>2673</v>
      </c>
      <c r="L22" s="186">
        <v>2856</v>
      </c>
      <c r="M22" s="186">
        <v>3099</v>
      </c>
      <c r="N22" s="186">
        <v>3449</v>
      </c>
      <c r="O22" s="186">
        <v>3865</v>
      </c>
      <c r="P22" s="186">
        <v>3937</v>
      </c>
      <c r="Q22" s="186"/>
      <c r="R22" s="638" t="str">
        <f t="shared" si="4"/>
        <v/>
      </c>
    </row>
    <row r="23" spans="1:18" x14ac:dyDescent="0.3">
      <c r="B23" s="606" t="str">
        <f ca="1">+$B$9</f>
        <v>Kioxia Holdings Corporation</v>
      </c>
      <c r="C23" s="606"/>
      <c r="D23" s="606"/>
      <c r="E23" s="606"/>
      <c r="F23" s="606"/>
      <c r="G23" s="608"/>
      <c r="H23" s="608"/>
      <c r="I23" s="608"/>
      <c r="J23" s="607"/>
      <c r="K23" s="607"/>
      <c r="L23" s="607"/>
      <c r="M23" s="607"/>
      <c r="N23" s="607"/>
      <c r="O23" s="607"/>
      <c r="P23" s="607"/>
      <c r="Q23" s="606"/>
      <c r="R23" s="639" t="str">
        <f t="shared" si="4"/>
        <v/>
      </c>
    </row>
    <row r="24" spans="1:18" x14ac:dyDescent="0.3">
      <c r="B24" t="str">
        <f ca="1">+$B$10</f>
        <v>WESTERN DIGITAL CORPORATION</v>
      </c>
      <c r="G24" s="186">
        <v>1041</v>
      </c>
      <c r="H24" s="186">
        <v>933</v>
      </c>
      <c r="I24" s="186">
        <v>1127</v>
      </c>
      <c r="J24" s="186">
        <v>1081</v>
      </c>
      <c r="K24" s="186">
        <v>1110</v>
      </c>
      <c r="L24" s="186">
        <v>970</v>
      </c>
      <c r="M24" s="186">
        <v>958</v>
      </c>
      <c r="N24" s="186">
        <v>999</v>
      </c>
      <c r="O24" s="186">
        <v>1019</v>
      </c>
      <c r="P24" s="186"/>
      <c r="Q24" s="186"/>
      <c r="R24" s="638">
        <f t="shared" si="4"/>
        <v>-1</v>
      </c>
    </row>
    <row r="25" spans="1:18" x14ac:dyDescent="0.3">
      <c r="B25" s="606" t="str">
        <f>+$B$11</f>
        <v/>
      </c>
      <c r="C25" s="606"/>
      <c r="D25" s="606"/>
      <c r="E25" s="606"/>
      <c r="F25" s="606"/>
      <c r="G25" s="607"/>
      <c r="H25" s="607"/>
      <c r="I25" s="607"/>
      <c r="J25" s="607"/>
      <c r="K25" s="607"/>
      <c r="L25" s="607"/>
      <c r="M25" s="607"/>
      <c r="N25" s="607"/>
      <c r="O25" s="607"/>
      <c r="P25" s="607"/>
      <c r="Q25" s="607"/>
      <c r="R25" s="639" t="str">
        <f t="shared" si="4"/>
        <v/>
      </c>
    </row>
    <row r="26" spans="1:18" x14ac:dyDescent="0.3">
      <c r="B26" t="str">
        <f>+$B$12</f>
        <v/>
      </c>
      <c r="G26" s="186"/>
      <c r="H26" s="186"/>
      <c r="I26" s="186"/>
      <c r="J26" s="186"/>
      <c r="K26" s="186"/>
      <c r="L26" s="186"/>
      <c r="M26" s="186"/>
      <c r="N26" s="186"/>
      <c r="O26" s="186"/>
      <c r="P26" s="186"/>
      <c r="Q26" s="186"/>
      <c r="R26" s="638" t="str">
        <f t="shared" si="4"/>
        <v/>
      </c>
    </row>
    <row r="27" spans="1:18" x14ac:dyDescent="0.3">
      <c r="B27" s="606" t="str">
        <f>+$B$13</f>
        <v/>
      </c>
      <c r="C27" s="606"/>
      <c r="D27" s="606"/>
      <c r="E27" s="606"/>
      <c r="F27" s="606"/>
      <c r="G27" s="607"/>
      <c r="H27" s="607"/>
      <c r="I27" s="607"/>
      <c r="J27" s="607"/>
      <c r="K27" s="607"/>
      <c r="L27" s="607"/>
      <c r="M27" s="607"/>
      <c r="N27" s="607"/>
      <c r="O27" s="607"/>
      <c r="P27" s="607"/>
      <c r="Q27" s="607"/>
      <c r="R27" s="639" t="str">
        <f t="shared" si="4"/>
        <v/>
      </c>
    </row>
    <row r="28" spans="1:18" x14ac:dyDescent="0.3">
      <c r="B28" t="str">
        <f>+$B$14</f>
        <v/>
      </c>
      <c r="G28" s="186"/>
      <c r="H28" s="186"/>
      <c r="I28" s="186"/>
      <c r="J28" s="186"/>
      <c r="K28" s="186"/>
      <c r="L28" s="186"/>
      <c r="M28" s="186"/>
      <c r="N28" s="186"/>
      <c r="O28" s="186"/>
      <c r="P28" s="186"/>
      <c r="Q28" s="186"/>
      <c r="R28" s="638" t="str">
        <f t="shared" si="4"/>
        <v/>
      </c>
    </row>
    <row r="29" spans="1:18" x14ac:dyDescent="0.3">
      <c r="B29" s="606" t="str">
        <f>+$B$15</f>
        <v/>
      </c>
      <c r="C29" s="606"/>
      <c r="D29" s="606"/>
      <c r="E29" s="606"/>
      <c r="F29" s="606"/>
      <c r="G29" s="607"/>
      <c r="H29" s="607"/>
      <c r="I29" s="607"/>
      <c r="J29" s="607"/>
      <c r="K29" s="607"/>
      <c r="L29" s="607"/>
      <c r="M29" s="607"/>
      <c r="N29" s="607"/>
      <c r="O29" s="607"/>
      <c r="P29" s="607"/>
      <c r="Q29" s="607"/>
      <c r="R29" s="639" t="str">
        <f t="shared" si="4"/>
        <v/>
      </c>
    </row>
    <row r="30" spans="1:18" x14ac:dyDescent="0.3">
      <c r="B30" t="str">
        <f>+$B$16</f>
        <v/>
      </c>
      <c r="G30" s="186"/>
      <c r="H30" s="186"/>
      <c r="I30" s="186"/>
      <c r="J30" s="186"/>
      <c r="K30" s="186"/>
      <c r="L30" s="186"/>
      <c r="M30" s="186"/>
      <c r="N30" s="186"/>
      <c r="O30" s="186"/>
      <c r="P30" s="186"/>
      <c r="Q30" s="186"/>
      <c r="R30" s="638" t="str">
        <f t="shared" si="4"/>
        <v/>
      </c>
    </row>
    <row r="31" spans="1:18" x14ac:dyDescent="0.3">
      <c r="G31" s="186"/>
      <c r="H31" s="186"/>
      <c r="I31" s="186"/>
      <c r="J31" s="186"/>
      <c r="K31" s="186"/>
      <c r="L31" s="186"/>
      <c r="M31" s="186"/>
      <c r="N31" s="186"/>
      <c r="O31" s="186"/>
      <c r="P31" s="186"/>
      <c r="Q31" s="186"/>
    </row>
    <row r="32" spans="1:18" ht="15.5" x14ac:dyDescent="0.35">
      <c r="A32" t="s">
        <v>440</v>
      </c>
      <c r="B32" s="206" t="s">
        <v>443</v>
      </c>
      <c r="C32" s="47"/>
      <c r="D32" s="47"/>
      <c r="E32" s="47"/>
      <c r="F32" s="47"/>
      <c r="G32" s="207">
        <v>2014</v>
      </c>
      <c r="H32" s="207">
        <f t="shared" ref="H32:Q32" si="5">+G32+1</f>
        <v>2015</v>
      </c>
      <c r="I32" s="207">
        <f t="shared" si="5"/>
        <v>2016</v>
      </c>
      <c r="J32" s="207">
        <f t="shared" si="5"/>
        <v>2017</v>
      </c>
      <c r="K32" s="207">
        <f t="shared" si="5"/>
        <v>2018</v>
      </c>
      <c r="L32" s="207">
        <f t="shared" si="5"/>
        <v>2019</v>
      </c>
      <c r="M32" s="207">
        <f t="shared" si="5"/>
        <v>2020</v>
      </c>
      <c r="N32" s="207">
        <f t="shared" si="5"/>
        <v>2021</v>
      </c>
      <c r="O32" s="207">
        <f t="shared" si="5"/>
        <v>2022</v>
      </c>
      <c r="P32" s="207">
        <f t="shared" si="5"/>
        <v>2023</v>
      </c>
      <c r="Q32" s="207">
        <f t="shared" si="5"/>
        <v>2024</v>
      </c>
      <c r="R32" s="49" t="str">
        <f>"CAGR "&amp;$G$4&amp;" - "&amp;$Q$4</f>
        <v>CAGR 2014 - 2024</v>
      </c>
    </row>
    <row r="33" spans="1:18" ht="3.75" customHeight="1" x14ac:dyDescent="0.35">
      <c r="B33" s="44"/>
      <c r="C33" s="44"/>
      <c r="D33" s="44"/>
      <c r="E33" s="44"/>
      <c r="F33" s="44"/>
      <c r="G33" s="208"/>
      <c r="H33" s="208"/>
      <c r="I33" s="208"/>
      <c r="J33" s="208"/>
      <c r="K33" s="208"/>
      <c r="L33" s="208"/>
      <c r="M33" s="208"/>
      <c r="N33" s="208"/>
      <c r="O33" s="208"/>
      <c r="P33" s="208"/>
      <c r="Q33" s="208"/>
      <c r="R33" s="51"/>
    </row>
    <row r="34" spans="1:18" x14ac:dyDescent="0.3">
      <c r="B34" t="str">
        <f ca="1">+$B$6</f>
        <v>SK hynix Inc.</v>
      </c>
      <c r="G34" s="186">
        <v>14408</v>
      </c>
      <c r="H34" s="186">
        <v>6641</v>
      </c>
      <c r="I34" s="186">
        <v>7391</v>
      </c>
      <c r="J34" s="186">
        <v>8123</v>
      </c>
      <c r="K34" s="186">
        <v>9713</v>
      </c>
      <c r="L34" s="186">
        <v>11053</v>
      </c>
      <c r="M34" s="186">
        <v>11765</v>
      </c>
      <c r="N34" s="186">
        <v>13160</v>
      </c>
      <c r="O34" s="186">
        <v>14768</v>
      </c>
      <c r="P34" s="186">
        <v>20049</v>
      </c>
      <c r="Q34" s="186"/>
      <c r="R34" s="638">
        <f t="shared" ref="R34:R44" si="6">IFERROR((Q34/G34)^(1/COUNT($G$4:$Q$4))-1,"")</f>
        <v>-1</v>
      </c>
    </row>
    <row r="35" spans="1:18" x14ac:dyDescent="0.3">
      <c r="B35" s="606" t="str">
        <f ca="1">+$B$7</f>
        <v>Samsung Electronics Co., Ltd.</v>
      </c>
      <c r="C35" s="606"/>
      <c r="D35" s="606"/>
      <c r="E35" s="606"/>
      <c r="F35" s="606"/>
      <c r="G35" s="607">
        <v>16485</v>
      </c>
      <c r="H35" s="607">
        <v>19006</v>
      </c>
      <c r="I35" s="607">
        <v>21073</v>
      </c>
      <c r="J35" s="607">
        <v>23420</v>
      </c>
      <c r="K35" s="607">
        <v>26028</v>
      </c>
      <c r="L35" s="607">
        <v>27452</v>
      </c>
      <c r="M35" s="607">
        <v>29025</v>
      </c>
      <c r="N35" s="607">
        <v>32322</v>
      </c>
      <c r="O35" s="607">
        <v>35177</v>
      </c>
      <c r="P35" s="607">
        <v>36399</v>
      </c>
      <c r="Q35" s="607"/>
      <c r="R35" s="639">
        <f t="shared" si="6"/>
        <v>-1</v>
      </c>
    </row>
    <row r="36" spans="1:18" x14ac:dyDescent="0.3">
      <c r="B36" t="str">
        <f ca="1">+$B$8</f>
        <v>MICRON TECHNOLOGY, INC.</v>
      </c>
      <c r="G36" s="186"/>
      <c r="H36" s="186"/>
      <c r="I36" s="186">
        <v>6695</v>
      </c>
      <c r="J36" s="186">
        <v>7432</v>
      </c>
      <c r="K36" s="186">
        <v>7951</v>
      </c>
      <c r="L36" s="186">
        <v>8563</v>
      </c>
      <c r="M36" s="186">
        <v>9399</v>
      </c>
      <c r="N36" s="186">
        <v>10418</v>
      </c>
      <c r="O36" s="186">
        <v>11140</v>
      </c>
      <c r="P36" s="186">
        <v>11389</v>
      </c>
      <c r="Q36" s="186"/>
      <c r="R36" s="638" t="str">
        <f t="shared" si="6"/>
        <v/>
      </c>
    </row>
    <row r="37" spans="1:18" x14ac:dyDescent="0.3">
      <c r="B37" s="606" t="str">
        <f ca="1">+$B$9</f>
        <v>Kioxia Holdings Corporation</v>
      </c>
      <c r="C37" s="606"/>
      <c r="D37" s="606"/>
      <c r="E37" s="606"/>
      <c r="F37" s="606"/>
      <c r="G37" s="608"/>
      <c r="H37" s="608"/>
      <c r="I37" s="608"/>
      <c r="J37" s="608"/>
      <c r="K37" s="607"/>
      <c r="L37" s="607"/>
      <c r="M37" s="607"/>
      <c r="N37" s="607"/>
      <c r="O37" s="607"/>
      <c r="P37" s="607"/>
      <c r="Q37" s="606"/>
      <c r="R37" s="639" t="str">
        <f t="shared" si="6"/>
        <v/>
      </c>
    </row>
    <row r="38" spans="1:18" x14ac:dyDescent="0.3">
      <c r="B38" t="str">
        <f ca="1">+$B$10</f>
        <v>WESTERN DIGITAL CORPORATION</v>
      </c>
      <c r="G38" s="186"/>
      <c r="H38" s="186"/>
      <c r="I38" s="186">
        <v>2219</v>
      </c>
      <c r="J38" s="186">
        <v>2331</v>
      </c>
      <c r="K38" s="186">
        <v>2215</v>
      </c>
      <c r="L38" s="186">
        <v>2067</v>
      </c>
      <c r="M38" s="186">
        <v>2034</v>
      </c>
      <c r="N38" s="186">
        <v>2101</v>
      </c>
      <c r="O38" s="186">
        <v>2161</v>
      </c>
      <c r="P38" s="186">
        <v>1916</v>
      </c>
      <c r="Q38" s="186"/>
      <c r="R38" s="638" t="str">
        <f t="shared" si="6"/>
        <v/>
      </c>
    </row>
    <row r="39" spans="1:18" x14ac:dyDescent="0.3">
      <c r="B39" s="606" t="str">
        <f>+$B$11</f>
        <v/>
      </c>
      <c r="C39" s="606"/>
      <c r="D39" s="606"/>
      <c r="E39" s="606"/>
      <c r="F39" s="606"/>
      <c r="G39" s="607"/>
      <c r="H39" s="607"/>
      <c r="I39" s="607"/>
      <c r="J39" s="607"/>
      <c r="K39" s="607"/>
      <c r="L39" s="607"/>
      <c r="M39" s="607"/>
      <c r="N39" s="607"/>
      <c r="O39" s="607"/>
      <c r="P39" s="607"/>
      <c r="Q39" s="607"/>
      <c r="R39" s="639" t="str">
        <f t="shared" si="6"/>
        <v/>
      </c>
    </row>
    <row r="40" spans="1:18" x14ac:dyDescent="0.3">
      <c r="B40" t="str">
        <f>+$B$12</f>
        <v/>
      </c>
      <c r="G40" s="186"/>
      <c r="H40" s="186"/>
      <c r="I40" s="186"/>
      <c r="J40" s="186"/>
      <c r="K40" s="186"/>
      <c r="L40" s="186"/>
      <c r="M40" s="186"/>
      <c r="N40" s="186"/>
      <c r="O40" s="186"/>
      <c r="P40" s="186"/>
      <c r="Q40" s="186"/>
      <c r="R40" s="638" t="str">
        <f t="shared" si="6"/>
        <v/>
      </c>
    </row>
    <row r="41" spans="1:18" x14ac:dyDescent="0.3">
      <c r="B41" s="606" t="str">
        <f>+$B$13</f>
        <v/>
      </c>
      <c r="C41" s="606"/>
      <c r="D41" s="606"/>
      <c r="E41" s="606"/>
      <c r="F41" s="606"/>
      <c r="G41" s="607"/>
      <c r="H41" s="607"/>
      <c r="I41" s="607"/>
      <c r="J41" s="607"/>
      <c r="K41" s="607"/>
      <c r="L41" s="607"/>
      <c r="M41" s="607"/>
      <c r="N41" s="607"/>
      <c r="O41" s="607"/>
      <c r="P41" s="607"/>
      <c r="Q41" s="607"/>
      <c r="R41" s="639" t="str">
        <f t="shared" si="6"/>
        <v/>
      </c>
    </row>
    <row r="42" spans="1:18" x14ac:dyDescent="0.3">
      <c r="B42" t="str">
        <f>+$B$14</f>
        <v/>
      </c>
      <c r="G42" s="186"/>
      <c r="H42" s="186"/>
      <c r="I42" s="186"/>
      <c r="J42" s="186"/>
      <c r="K42" s="186"/>
      <c r="L42" s="186"/>
      <c r="M42" s="186"/>
      <c r="N42" s="186"/>
      <c r="O42" s="186"/>
      <c r="P42" s="186"/>
      <c r="Q42" s="186"/>
      <c r="R42" s="638" t="str">
        <f t="shared" si="6"/>
        <v/>
      </c>
    </row>
    <row r="43" spans="1:18" x14ac:dyDescent="0.3">
      <c r="B43" s="606" t="str">
        <f>+$B$15</f>
        <v/>
      </c>
      <c r="C43" s="606"/>
      <c r="D43" s="606"/>
      <c r="E43" s="606"/>
      <c r="F43" s="606"/>
      <c r="G43" s="607"/>
      <c r="H43" s="607"/>
      <c r="I43" s="607"/>
      <c r="J43" s="607"/>
      <c r="K43" s="607"/>
      <c r="L43" s="607"/>
      <c r="M43" s="607"/>
      <c r="N43" s="607"/>
      <c r="O43" s="607"/>
      <c r="P43" s="607"/>
      <c r="Q43" s="607"/>
      <c r="R43" s="639" t="str">
        <f t="shared" si="6"/>
        <v/>
      </c>
    </row>
    <row r="44" spans="1:18" x14ac:dyDescent="0.3">
      <c r="B44" t="str">
        <f>+$B$16</f>
        <v/>
      </c>
      <c r="G44" s="186"/>
      <c r="H44" s="186"/>
      <c r="I44" s="186"/>
      <c r="J44" s="186"/>
      <c r="K44" s="186"/>
      <c r="L44" s="186"/>
      <c r="M44" s="186"/>
      <c r="N44" s="186"/>
      <c r="O44" s="186"/>
      <c r="P44" s="186"/>
      <c r="Q44" s="186"/>
      <c r="R44" s="638" t="str">
        <f t="shared" si="6"/>
        <v/>
      </c>
    </row>
    <row r="45" spans="1:18" x14ac:dyDescent="0.3">
      <c r="G45" s="186"/>
      <c r="H45" s="186"/>
      <c r="I45" s="186"/>
      <c r="J45" s="186"/>
      <c r="K45" s="186"/>
      <c r="L45" s="186"/>
      <c r="M45" s="186"/>
      <c r="N45" s="186"/>
      <c r="O45" s="186"/>
      <c r="P45" s="186"/>
      <c r="Q45" s="186"/>
    </row>
    <row r="46" spans="1:18" ht="15.5" x14ac:dyDescent="0.35">
      <c r="A46" t="s">
        <v>440</v>
      </c>
      <c r="B46" s="206" t="s">
        <v>444</v>
      </c>
      <c r="C46" s="47"/>
      <c r="D46" s="47"/>
      <c r="E46" s="47"/>
      <c r="F46" s="47"/>
      <c r="G46" s="207">
        <v>2014</v>
      </c>
      <c r="H46" s="207">
        <f t="shared" ref="H46:Q46" si="7">+G46+1</f>
        <v>2015</v>
      </c>
      <c r="I46" s="207">
        <f t="shared" si="7"/>
        <v>2016</v>
      </c>
      <c r="J46" s="207">
        <f t="shared" si="7"/>
        <v>2017</v>
      </c>
      <c r="K46" s="207">
        <f t="shared" si="7"/>
        <v>2018</v>
      </c>
      <c r="L46" s="207">
        <f t="shared" si="7"/>
        <v>2019</v>
      </c>
      <c r="M46" s="207">
        <f t="shared" si="7"/>
        <v>2020</v>
      </c>
      <c r="N46" s="207">
        <f t="shared" si="7"/>
        <v>2021</v>
      </c>
      <c r="O46" s="207">
        <f t="shared" si="7"/>
        <v>2022</v>
      </c>
      <c r="P46" s="207">
        <f t="shared" si="7"/>
        <v>2023</v>
      </c>
      <c r="Q46" s="207">
        <f t="shared" si="7"/>
        <v>2024</v>
      </c>
      <c r="R46" s="49" t="str">
        <f>"CAGR "&amp;$G$4&amp;" - "&amp;$Q$4</f>
        <v>CAGR 2014 - 2024</v>
      </c>
    </row>
    <row r="47" spans="1:18" ht="3.75" customHeight="1" x14ac:dyDescent="0.35">
      <c r="B47" s="44"/>
      <c r="C47" s="44"/>
      <c r="D47" s="44"/>
      <c r="E47" s="44"/>
      <c r="F47" s="44"/>
      <c r="G47" s="208"/>
      <c r="H47" s="208"/>
      <c r="I47" s="208"/>
      <c r="J47" s="208"/>
      <c r="K47" s="208"/>
      <c r="L47" s="208"/>
      <c r="M47" s="208"/>
      <c r="N47" s="208"/>
      <c r="O47" s="208"/>
      <c r="P47" s="208"/>
      <c r="Q47" s="208"/>
      <c r="R47" s="51"/>
    </row>
    <row r="48" spans="1:18" x14ac:dyDescent="0.3">
      <c r="B48" t="str">
        <f ca="1">+$B$6</f>
        <v>SK hynix Inc.</v>
      </c>
      <c r="G48" s="186"/>
      <c r="H48" s="186"/>
      <c r="I48" s="186"/>
      <c r="J48" s="186"/>
      <c r="K48" s="186">
        <v>13854</v>
      </c>
      <c r="L48" s="186">
        <v>14720</v>
      </c>
      <c r="M48" s="186">
        <v>13418</v>
      </c>
      <c r="N48" s="186">
        <v>17982</v>
      </c>
      <c r="O48" s="186">
        <v>20851</v>
      </c>
      <c r="P48" s="186">
        <v>19198</v>
      </c>
      <c r="Q48" s="186"/>
      <c r="R48" s="638" t="str">
        <f t="shared" ref="R48:R58" si="8">IFERROR((Q48/G48)^(1/COUNT($G$4:$Q$4))-1,"")</f>
        <v/>
      </c>
    </row>
    <row r="49" spans="1:18" x14ac:dyDescent="0.3">
      <c r="B49" s="606" t="str">
        <f ca="1">+$B$7</f>
        <v>Samsung Electronics Co., Ltd.</v>
      </c>
      <c r="C49" s="606"/>
      <c r="D49" s="606"/>
      <c r="E49" s="606"/>
      <c r="F49" s="606"/>
      <c r="G49" s="607"/>
      <c r="H49" s="607">
        <v>19831</v>
      </c>
      <c r="I49" s="607">
        <v>22537</v>
      </c>
      <c r="J49" s="607">
        <v>24700</v>
      </c>
      <c r="K49" s="607">
        <v>26531</v>
      </c>
      <c r="L49" s="607">
        <v>26020</v>
      </c>
      <c r="M49" s="607">
        <v>33093</v>
      </c>
      <c r="N49" s="607">
        <v>32706</v>
      </c>
      <c r="O49" s="607">
        <v>36691</v>
      </c>
      <c r="P49" s="607">
        <v>34356</v>
      </c>
      <c r="Q49" s="607"/>
      <c r="R49" s="639" t="str">
        <f t="shared" si="8"/>
        <v/>
      </c>
    </row>
    <row r="50" spans="1:18" x14ac:dyDescent="0.3">
      <c r="B50" t="str">
        <f ca="1">+$B$8</f>
        <v>MICRON TECHNOLOGY, INC.</v>
      </c>
      <c r="G50" s="186"/>
      <c r="H50" s="186"/>
      <c r="I50" s="186"/>
      <c r="J50" s="186"/>
      <c r="K50" s="186">
        <v>10343</v>
      </c>
      <c r="L50" s="186">
        <v>11185</v>
      </c>
      <c r="M50" s="186">
        <v>12196</v>
      </c>
      <c r="N50" s="186">
        <v>12811</v>
      </c>
      <c r="O50" s="186">
        <v>14590</v>
      </c>
      <c r="P50" s="186">
        <v>14319</v>
      </c>
      <c r="Q50" s="186"/>
      <c r="R50" s="638" t="str">
        <f t="shared" si="8"/>
        <v/>
      </c>
    </row>
    <row r="51" spans="1:18" x14ac:dyDescent="0.3">
      <c r="B51" s="606" t="str">
        <f ca="1">+$B$9</f>
        <v>Kioxia Holdings Corporation</v>
      </c>
      <c r="C51" s="606"/>
      <c r="D51" s="606"/>
      <c r="E51" s="606"/>
      <c r="F51" s="606"/>
      <c r="G51" s="607"/>
      <c r="H51" s="607"/>
      <c r="I51" s="607"/>
      <c r="J51" s="607"/>
      <c r="K51" s="607"/>
      <c r="L51" s="607"/>
      <c r="M51" s="607"/>
      <c r="N51" s="607"/>
      <c r="O51" s="607"/>
      <c r="P51" s="607"/>
      <c r="Q51" s="607"/>
      <c r="R51" s="639" t="str">
        <f t="shared" si="8"/>
        <v/>
      </c>
    </row>
    <row r="52" spans="1:18" x14ac:dyDescent="0.3">
      <c r="B52" t="str">
        <f ca="1">+$B$10</f>
        <v>WESTERN DIGITAL CORPORATION</v>
      </c>
      <c r="G52" s="186"/>
      <c r="H52" s="186"/>
      <c r="I52" s="186"/>
      <c r="J52" s="186"/>
      <c r="K52" s="186">
        <v>9856</v>
      </c>
      <c r="L52" s="186">
        <v>9106</v>
      </c>
      <c r="M52" s="186">
        <v>6482</v>
      </c>
      <c r="N52" s="186">
        <v>7231</v>
      </c>
      <c r="O52" s="186">
        <v>6939</v>
      </c>
      <c r="P52" s="186">
        <v>5480</v>
      </c>
      <c r="Q52" s="186"/>
      <c r="R52" s="638" t="str">
        <f t="shared" si="8"/>
        <v/>
      </c>
    </row>
    <row r="53" spans="1:18" x14ac:dyDescent="0.3">
      <c r="B53" s="606" t="str">
        <f>+$B$11</f>
        <v/>
      </c>
      <c r="C53" s="606"/>
      <c r="D53" s="606"/>
      <c r="E53" s="606"/>
      <c r="F53" s="606"/>
      <c r="G53" s="607"/>
      <c r="H53" s="607"/>
      <c r="I53" s="607"/>
      <c r="J53" s="607"/>
      <c r="K53" s="607"/>
      <c r="L53" s="608"/>
      <c r="M53" s="608"/>
      <c r="N53" s="608"/>
      <c r="O53" s="608"/>
      <c r="P53" s="607"/>
      <c r="Q53" s="607"/>
      <c r="R53" s="639" t="str">
        <f t="shared" si="8"/>
        <v/>
      </c>
    </row>
    <row r="54" spans="1:18" x14ac:dyDescent="0.3">
      <c r="B54" t="str">
        <f>+$B$12</f>
        <v/>
      </c>
      <c r="G54" s="186"/>
      <c r="H54" s="186"/>
      <c r="I54" s="186"/>
      <c r="J54" s="186"/>
      <c r="K54" s="186"/>
      <c r="L54" s="186"/>
      <c r="M54" s="186"/>
      <c r="N54" s="186"/>
      <c r="O54" s="186"/>
      <c r="P54" s="186"/>
      <c r="Q54" s="186"/>
      <c r="R54" s="638" t="str">
        <f t="shared" si="8"/>
        <v/>
      </c>
    </row>
    <row r="55" spans="1:18" x14ac:dyDescent="0.3">
      <c r="B55" s="606" t="str">
        <f>+$B$13</f>
        <v/>
      </c>
      <c r="C55" s="606"/>
      <c r="D55" s="606"/>
      <c r="E55" s="606"/>
      <c r="F55" s="606"/>
      <c r="G55" s="607"/>
      <c r="H55" s="607"/>
      <c r="I55" s="607"/>
      <c r="J55" s="607"/>
      <c r="K55" s="607"/>
      <c r="L55" s="607"/>
      <c r="M55" s="607"/>
      <c r="N55" s="607"/>
      <c r="O55" s="607"/>
      <c r="P55" s="607"/>
      <c r="Q55" s="607"/>
      <c r="R55" s="639" t="str">
        <f t="shared" si="8"/>
        <v/>
      </c>
    </row>
    <row r="56" spans="1:18" x14ac:dyDescent="0.3">
      <c r="B56" t="str">
        <f>+$B$14</f>
        <v/>
      </c>
      <c r="G56" s="186"/>
      <c r="H56" s="186"/>
      <c r="I56" s="186"/>
      <c r="J56" s="186"/>
      <c r="K56" s="186"/>
      <c r="L56" s="186"/>
      <c r="M56" s="186"/>
      <c r="N56" s="186"/>
      <c r="O56" s="186"/>
      <c r="P56" s="186"/>
      <c r="Q56" s="186"/>
      <c r="R56" s="638" t="str">
        <f t="shared" si="8"/>
        <v/>
      </c>
    </row>
    <row r="57" spans="1:18" x14ac:dyDescent="0.3">
      <c r="B57" s="606" t="str">
        <f>+$B$15</f>
        <v/>
      </c>
      <c r="C57" s="606"/>
      <c r="D57" s="606"/>
      <c r="E57" s="606"/>
      <c r="F57" s="606"/>
      <c r="G57" s="607"/>
      <c r="H57" s="607"/>
      <c r="I57" s="607"/>
      <c r="J57" s="607"/>
      <c r="K57" s="607"/>
      <c r="L57" s="607"/>
      <c r="M57" s="607"/>
      <c r="N57" s="607"/>
      <c r="O57" s="607"/>
      <c r="P57" s="607"/>
      <c r="Q57" s="607"/>
      <c r="R57" s="639" t="str">
        <f t="shared" si="8"/>
        <v/>
      </c>
    </row>
    <row r="58" spans="1:18" x14ac:dyDescent="0.3">
      <c r="B58" t="str">
        <f>+$B$16</f>
        <v/>
      </c>
      <c r="G58" s="186"/>
      <c r="H58" s="186"/>
      <c r="I58" s="186"/>
      <c r="J58" s="186"/>
      <c r="K58" s="186"/>
      <c r="L58" s="186"/>
      <c r="M58" s="186"/>
      <c r="N58" s="186"/>
      <c r="O58" s="186"/>
      <c r="P58" s="186"/>
      <c r="Q58" s="186"/>
      <c r="R58" s="638" t="str">
        <f t="shared" si="8"/>
        <v/>
      </c>
    </row>
    <row r="60" spans="1:18" ht="15.5" x14ac:dyDescent="0.35">
      <c r="A60" t="s">
        <v>440</v>
      </c>
      <c r="B60" s="206" t="s">
        <v>445</v>
      </c>
      <c r="C60" s="47"/>
      <c r="D60" s="47"/>
      <c r="E60" s="47"/>
      <c r="F60" s="47"/>
      <c r="G60" s="207">
        <v>2014</v>
      </c>
      <c r="H60" s="207">
        <f t="shared" ref="H60:Q60" si="9">+G60+1</f>
        <v>2015</v>
      </c>
      <c r="I60" s="207">
        <f t="shared" si="9"/>
        <v>2016</v>
      </c>
      <c r="J60" s="207">
        <f t="shared" si="9"/>
        <v>2017</v>
      </c>
      <c r="K60" s="207">
        <f t="shared" si="9"/>
        <v>2018</v>
      </c>
      <c r="L60" s="207">
        <f t="shared" si="9"/>
        <v>2019</v>
      </c>
      <c r="M60" s="207">
        <f t="shared" si="9"/>
        <v>2020</v>
      </c>
      <c r="N60" s="207">
        <f t="shared" si="9"/>
        <v>2021</v>
      </c>
      <c r="O60" s="207">
        <f t="shared" si="9"/>
        <v>2022</v>
      </c>
      <c r="P60" s="207">
        <f t="shared" si="9"/>
        <v>2023</v>
      </c>
      <c r="Q60" s="207">
        <f t="shared" si="9"/>
        <v>2024</v>
      </c>
      <c r="R60" s="49" t="str">
        <f>"CAGR "&amp;$G$4&amp;" - "&amp;$Q$4</f>
        <v>CAGR 2014 - 2024</v>
      </c>
    </row>
    <row r="61" spans="1:18" ht="3.75" customHeight="1" x14ac:dyDescent="0.35">
      <c r="B61" s="44"/>
      <c r="C61" s="44"/>
      <c r="D61" s="44"/>
      <c r="E61" s="44"/>
      <c r="F61" s="44"/>
      <c r="G61" s="208"/>
      <c r="H61" s="208"/>
      <c r="I61" s="208"/>
      <c r="J61" s="208"/>
      <c r="K61" s="208"/>
      <c r="L61" s="208"/>
      <c r="M61" s="208"/>
      <c r="N61" s="208"/>
      <c r="O61" s="208"/>
      <c r="P61" s="208"/>
      <c r="Q61" s="208"/>
      <c r="R61" s="51"/>
    </row>
    <row r="62" spans="1:18" x14ac:dyDescent="0.3">
      <c r="B62" t="str">
        <f ca="1">+$B$6</f>
        <v>SK hynix Inc.</v>
      </c>
      <c r="G62" s="186">
        <v>158</v>
      </c>
      <c r="H62" s="186">
        <v>189</v>
      </c>
      <c r="I62" s="186">
        <v>192</v>
      </c>
      <c r="J62" s="186">
        <v>295</v>
      </c>
      <c r="K62" s="186">
        <v>442</v>
      </c>
      <c r="L62" s="186">
        <v>413</v>
      </c>
      <c r="M62" s="186">
        <v>468</v>
      </c>
      <c r="N62" s="186">
        <v>505</v>
      </c>
      <c r="O62" s="186">
        <v>590</v>
      </c>
      <c r="P62" s="186">
        <v>501</v>
      </c>
      <c r="Q62" s="186"/>
      <c r="R62" s="638">
        <f t="shared" ref="R62:R72" si="10">IFERROR((Q62/G62)^(1/COUNT($G$4:$Q$4))-1,"")</f>
        <v>-1</v>
      </c>
    </row>
    <row r="63" spans="1:18" x14ac:dyDescent="0.3">
      <c r="B63" s="606" t="str">
        <f ca="1">+$B$7</f>
        <v>Samsung Electronics Co., Ltd.</v>
      </c>
      <c r="C63" s="606"/>
      <c r="D63" s="606"/>
      <c r="E63" s="606"/>
      <c r="F63" s="606"/>
      <c r="G63" s="607">
        <v>778</v>
      </c>
      <c r="H63" s="607">
        <v>937</v>
      </c>
      <c r="I63" s="607">
        <v>1078</v>
      </c>
      <c r="J63" s="607">
        <v>1147</v>
      </c>
      <c r="K63" s="607">
        <v>1211</v>
      </c>
      <c r="L63" s="607">
        <v>1099</v>
      </c>
      <c r="M63" s="607">
        <v>1182</v>
      </c>
      <c r="N63" s="607">
        <v>1325</v>
      </c>
      <c r="O63" s="607">
        <v>1413</v>
      </c>
      <c r="P63" s="607">
        <v>1315</v>
      </c>
      <c r="Q63" s="607"/>
      <c r="R63" s="639">
        <f t="shared" si="10"/>
        <v>-1</v>
      </c>
    </row>
    <row r="64" spans="1:18" x14ac:dyDescent="0.3">
      <c r="B64" t="str">
        <f ca="1">+$B$8</f>
        <v>MICRON TECHNOLOGY, INC.</v>
      </c>
      <c r="G64" s="605"/>
      <c r="H64" s="186">
        <v>95</v>
      </c>
      <c r="I64" s="186">
        <v>131</v>
      </c>
      <c r="J64" s="186">
        <v>192</v>
      </c>
      <c r="K64" s="186">
        <v>163</v>
      </c>
      <c r="L64" s="186">
        <v>183</v>
      </c>
      <c r="M64" s="186">
        <v>198</v>
      </c>
      <c r="N64" s="186">
        <v>223</v>
      </c>
      <c r="O64" s="186">
        <v>234</v>
      </c>
      <c r="P64" s="186">
        <v>196</v>
      </c>
      <c r="Q64" s="186"/>
      <c r="R64" s="638" t="str">
        <f t="shared" si="10"/>
        <v/>
      </c>
    </row>
    <row r="65" spans="1:18" x14ac:dyDescent="0.3">
      <c r="B65" s="606" t="str">
        <f ca="1">+$B$9</f>
        <v>Kioxia Holdings Corporation</v>
      </c>
      <c r="C65" s="606"/>
      <c r="D65" s="606"/>
      <c r="E65" s="606"/>
      <c r="F65" s="606"/>
      <c r="G65" s="607"/>
      <c r="H65" s="607"/>
      <c r="I65" s="607"/>
      <c r="J65" s="607"/>
      <c r="K65" s="607"/>
      <c r="L65" s="607"/>
      <c r="M65" s="606"/>
      <c r="N65" s="606"/>
      <c r="O65" s="606"/>
      <c r="P65" s="606"/>
      <c r="Q65" s="606"/>
      <c r="R65" s="639" t="str">
        <f t="shared" si="10"/>
        <v/>
      </c>
    </row>
    <row r="66" spans="1:18" x14ac:dyDescent="0.3">
      <c r="B66" t="str">
        <f ca="1">+$B$10</f>
        <v>WESTERN DIGITAL CORPORATION</v>
      </c>
      <c r="G66" s="186"/>
      <c r="H66" s="186"/>
      <c r="I66" s="186"/>
      <c r="J66" s="186"/>
      <c r="K66" s="186"/>
      <c r="L66" s="186"/>
      <c r="M66" s="186"/>
      <c r="N66" s="186"/>
      <c r="O66" s="186">
        <v>24</v>
      </c>
      <c r="P66" s="186">
        <v>20</v>
      </c>
      <c r="Q66" s="186"/>
      <c r="R66" s="638" t="str">
        <f t="shared" si="10"/>
        <v/>
      </c>
    </row>
    <row r="67" spans="1:18" x14ac:dyDescent="0.3">
      <c r="B67" s="606" t="str">
        <f>+$B$11</f>
        <v/>
      </c>
      <c r="C67" s="606"/>
      <c r="D67" s="606"/>
      <c r="E67" s="606"/>
      <c r="F67" s="606"/>
      <c r="G67" s="607"/>
      <c r="H67" s="607"/>
      <c r="I67" s="607"/>
      <c r="J67" s="607"/>
      <c r="K67" s="607"/>
      <c r="L67" s="607"/>
      <c r="M67" s="607"/>
      <c r="N67" s="607"/>
      <c r="O67" s="607"/>
      <c r="P67" s="607"/>
      <c r="Q67" s="607"/>
      <c r="R67" s="639" t="str">
        <f t="shared" si="10"/>
        <v/>
      </c>
    </row>
    <row r="68" spans="1:18" x14ac:dyDescent="0.3">
      <c r="B68" t="str">
        <f>+$B$12</f>
        <v/>
      </c>
      <c r="G68" s="186"/>
      <c r="H68" s="186"/>
      <c r="I68" s="186"/>
      <c r="J68" s="186"/>
      <c r="K68" s="186"/>
      <c r="L68" s="186"/>
      <c r="M68" s="186"/>
      <c r="N68" s="186"/>
      <c r="O68" s="186"/>
      <c r="P68" s="186"/>
      <c r="Q68" s="186"/>
      <c r="R68" s="638" t="str">
        <f t="shared" si="10"/>
        <v/>
      </c>
    </row>
    <row r="69" spans="1:18" x14ac:dyDescent="0.3">
      <c r="B69" s="606" t="str">
        <f>+$B$13</f>
        <v/>
      </c>
      <c r="C69" s="606"/>
      <c r="D69" s="606"/>
      <c r="E69" s="606"/>
      <c r="F69" s="606"/>
      <c r="G69" s="607"/>
      <c r="H69" s="607"/>
      <c r="I69" s="607"/>
      <c r="J69" s="607"/>
      <c r="K69" s="607"/>
      <c r="L69" s="607"/>
      <c r="M69" s="607"/>
      <c r="N69" s="607"/>
      <c r="O69" s="607"/>
      <c r="P69" s="607"/>
      <c r="Q69" s="607"/>
      <c r="R69" s="639" t="str">
        <f t="shared" si="10"/>
        <v/>
      </c>
    </row>
    <row r="70" spans="1:18" x14ac:dyDescent="0.3">
      <c r="B70" t="str">
        <f>+$B$14</f>
        <v/>
      </c>
      <c r="G70" s="186"/>
      <c r="H70" s="186"/>
      <c r="I70" s="186"/>
      <c r="J70" s="186"/>
      <c r="K70" s="186"/>
      <c r="L70" s="186"/>
      <c r="M70" s="186"/>
      <c r="N70" s="186"/>
      <c r="O70" s="186"/>
      <c r="P70" s="186"/>
      <c r="Q70" s="186"/>
      <c r="R70" s="638" t="str">
        <f t="shared" si="10"/>
        <v/>
      </c>
    </row>
    <row r="71" spans="1:18" x14ac:dyDescent="0.3">
      <c r="B71" s="606" t="str">
        <f>+$B$15</f>
        <v/>
      </c>
      <c r="C71" s="606"/>
      <c r="D71" s="606"/>
      <c r="E71" s="606"/>
      <c r="F71" s="606"/>
      <c r="G71" s="607"/>
      <c r="H71" s="607"/>
      <c r="I71" s="607"/>
      <c r="J71" s="607"/>
      <c r="K71" s="607"/>
      <c r="L71" s="607"/>
      <c r="M71" s="607"/>
      <c r="N71" s="607"/>
      <c r="O71" s="607"/>
      <c r="P71" s="607"/>
      <c r="Q71" s="607"/>
      <c r="R71" s="639" t="str">
        <f t="shared" si="10"/>
        <v/>
      </c>
    </row>
    <row r="72" spans="1:18" x14ac:dyDescent="0.3">
      <c r="B72" t="str">
        <f>+$B$16</f>
        <v/>
      </c>
      <c r="G72" s="186"/>
      <c r="H72" s="186"/>
      <c r="I72" s="186"/>
      <c r="J72" s="186"/>
      <c r="K72" s="186"/>
      <c r="L72" s="186"/>
      <c r="M72" s="186"/>
      <c r="N72" s="186"/>
      <c r="O72" s="186"/>
      <c r="P72" s="186"/>
      <c r="Q72" s="186"/>
      <c r="R72" s="638" t="str">
        <f t="shared" si="10"/>
        <v/>
      </c>
    </row>
    <row r="73" spans="1:18" x14ac:dyDescent="0.3">
      <c r="G73" s="186"/>
      <c r="H73" s="186"/>
      <c r="I73" s="186"/>
      <c r="J73" s="186"/>
      <c r="K73" s="186"/>
      <c r="L73" s="186"/>
      <c r="M73" s="186"/>
      <c r="N73" s="186"/>
      <c r="O73" s="186"/>
      <c r="P73" s="186"/>
      <c r="Q73" s="186"/>
    </row>
    <row r="74" spans="1:18" ht="15.5" x14ac:dyDescent="0.35">
      <c r="A74" t="s">
        <v>440</v>
      </c>
      <c r="B74" s="206" t="s">
        <v>446</v>
      </c>
      <c r="C74" s="47"/>
      <c r="D74" s="47"/>
      <c r="E74" s="47"/>
      <c r="F74" s="47"/>
      <c r="G74" s="207">
        <v>2014</v>
      </c>
      <c r="H74" s="207">
        <f t="shared" ref="H74" si="11">+G74+1</f>
        <v>2015</v>
      </c>
      <c r="I74" s="207">
        <f t="shared" ref="I74" si="12">+H74+1</f>
        <v>2016</v>
      </c>
      <c r="J74" s="207">
        <f t="shared" ref="J74" si="13">+I74+1</f>
        <v>2017</v>
      </c>
      <c r="K74" s="207">
        <f t="shared" ref="K74" si="14">+J74+1</f>
        <v>2018</v>
      </c>
      <c r="L74" s="207">
        <f t="shared" ref="L74" si="15">+K74+1</f>
        <v>2019</v>
      </c>
      <c r="M74" s="207">
        <f t="shared" ref="M74" si="16">+L74+1</f>
        <v>2020</v>
      </c>
      <c r="N74" s="207">
        <f t="shared" ref="N74" si="17">+M74+1</f>
        <v>2021</v>
      </c>
      <c r="O74" s="207">
        <f t="shared" ref="O74" si="18">+N74+1</f>
        <v>2022</v>
      </c>
      <c r="P74" s="207">
        <f t="shared" ref="P74" si="19">+O74+1</f>
        <v>2023</v>
      </c>
      <c r="Q74" s="207">
        <f t="shared" ref="Q74" si="20">+P74+1</f>
        <v>2024</v>
      </c>
      <c r="R74" s="49" t="str">
        <f>"CAGR "&amp;$G$4&amp;" - "&amp;$Q$4</f>
        <v>CAGR 2014 - 2024</v>
      </c>
    </row>
    <row r="75" spans="1:18" ht="4.1500000000000004" customHeight="1" x14ac:dyDescent="0.35">
      <c r="B75" s="44"/>
      <c r="C75" s="44"/>
      <c r="D75" s="44"/>
      <c r="E75" s="44"/>
      <c r="F75" s="44"/>
      <c r="G75" s="208"/>
      <c r="H75" s="208"/>
      <c r="I75" s="208"/>
      <c r="J75" s="208"/>
      <c r="K75" s="208"/>
      <c r="L75" s="208"/>
      <c r="M75" s="208"/>
      <c r="N75" s="208"/>
      <c r="O75" s="208"/>
      <c r="P75" s="208"/>
      <c r="Q75" s="208"/>
      <c r="R75" s="51"/>
    </row>
    <row r="76" spans="1:18" x14ac:dyDescent="0.3">
      <c r="B76" t="str">
        <f ca="1">+$B$6</f>
        <v>SK hynix Inc.</v>
      </c>
      <c r="G76" s="10">
        <f>+G6+G20</f>
        <v>4386</v>
      </c>
      <c r="H76" s="10">
        <f t="shared" ref="H76:Q76" si="21">+H6+H20</f>
        <v>4723</v>
      </c>
      <c r="I76" s="10">
        <f t="shared" si="21"/>
        <v>4942</v>
      </c>
      <c r="J76" s="10">
        <f t="shared" si="21"/>
        <v>5088</v>
      </c>
      <c r="K76" s="10">
        <f t="shared" si="21"/>
        <v>5915</v>
      </c>
      <c r="L76" s="10">
        <f t="shared" si="21"/>
        <v>6839</v>
      </c>
      <c r="M76" s="10">
        <f t="shared" si="21"/>
        <v>7548</v>
      </c>
      <c r="N76" s="10">
        <f t="shared" si="21"/>
        <v>7843</v>
      </c>
      <c r="O76" s="10">
        <f t="shared" si="21"/>
        <v>9083</v>
      </c>
      <c r="P76" s="10">
        <f t="shared" si="21"/>
        <v>7325</v>
      </c>
      <c r="Q76" s="10">
        <f t="shared" si="21"/>
        <v>0</v>
      </c>
      <c r="R76" s="638">
        <f t="shared" ref="R76:R80" si="22">IFERROR((Q76/G76)^(1/COUNT($G$4:$Q$4))-1,"")</f>
        <v>-1</v>
      </c>
    </row>
    <row r="77" spans="1:18" x14ac:dyDescent="0.3">
      <c r="B77" s="606" t="str">
        <f ca="1">+$B$7</f>
        <v>Samsung Electronics Co., Ltd.</v>
      </c>
      <c r="C77" s="606"/>
      <c r="D77" s="606"/>
      <c r="E77" s="606"/>
      <c r="F77" s="606"/>
      <c r="G77" s="636">
        <f t="shared" ref="G77:Q77" si="23">+G7+G21</f>
        <v>9290</v>
      </c>
      <c r="H77" s="636">
        <f t="shared" si="23"/>
        <v>10192</v>
      </c>
      <c r="I77" s="636">
        <f t="shared" si="23"/>
        <v>11600</v>
      </c>
      <c r="J77" s="636">
        <f t="shared" si="23"/>
        <v>13585</v>
      </c>
      <c r="K77" s="636">
        <f t="shared" si="23"/>
        <v>4855</v>
      </c>
      <c r="L77" s="636">
        <f t="shared" si="23"/>
        <v>5067</v>
      </c>
      <c r="M77" s="636">
        <f t="shared" si="23"/>
        <v>5726</v>
      </c>
      <c r="N77" s="636">
        <f t="shared" si="23"/>
        <v>20170</v>
      </c>
      <c r="O77" s="636">
        <f t="shared" si="23"/>
        <v>19892</v>
      </c>
      <c r="P77" s="636">
        <f t="shared" si="23"/>
        <v>18303</v>
      </c>
      <c r="Q77" s="636">
        <f t="shared" si="23"/>
        <v>0</v>
      </c>
      <c r="R77" s="639">
        <f t="shared" si="22"/>
        <v>-1</v>
      </c>
    </row>
    <row r="78" spans="1:18" x14ac:dyDescent="0.3">
      <c r="B78" t="str">
        <f ca="1">+$B$8</f>
        <v>MICRON TECHNOLOGY, INC.</v>
      </c>
      <c r="G78" s="697">
        <f t="shared" ref="G78:Q78" si="24">+G8+G22</f>
        <v>0</v>
      </c>
      <c r="H78" s="10">
        <f t="shared" si="24"/>
        <v>3034</v>
      </c>
      <c r="I78" s="10">
        <f t="shared" si="24"/>
        <v>3695</v>
      </c>
      <c r="J78" s="10">
        <f t="shared" si="24"/>
        <v>5299</v>
      </c>
      <c r="K78" s="10">
        <f t="shared" si="24"/>
        <v>5619</v>
      </c>
      <c r="L78" s="10">
        <f t="shared" si="24"/>
        <v>6051</v>
      </c>
      <c r="M78" s="10">
        <f t="shared" si="24"/>
        <v>6147</v>
      </c>
      <c r="N78" s="10">
        <f t="shared" si="24"/>
        <v>6789</v>
      </c>
      <c r="O78" s="10">
        <f t="shared" si="24"/>
        <v>7343</v>
      </c>
      <c r="P78" s="10">
        <f t="shared" si="24"/>
        <v>6636</v>
      </c>
      <c r="Q78" s="10">
        <f t="shared" si="24"/>
        <v>0</v>
      </c>
      <c r="R78" s="638" t="str">
        <f t="shared" si="22"/>
        <v/>
      </c>
    </row>
    <row r="79" spans="1:18" x14ac:dyDescent="0.3">
      <c r="B79" s="606" t="str">
        <f ca="1">+$B$9</f>
        <v>Kioxia Holdings Corporation</v>
      </c>
      <c r="C79" s="606"/>
      <c r="D79" s="606"/>
      <c r="E79" s="606"/>
      <c r="F79" s="606"/>
      <c r="G79" s="636">
        <f t="shared" ref="G79:Q79" si="25">+G9+G23</f>
        <v>0</v>
      </c>
      <c r="H79" s="636">
        <f t="shared" si="25"/>
        <v>0</v>
      </c>
      <c r="I79" s="636">
        <f t="shared" si="25"/>
        <v>0</v>
      </c>
      <c r="J79" s="636">
        <f t="shared" si="25"/>
        <v>0</v>
      </c>
      <c r="K79" s="636">
        <f t="shared" si="25"/>
        <v>0</v>
      </c>
      <c r="L79" s="636">
        <f t="shared" si="25"/>
        <v>0</v>
      </c>
      <c r="M79" s="636">
        <f t="shared" si="25"/>
        <v>0</v>
      </c>
      <c r="N79" s="636">
        <f t="shared" si="25"/>
        <v>0</v>
      </c>
      <c r="O79" s="636">
        <f t="shared" si="25"/>
        <v>0</v>
      </c>
      <c r="P79" s="636">
        <f t="shared" si="25"/>
        <v>0</v>
      </c>
      <c r="Q79" s="636">
        <f t="shared" si="25"/>
        <v>0</v>
      </c>
      <c r="R79" s="639" t="str">
        <f t="shared" si="22"/>
        <v/>
      </c>
    </row>
    <row r="80" spans="1:18" x14ac:dyDescent="0.3">
      <c r="B80" t="str">
        <f ca="1">+$B$10</f>
        <v>WESTERN DIGITAL CORPORATION</v>
      </c>
      <c r="G80" s="10">
        <f t="shared" ref="G80:Q80" si="26">+G10+G24</f>
        <v>1096</v>
      </c>
      <c r="H80" s="10">
        <f t="shared" si="26"/>
        <v>962</v>
      </c>
      <c r="I80" s="10">
        <f t="shared" si="26"/>
        <v>1172</v>
      </c>
      <c r="J80" s="10">
        <f t="shared" si="26"/>
        <v>1131</v>
      </c>
      <c r="K80" s="10">
        <f t="shared" si="26"/>
        <v>1156</v>
      </c>
      <c r="L80" s="10">
        <f t="shared" si="26"/>
        <v>1021</v>
      </c>
      <c r="M80" s="10">
        <f t="shared" si="26"/>
        <v>1003</v>
      </c>
      <c r="N80" s="10">
        <f t="shared" si="26"/>
        <v>1045</v>
      </c>
      <c r="O80" s="10">
        <f t="shared" si="26"/>
        <v>1067</v>
      </c>
      <c r="P80" s="10">
        <f t="shared" si="26"/>
        <v>107</v>
      </c>
      <c r="Q80" s="10">
        <f t="shared" si="26"/>
        <v>0</v>
      </c>
      <c r="R80" s="638">
        <f t="shared" si="22"/>
        <v>-1</v>
      </c>
    </row>
    <row r="81" spans="2:18" x14ac:dyDescent="0.3">
      <c r="B81" s="606" t="str">
        <f>+$B$11</f>
        <v/>
      </c>
      <c r="C81" s="606"/>
      <c r="D81" s="606"/>
      <c r="E81" s="606"/>
      <c r="F81" s="606"/>
      <c r="G81" s="636"/>
      <c r="H81" s="636"/>
      <c r="I81" s="636"/>
      <c r="J81" s="636"/>
      <c r="K81" s="636"/>
      <c r="L81" s="636"/>
      <c r="M81" s="636"/>
      <c r="N81" s="636"/>
      <c r="O81" s="636"/>
      <c r="P81" s="636"/>
      <c r="Q81" s="636"/>
      <c r="R81" s="639"/>
    </row>
    <row r="82" spans="2:18" x14ac:dyDescent="0.3">
      <c r="B82" t="str">
        <f>+$B$12</f>
        <v/>
      </c>
      <c r="G82" s="10"/>
      <c r="H82" s="10"/>
      <c r="I82" s="10"/>
      <c r="J82" s="10"/>
      <c r="K82" s="10"/>
      <c r="L82" s="10"/>
      <c r="M82" s="10"/>
      <c r="N82" s="10"/>
      <c r="O82" s="10"/>
      <c r="P82" s="10"/>
      <c r="Q82" s="10"/>
      <c r="R82" s="638"/>
    </row>
    <row r="83" spans="2:18" x14ac:dyDescent="0.3">
      <c r="B83" s="606" t="str">
        <f>+$B$13</f>
        <v/>
      </c>
      <c r="C83" s="606"/>
      <c r="D83" s="606"/>
      <c r="E83" s="606"/>
      <c r="F83" s="606"/>
      <c r="G83" s="636"/>
      <c r="H83" s="636"/>
      <c r="I83" s="636"/>
      <c r="J83" s="636"/>
      <c r="K83" s="636"/>
      <c r="L83" s="636"/>
      <c r="M83" s="636"/>
      <c r="N83" s="636"/>
      <c r="O83" s="636"/>
      <c r="P83" s="636"/>
      <c r="Q83" s="636"/>
      <c r="R83" s="639"/>
    </row>
    <row r="84" spans="2:18" x14ac:dyDescent="0.3">
      <c r="B84" t="str">
        <f>+$B$14</f>
        <v/>
      </c>
      <c r="G84" s="10"/>
      <c r="H84" s="10"/>
      <c r="I84" s="10"/>
      <c r="J84" s="10"/>
      <c r="K84" s="10"/>
      <c r="L84" s="10"/>
      <c r="M84" s="10"/>
      <c r="N84" s="10"/>
      <c r="O84" s="10"/>
      <c r="P84" s="10"/>
      <c r="Q84" s="10"/>
      <c r="R84" s="638"/>
    </row>
    <row r="85" spans="2:18" x14ac:dyDescent="0.3">
      <c r="B85" s="606" t="str">
        <f>+$B$15</f>
        <v/>
      </c>
      <c r="C85" s="606"/>
      <c r="D85" s="606"/>
      <c r="E85" s="606"/>
      <c r="F85" s="606"/>
      <c r="G85" s="636"/>
      <c r="H85" s="636"/>
      <c r="I85" s="636"/>
      <c r="J85" s="636"/>
      <c r="K85" s="636"/>
      <c r="L85" s="636"/>
      <c r="M85" s="636"/>
      <c r="N85" s="636"/>
      <c r="O85" s="636"/>
      <c r="P85" s="636"/>
      <c r="Q85" s="636"/>
      <c r="R85" s="639"/>
    </row>
    <row r="86" spans="2:18" x14ac:dyDescent="0.3">
      <c r="B86" t="str">
        <f>+$B$16</f>
        <v/>
      </c>
      <c r="G86" s="10"/>
      <c r="H86" s="10"/>
      <c r="I86" s="10"/>
      <c r="J86" s="10"/>
      <c r="K86" s="10"/>
      <c r="L86" s="10"/>
      <c r="M86" s="10"/>
      <c r="N86" s="10"/>
      <c r="O86" s="10"/>
      <c r="P86" s="10"/>
      <c r="Q86" s="10"/>
      <c r="R86" s="6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AW1781"/>
  <sheetViews>
    <sheetView showGridLines="0" topLeftCell="A59" zoomScaleNormal="100" workbookViewId="0"/>
  </sheetViews>
  <sheetFormatPr defaultColWidth="9" defaultRowHeight="15" customHeight="1" x14ac:dyDescent="0.35"/>
  <cols>
    <col min="1" max="1" width="2.25" style="114" customWidth="1"/>
    <col min="2" max="2" width="39.08203125" style="114" customWidth="1"/>
    <col min="3" max="3" width="13.58203125" style="114" customWidth="1"/>
    <col min="4" max="4" width="3.5" style="114" customWidth="1"/>
    <col min="5" max="17" width="12.58203125" style="114" customWidth="1"/>
    <col min="18" max="18" width="11.75" style="114" customWidth="1"/>
    <col min="19" max="19" width="29.25" style="114" hidden="1" customWidth="1"/>
    <col min="20" max="20" width="16.58203125" style="114" hidden="1" customWidth="1"/>
    <col min="21" max="21" width="32.08203125" style="114" hidden="1" customWidth="1"/>
    <col min="22" max="22" width="11.08203125" style="114" hidden="1" customWidth="1"/>
    <col min="23" max="37" width="9" style="114" hidden="1" customWidth="1"/>
    <col min="38" max="38" width="8.58203125" style="114" customWidth="1"/>
    <col min="39" max="39" width="2.58203125" style="114" customWidth="1"/>
    <col min="40" max="40" width="9" style="114"/>
    <col min="41" max="41" width="12.33203125" style="114" bestFit="1" customWidth="1"/>
    <col min="42" max="46" width="9.5" style="114" bestFit="1" customWidth="1"/>
    <col min="47" max="16384" width="9" style="114"/>
  </cols>
  <sheetData>
    <row r="2" spans="1:36" s="35" customFormat="1" ht="20.25" customHeight="1" x14ac:dyDescent="0.4">
      <c r="B2" s="34" t="s">
        <v>447</v>
      </c>
    </row>
    <row r="4" spans="1:36" ht="15.5" x14ac:dyDescent="0.35">
      <c r="A4" s="114" t="s">
        <v>440</v>
      </c>
      <c r="B4" s="43" t="s">
        <v>448</v>
      </c>
      <c r="C4" s="47"/>
      <c r="D4" s="47"/>
      <c r="E4" s="47"/>
      <c r="F4" s="47"/>
      <c r="G4" s="47"/>
      <c r="H4" s="47"/>
      <c r="I4" s="47"/>
      <c r="J4" s="47"/>
      <c r="K4" s="47"/>
      <c r="L4" s="47"/>
      <c r="M4" s="47"/>
      <c r="N4" s="47"/>
      <c r="O4" s="47"/>
      <c r="P4" s="47"/>
      <c r="Q4" s="47"/>
      <c r="R4" s="114" t="e" vm="2">
        <v>#VALUE!</v>
      </c>
      <c r="S4" s="363"/>
      <c r="T4" s="115"/>
      <c r="U4" s="115"/>
    </row>
    <row r="5" spans="1:36" ht="4.1500000000000004" customHeight="1" x14ac:dyDescent="0.35">
      <c r="B5" s="116"/>
      <c r="C5" s="117"/>
      <c r="D5" s="117"/>
      <c r="E5" s="117"/>
      <c r="F5" s="117"/>
      <c r="G5" s="117"/>
      <c r="H5" s="117"/>
      <c r="I5" s="117"/>
      <c r="J5" s="117"/>
      <c r="K5" s="117"/>
      <c r="L5" s="117"/>
      <c r="M5" s="117"/>
      <c r="N5" s="117"/>
      <c r="O5" s="117"/>
      <c r="P5" s="117"/>
      <c r="Q5" s="117"/>
      <c r="S5" s="115"/>
      <c r="T5" s="115"/>
      <c r="U5" s="115"/>
    </row>
    <row r="6" spans="1:36" ht="15.5" x14ac:dyDescent="0.35">
      <c r="B6" s="118" t="s">
        <v>449</v>
      </c>
      <c r="C6" s="119"/>
      <c r="D6" s="119"/>
      <c r="E6" s="118" t="s">
        <v>450</v>
      </c>
      <c r="F6" s="119"/>
      <c r="G6" s="119"/>
      <c r="H6" s="118" t="s">
        <v>451</v>
      </c>
      <c r="J6" s="119"/>
      <c r="K6" s="118" t="s">
        <v>452</v>
      </c>
      <c r="L6" s="119"/>
      <c r="P6" s="119"/>
      <c r="Q6" s="119"/>
      <c r="X6" s="114" t="s">
        <v>25</v>
      </c>
      <c r="Y6" s="114" t="s">
        <v>453</v>
      </c>
      <c r="Z6" s="114" t="s">
        <v>454</v>
      </c>
      <c r="AA6" s="114" t="s">
        <v>455</v>
      </c>
      <c r="AB6" s="114" t="s">
        <v>456</v>
      </c>
      <c r="AC6" s="114" t="s">
        <v>301</v>
      </c>
      <c r="AD6" s="114" t="s">
        <v>457</v>
      </c>
      <c r="AE6" s="114" t="s">
        <v>292</v>
      </c>
      <c r="AF6" s="114" t="s">
        <v>458</v>
      </c>
      <c r="AG6" s="114" t="s">
        <v>297</v>
      </c>
      <c r="AH6" s="114" t="s">
        <v>294</v>
      </c>
      <c r="AI6" s="114" t="s">
        <v>290</v>
      </c>
    </row>
    <row r="7" spans="1:36" ht="15.5" x14ac:dyDescent="0.35">
      <c r="B7" s="119" t="s">
        <v>215</v>
      </c>
      <c r="C7" s="560">
        <v>2</v>
      </c>
      <c r="D7" s="119"/>
      <c r="E7" s="114" t="s">
        <v>215</v>
      </c>
      <c r="F7" s="564">
        <v>-0.02</v>
      </c>
      <c r="H7" s="114" t="s">
        <v>215</v>
      </c>
      <c r="K7" s="114" t="s">
        <v>215</v>
      </c>
      <c r="L7" s="564">
        <v>0.02</v>
      </c>
      <c r="P7" s="119"/>
      <c r="S7" s="114" t="s">
        <v>459</v>
      </c>
      <c r="T7" s="320">
        <v>45657</v>
      </c>
      <c r="W7" s="114">
        <v>2022</v>
      </c>
      <c r="X7" s="156">
        <f>+E197</f>
        <v>-18020.111446987114</v>
      </c>
      <c r="Y7" s="156">
        <f>+E250</f>
        <v>-4678.2000000000007</v>
      </c>
      <c r="Z7" s="156">
        <f ca="1">+H222</f>
        <v>0</v>
      </c>
      <c r="AA7" s="156">
        <f>+E263</f>
        <v>-1669.2</v>
      </c>
      <c r="AB7" s="156">
        <f>+E187</f>
        <v>3813.4885530128886</v>
      </c>
      <c r="AC7" s="194">
        <f>+E248</f>
        <v>14913.7</v>
      </c>
      <c r="AD7" s="156">
        <f>+E92</f>
        <v>6079.4</v>
      </c>
      <c r="AH7" s="156"/>
    </row>
    <row r="8" spans="1:36" ht="15.5" x14ac:dyDescent="0.35">
      <c r="B8" s="119" t="s">
        <v>460</v>
      </c>
      <c r="C8" s="560">
        <v>2</v>
      </c>
      <c r="D8" s="119"/>
      <c r="E8" s="114" t="s">
        <v>460</v>
      </c>
      <c r="F8" s="564">
        <v>-0.01</v>
      </c>
      <c r="H8" s="114" t="s">
        <v>460</v>
      </c>
      <c r="K8" s="114" t="s">
        <v>460</v>
      </c>
      <c r="L8" s="564">
        <v>0.01</v>
      </c>
      <c r="P8" s="119"/>
      <c r="S8" s="114" t="s">
        <v>461</v>
      </c>
      <c r="T8" s="320">
        <v>46022</v>
      </c>
      <c r="W8" s="114">
        <f t="shared" ref="W8:W14" si="0">+W7+1</f>
        <v>2023</v>
      </c>
      <c r="X8" s="156">
        <f>+F197</f>
        <v>-11746.579015088475</v>
      </c>
      <c r="Y8" s="156">
        <f>+F250</f>
        <v>2424.9000000000087</v>
      </c>
      <c r="Z8" s="156">
        <f ca="1">+I222</f>
        <v>0</v>
      </c>
      <c r="AA8" s="156">
        <f>+F263</f>
        <v>-801</v>
      </c>
      <c r="AB8" s="156">
        <f>+F187</f>
        <v>-6059.1790150884772</v>
      </c>
      <c r="AC8" s="194">
        <f>+F248</f>
        <v>17249.900000000001</v>
      </c>
      <c r="AD8" s="156">
        <f>+F92</f>
        <v>8691.1</v>
      </c>
    </row>
    <row r="9" spans="1:36" ht="15.5" x14ac:dyDescent="0.35">
      <c r="B9" s="119" t="s">
        <v>462</v>
      </c>
      <c r="C9" s="560">
        <v>2</v>
      </c>
      <c r="D9" s="119"/>
      <c r="E9" s="119" t="s">
        <v>462</v>
      </c>
      <c r="F9" s="562">
        <f ca="1">IFERROR(+I9+0.5%,"")</f>
        <v>0.10043910622296334</v>
      </c>
      <c r="H9" s="119" t="s">
        <v>462</v>
      </c>
      <c r="I9" s="563">
        <f ca="1">WACC!G27</f>
        <v>9.5439106222963338E-2</v>
      </c>
      <c r="J9" s="119"/>
      <c r="K9" s="119" t="s">
        <v>462</v>
      </c>
      <c r="L9" s="565">
        <f ca="1">IFERROR(I9-0.5%,"")</f>
        <v>9.0439106222963334E-2</v>
      </c>
      <c r="M9" s="119"/>
      <c r="P9" s="119"/>
      <c r="Q9" s="119"/>
      <c r="S9" s="114" t="s">
        <v>463</v>
      </c>
      <c r="T9" s="320">
        <v>45747</v>
      </c>
      <c r="W9" s="114">
        <f t="shared" si="0"/>
        <v>2024</v>
      </c>
      <c r="X9" s="156">
        <f>+G197</f>
        <v>-2620.2352414644902</v>
      </c>
      <c r="Y9" s="156">
        <f>+G250</f>
        <v>24418.799999999996</v>
      </c>
      <c r="Z9" s="156">
        <f ca="1">+J222</f>
        <v>0</v>
      </c>
      <c r="AA9" s="156">
        <f>+G263</f>
        <v>-732.5</v>
      </c>
      <c r="AB9" s="156">
        <f>+G187</f>
        <v>19450.564758535511</v>
      </c>
      <c r="AC9" s="194">
        <f>+G248</f>
        <v>26692.5</v>
      </c>
      <c r="AD9" s="156">
        <f>+G92</f>
        <v>13928</v>
      </c>
      <c r="AE9" s="194">
        <f>Inputs!Q48</f>
        <v>119855.20000000001</v>
      </c>
      <c r="AF9" s="194">
        <f>+Inputs!Q60</f>
        <v>45939.5</v>
      </c>
      <c r="AG9" s="194">
        <f>+AE9-AF9</f>
        <v>73915.700000000012</v>
      </c>
      <c r="AH9" s="194">
        <f>+Inputs!Q54</f>
        <v>24965.4</v>
      </c>
      <c r="AI9" s="194">
        <f>+Inputs!Q38</f>
        <v>42278.9</v>
      </c>
    </row>
    <row r="10" spans="1:36" ht="15.5" x14ac:dyDescent="0.35">
      <c r="B10" s="119" t="s">
        <v>464</v>
      </c>
      <c r="C10" s="560">
        <v>2</v>
      </c>
      <c r="D10" s="119"/>
      <c r="E10" s="119" t="s">
        <v>464</v>
      </c>
      <c r="F10" s="562">
        <f>+I10-0.5%</f>
        <v>1.4999999999999999E-2</v>
      </c>
      <c r="H10" s="119" t="s">
        <v>464</v>
      </c>
      <c r="I10" s="564">
        <v>0.02</v>
      </c>
      <c r="J10" s="119"/>
      <c r="K10" s="119" t="s">
        <v>464</v>
      </c>
      <c r="L10" s="562">
        <f>+I10+0.5%</f>
        <v>2.5000000000000001E-2</v>
      </c>
      <c r="M10" s="119"/>
      <c r="P10" s="119"/>
      <c r="S10" s="114" t="s">
        <v>465</v>
      </c>
      <c r="T10" s="320">
        <v>45765</v>
      </c>
      <c r="W10" s="114">
        <f t="shared" si="0"/>
        <v>2025</v>
      </c>
      <c r="X10" s="156">
        <f ca="1">+H197</f>
        <v>-19797.861499659044</v>
      </c>
      <c r="Y10" s="156">
        <f>+H250</f>
        <v>-21069.213374138017</v>
      </c>
      <c r="Z10" s="156">
        <f ca="1">+K222</f>
        <v>0</v>
      </c>
      <c r="AA10" s="156">
        <f>+H263</f>
        <v>0</v>
      </c>
      <c r="AB10" s="156">
        <f ca="1">+H187</f>
        <v>13452.632336922185</v>
      </c>
      <c r="AC10" s="194">
        <f>+H248</f>
        <v>0</v>
      </c>
      <c r="AD10" s="156">
        <f>+H92</f>
        <v>1273.7702856637115</v>
      </c>
      <c r="AE10" s="194">
        <f>Inputs!Q48+DCF!H92+DCF!H94+DCF!H97+DCF!H100+DCF!H103+DCF!H109-DCF!G92-DCF!G94-DCF!G97-DCF!G100-DCF!G103-DCF!G109</f>
        <v>119917.93053690206</v>
      </c>
      <c r="AF10" s="194">
        <f>+Inputs!Q60+(DCF!H114+DCF!H117+DCF!H120+DCF!H122*DCF!G114*DCF!G117*DCF!G120*DCF!G122)</f>
        <v>1.1400182110209167E+19</v>
      </c>
      <c r="AG10" s="194">
        <f>+AE10-AF10</f>
        <v>-1.1400182110209047E+19</v>
      </c>
      <c r="AH10" s="156">
        <f>+AH9+H114+H117-G114-G117</f>
        <v>24861.683638713363</v>
      </c>
      <c r="AI10" s="156">
        <f>+H92+H94+H97+H100</f>
        <v>36267.947846457231</v>
      </c>
    </row>
    <row r="11" spans="1:36" ht="10.15" customHeight="1" x14ac:dyDescent="0.35">
      <c r="B11" s="119"/>
      <c r="C11" s="119"/>
      <c r="D11" s="119"/>
      <c r="E11" s="119"/>
      <c r="G11" s="119"/>
      <c r="K11" s="119"/>
      <c r="M11" s="119"/>
      <c r="P11" s="119"/>
      <c r="W11" s="114">
        <f t="shared" si="0"/>
        <v>2026</v>
      </c>
      <c r="X11" s="156">
        <f ca="1">+I197</f>
        <v>-16549.138709712042</v>
      </c>
      <c r="Y11" s="156">
        <f>+I250</f>
        <v>3555.0151411981315</v>
      </c>
      <c r="Z11" s="156">
        <f ca="1">+L222</f>
        <v>0</v>
      </c>
      <c r="AA11" s="156">
        <f>+I263</f>
        <v>0</v>
      </c>
      <c r="AB11" s="156">
        <f ca="1">+I187</f>
        <v>17876.856057938774</v>
      </c>
      <c r="AC11" s="194">
        <f>+I248</f>
        <v>21069.213374138017</v>
      </c>
      <c r="AD11" s="156">
        <f>+I92</f>
        <v>8284.098004076166</v>
      </c>
      <c r="AE11" s="194">
        <f>AE10+DCF!I92+DCF!I94+DCF!I97+DCF!I100+DCF!I103+DCF!I109-DCF!H92-DCF!H94-DCF!H97-DCF!H100-DCF!H103-DCF!H109</f>
        <v>139618.51962941978</v>
      </c>
      <c r="AF11" s="194">
        <f>AF10+(DCF!I114+DCF!I117+DCF!I120+DCF!I122*DCF!H114*DCF!H117*DCF!H120*DCF!H122)</f>
        <v>4.6070953967898116E+19</v>
      </c>
      <c r="AG11" s="194">
        <f>+AE11-AF11</f>
        <v>-4.6070953967897977E+19</v>
      </c>
      <c r="AH11" s="156">
        <f>+AH10+I114+I117-H114-H117</f>
        <v>26990.83526419746</v>
      </c>
      <c r="AI11" s="156">
        <f>+I92+I94+I97+I100</f>
        <v>49013.498273874975</v>
      </c>
      <c r="AJ11" s="156"/>
    </row>
    <row r="12" spans="1:36" ht="13.5" customHeight="1" x14ac:dyDescent="0.35">
      <c r="B12" s="119" t="s">
        <v>462</v>
      </c>
      <c r="C12" s="561">
        <f ca="1">CHOOSE(C9,F9,I9,L9)</f>
        <v>9.5439106222963338E-2</v>
      </c>
      <c r="D12" s="119"/>
      <c r="E12" s="119"/>
      <c r="G12" s="119"/>
      <c r="K12" s="119"/>
      <c r="P12" s="119"/>
      <c r="S12" s="120"/>
      <c r="T12" s="121"/>
      <c r="W12" s="114">
        <f t="shared" si="0"/>
        <v>2027</v>
      </c>
      <c r="X12" s="156">
        <f ca="1">+J197</f>
        <v>-17456.42621151522</v>
      </c>
      <c r="Y12" s="156">
        <f>+J250</f>
        <v>-17871.816770924896</v>
      </c>
      <c r="Z12" s="156">
        <f ca="1">+M222</f>
        <v>0</v>
      </c>
      <c r="AA12" s="156">
        <f>+J263</f>
        <v>0</v>
      </c>
      <c r="AB12" s="156">
        <f ca="1">+J187</f>
        <v>21023.034365768159</v>
      </c>
      <c r="AC12" s="194">
        <f>+J248</f>
        <v>0</v>
      </c>
      <c r="AD12" s="156">
        <f>+J92</f>
        <v>198.41483234998122</v>
      </c>
    </row>
    <row r="13" spans="1:36" ht="15.5" x14ac:dyDescent="0.35">
      <c r="B13" s="119" t="s">
        <v>464</v>
      </c>
      <c r="C13" s="561">
        <f>CHOOSE(C10,F10,I10,L10)</f>
        <v>0.02</v>
      </c>
      <c r="D13" s="119"/>
      <c r="E13" s="119"/>
      <c r="G13" s="122"/>
      <c r="H13" s="119"/>
      <c r="I13" s="119"/>
      <c r="J13" s="119"/>
      <c r="K13" s="119"/>
      <c r="L13" s="119"/>
      <c r="M13" s="119"/>
      <c r="O13" s="119"/>
      <c r="P13" s="119"/>
      <c r="Q13" s="119"/>
      <c r="R13" s="119"/>
      <c r="W13" s="114">
        <f t="shared" si="0"/>
        <v>2028</v>
      </c>
      <c r="X13" s="156">
        <f ca="1">+K197</f>
        <v>-20855.576929670111</v>
      </c>
      <c r="Y13" s="156">
        <f>+K250</f>
        <v>-3980.5812521004518</v>
      </c>
      <c r="Z13" s="156">
        <f ca="1">+N222</f>
        <v>0</v>
      </c>
      <c r="AA13" s="156">
        <f>+K263</f>
        <v>0</v>
      </c>
      <c r="AB13" s="156">
        <f ca="1">+K187</f>
        <v>23736.295265413853</v>
      </c>
      <c r="AC13" s="194">
        <f>+K248</f>
        <v>17871.816770924896</v>
      </c>
      <c r="AD13" s="156">
        <f>+K92</f>
        <v>4358.5569135185269</v>
      </c>
    </row>
    <row r="14" spans="1:36" ht="15.5" x14ac:dyDescent="0.35">
      <c r="B14" s="119"/>
      <c r="C14" s="123"/>
      <c r="D14" s="119"/>
      <c r="E14" s="124"/>
      <c r="F14" s="124"/>
      <c r="G14" s="124">
        <v>1</v>
      </c>
      <c r="H14" s="124">
        <v>1</v>
      </c>
      <c r="I14" s="124">
        <f t="shared" ref="I14:Q14" si="1">+H14+1</f>
        <v>2</v>
      </c>
      <c r="J14" s="124">
        <f t="shared" si="1"/>
        <v>3</v>
      </c>
      <c r="K14" s="124">
        <f t="shared" si="1"/>
        <v>4</v>
      </c>
      <c r="L14" s="124">
        <f t="shared" si="1"/>
        <v>5</v>
      </c>
      <c r="M14" s="124">
        <f t="shared" si="1"/>
        <v>6</v>
      </c>
      <c r="N14" s="124">
        <f t="shared" si="1"/>
        <v>7</v>
      </c>
      <c r="O14" s="124">
        <f t="shared" si="1"/>
        <v>8</v>
      </c>
      <c r="P14" s="124">
        <f t="shared" si="1"/>
        <v>9</v>
      </c>
      <c r="Q14" s="124">
        <f t="shared" si="1"/>
        <v>10</v>
      </c>
      <c r="R14" s="119"/>
      <c r="W14" s="114">
        <f t="shared" si="0"/>
        <v>2029</v>
      </c>
      <c r="X14" s="156">
        <f ca="1">+L197</f>
        <v>-20764.462871010328</v>
      </c>
      <c r="Y14" s="156">
        <f>+L250</f>
        <v>-17663.213982141049</v>
      </c>
      <c r="Z14" s="156">
        <f ca="1">+O222</f>
        <v>0</v>
      </c>
      <c r="AA14" s="156">
        <f>+L263</f>
        <v>0</v>
      </c>
      <c r="AB14" s="156">
        <f ca="1">+L187</f>
        <v>27315.227035412492</v>
      </c>
      <c r="AC14" s="194">
        <f>+L248</f>
        <v>3980.5812521004518</v>
      </c>
      <c r="AD14" s="156">
        <f>+L92</f>
        <v>-5395.5746568919876</v>
      </c>
    </row>
    <row r="15" spans="1:36" ht="15.5" x14ac:dyDescent="0.35">
      <c r="A15" s="114" t="s">
        <v>440</v>
      </c>
      <c r="B15" s="43" t="s">
        <v>110</v>
      </c>
      <c r="C15" s="47"/>
      <c r="D15" s="47"/>
      <c r="E15" s="125">
        <v>2022</v>
      </c>
      <c r="F15" s="125">
        <f>+E15+1</f>
        <v>2023</v>
      </c>
      <c r="G15" s="126">
        <f>+F15+1</f>
        <v>2024</v>
      </c>
      <c r="H15" s="90">
        <f t="shared" ref="H15:J15" si="2">+G15+1</f>
        <v>2025</v>
      </c>
      <c r="I15" s="90">
        <f t="shared" si="2"/>
        <v>2026</v>
      </c>
      <c r="J15" s="90">
        <f t="shared" si="2"/>
        <v>2027</v>
      </c>
      <c r="K15" s="90">
        <f>+J15+1</f>
        <v>2028</v>
      </c>
      <c r="L15" s="90">
        <f t="shared" ref="L15:Q15" si="3">+K15+1</f>
        <v>2029</v>
      </c>
      <c r="M15" s="90">
        <f t="shared" si="3"/>
        <v>2030</v>
      </c>
      <c r="N15" s="90">
        <f t="shared" si="3"/>
        <v>2031</v>
      </c>
      <c r="O15" s="90">
        <f t="shared" si="3"/>
        <v>2032</v>
      </c>
      <c r="P15" s="90">
        <f t="shared" si="3"/>
        <v>2033</v>
      </c>
      <c r="Q15" s="90">
        <f t="shared" si="3"/>
        <v>2034</v>
      </c>
      <c r="R15" s="119"/>
    </row>
    <row r="16" spans="1:36" ht="3.75" customHeight="1" x14ac:dyDescent="0.35">
      <c r="B16" s="58"/>
      <c r="C16" s="58"/>
      <c r="D16" s="58"/>
      <c r="E16" s="58"/>
      <c r="F16" s="58"/>
      <c r="G16" s="127"/>
      <c r="H16" s="58"/>
      <c r="I16" s="58"/>
      <c r="J16" s="58"/>
      <c r="K16" s="58"/>
      <c r="L16" s="58"/>
      <c r="M16" s="58"/>
      <c r="N16" s="58"/>
      <c r="O16" s="58"/>
      <c r="P16" s="58"/>
      <c r="Q16" s="58"/>
      <c r="R16" s="119"/>
    </row>
    <row r="17" spans="2:34" ht="15.5" x14ac:dyDescent="0.35">
      <c r="B17" s="119" t="s">
        <v>466</v>
      </c>
      <c r="C17" s="123"/>
      <c r="D17" s="119"/>
      <c r="E17" s="128">
        <f>+SUM(Peers!H169:K171)/1000</f>
        <v>124205.602</v>
      </c>
      <c r="F17" s="128">
        <f>+SUM(Peers!L169:O171)/1000</f>
        <v>79410.251999999993</v>
      </c>
      <c r="G17" s="129">
        <f>+SUM(Peers!P169:S171)/1000</f>
        <v>152948.38399999999</v>
      </c>
      <c r="H17" s="130">
        <f>+G17*(1+H18)</f>
        <v>183538.06079999998</v>
      </c>
      <c r="I17" s="130">
        <f>+H17*(1+I18)</f>
        <v>215069.89964543996</v>
      </c>
      <c r="J17" s="130">
        <f t="shared" ref="J17:Q17" si="4">+I17*(1+J18)</f>
        <v>247782.03138151136</v>
      </c>
      <c r="K17" s="130">
        <f t="shared" si="4"/>
        <v>280662.70694583794</v>
      </c>
      <c r="L17" s="130">
        <f t="shared" si="4"/>
        <v>312545.99045488512</v>
      </c>
      <c r="M17" s="130">
        <f t="shared" si="4"/>
        <v>342206.60494905373</v>
      </c>
      <c r="N17" s="130">
        <f t="shared" si="4"/>
        <v>368351.18956716143</v>
      </c>
      <c r="O17" s="130">
        <f t="shared" si="4"/>
        <v>389826.06391892693</v>
      </c>
      <c r="P17" s="130">
        <f t="shared" si="4"/>
        <v>405614.01950764348</v>
      </c>
      <c r="Q17" s="130">
        <f t="shared" si="4"/>
        <v>417782.44009287277</v>
      </c>
      <c r="R17" s="119"/>
    </row>
    <row r="18" spans="2:34" s="76" customFormat="1" ht="14.5" x14ac:dyDescent="0.35">
      <c r="B18" s="818" t="s">
        <v>467</v>
      </c>
      <c r="C18" s="822"/>
      <c r="D18" s="823"/>
      <c r="E18" s="810"/>
      <c r="F18" s="816">
        <f>+F17/E17-1</f>
        <v>-0.36065482779110081</v>
      </c>
      <c r="G18" s="824">
        <f>+G17/F17-1</f>
        <v>0.92605337658417208</v>
      </c>
      <c r="H18" s="841">
        <v>0.2</v>
      </c>
      <c r="I18" s="841">
        <v>0.17180000000000001</v>
      </c>
      <c r="J18" s="841">
        <v>0.15210000000000001</v>
      </c>
      <c r="K18" s="841">
        <v>0.13270000000000001</v>
      </c>
      <c r="L18" s="841">
        <v>0.11360000000000001</v>
      </c>
      <c r="M18" s="841">
        <v>9.4899999999999998E-2</v>
      </c>
      <c r="N18" s="841">
        <v>7.6399999999999996E-2</v>
      </c>
      <c r="O18" s="841">
        <v>5.8299999999999998E-2</v>
      </c>
      <c r="P18" s="841">
        <v>4.0500000000000001E-2</v>
      </c>
      <c r="Q18" s="841">
        <v>0.03</v>
      </c>
      <c r="R18" s="842"/>
      <c r="S18" s="843"/>
    </row>
    <row r="19" spans="2:34" customFormat="1" ht="14.5" x14ac:dyDescent="0.35">
      <c r="B19" s="818" t="s">
        <v>468</v>
      </c>
      <c r="C19" s="822"/>
      <c r="D19" s="823"/>
      <c r="E19" s="816">
        <f>+SUM(Peers!H169:K169)/(DCF!E17*1000)</f>
        <v>0.22679171910458595</v>
      </c>
      <c r="F19" s="816">
        <f>+SUM(Peers!L169:O169)/(DCF!F17*1000)</f>
        <v>0.26153628123482092</v>
      </c>
      <c r="G19" s="817">
        <f>+SUM(Peers!P169:S169)/(DCF!G17*1000)</f>
        <v>0.29246248198346442</v>
      </c>
      <c r="H19" s="829">
        <f t="shared" ref="H19:O19" si="5">($G$19*100+(LOG(H20+1)/LOG(9))*4)/100</f>
        <v>0.30508107705489357</v>
      </c>
      <c r="I19" s="829">
        <f t="shared" si="5"/>
        <v>0.31246248198346444</v>
      </c>
      <c r="J19" s="829">
        <f t="shared" si="5"/>
        <v>0.31769967212632272</v>
      </c>
      <c r="K19" s="829">
        <f t="shared" si="5"/>
        <v>0.32176195239782296</v>
      </c>
      <c r="L19" s="829">
        <f t="shared" si="5"/>
        <v>0.32508107705489359</v>
      </c>
      <c r="M19" s="829">
        <f t="shared" si="5"/>
        <v>0.32788735696669286</v>
      </c>
      <c r="N19" s="829">
        <f t="shared" si="5"/>
        <v>0.33031826719775187</v>
      </c>
      <c r="O19" s="829">
        <f t="shared" si="5"/>
        <v>0.33246248198346445</v>
      </c>
      <c r="P19" s="829">
        <f>AVERAGE(N19:O19)</f>
        <v>0.33139037459060816</v>
      </c>
      <c r="Q19" s="829">
        <f>AVERAGE(O19:P19)</f>
        <v>0.33192642828703633</v>
      </c>
      <c r="R19" s="840"/>
      <c r="AE19" s="61"/>
      <c r="AF19" s="61"/>
      <c r="AG19" s="61"/>
      <c r="AH19" s="61"/>
    </row>
    <row r="20" spans="2:34" s="10" customFormat="1" ht="14.5" hidden="1" x14ac:dyDescent="0.35">
      <c r="B20" s="834"/>
      <c r="C20" s="835"/>
      <c r="D20" s="825"/>
      <c r="E20" s="836"/>
      <c r="F20" s="836"/>
      <c r="G20" s="837"/>
      <c r="H20" s="838">
        <v>1</v>
      </c>
      <c r="I20" s="838">
        <v>2</v>
      </c>
      <c r="J20" s="838">
        <v>3</v>
      </c>
      <c r="K20" s="838">
        <v>4</v>
      </c>
      <c r="L20" s="838">
        <v>5</v>
      </c>
      <c r="M20" s="838">
        <v>6</v>
      </c>
      <c r="N20" s="838">
        <v>7</v>
      </c>
      <c r="O20" s="838">
        <v>8</v>
      </c>
      <c r="P20" s="838">
        <v>9</v>
      </c>
      <c r="Q20" s="838">
        <v>10</v>
      </c>
      <c r="R20" s="838"/>
      <c r="AE20" s="839"/>
      <c r="AF20" s="839"/>
      <c r="AG20" s="839"/>
      <c r="AH20" s="839"/>
    </row>
    <row r="21" spans="2:34" ht="15.5" x14ac:dyDescent="0.35">
      <c r="B21" s="777" t="s">
        <v>469</v>
      </c>
      <c r="C21" s="808"/>
      <c r="D21" s="809"/>
      <c r="E21" s="128">
        <f>Segments!G17</f>
        <v>28168.799999999999</v>
      </c>
      <c r="F21" s="128">
        <f>Segments!H17</f>
        <v>20768.66</v>
      </c>
      <c r="G21" s="813">
        <f>Segments!I17</f>
        <v>44731.66</v>
      </c>
      <c r="H21" s="130">
        <f t="shared" ref="H21:Q21" si="6">+H17*H19</f>
        <v>55993.989269430531</v>
      </c>
      <c r="I21" s="130">
        <f t="shared" si="6"/>
        <v>67201.27464314879</v>
      </c>
      <c r="J21" s="130">
        <f t="shared" si="6"/>
        <v>78720.270128700373</v>
      </c>
      <c r="K21" s="130">
        <f t="shared" si="6"/>
        <v>90306.580552150845</v>
      </c>
      <c r="L21" s="130">
        <f t="shared" si="6"/>
        <v>101602.78720626254</v>
      </c>
      <c r="M21" s="130">
        <f t="shared" si="6"/>
        <v>112205.21923329042</v>
      </c>
      <c r="N21" s="130">
        <f t="shared" si="6"/>
        <v>121673.12665805538</v>
      </c>
      <c r="O21" s="130">
        <f t="shared" si="6"/>
        <v>129602.5407523311</v>
      </c>
      <c r="P21" s="130">
        <f t="shared" si="6"/>
        <v>134416.58186384023</v>
      </c>
      <c r="Q21" s="130">
        <f t="shared" si="6"/>
        <v>138673.03314106999</v>
      </c>
      <c r="R21" s="830"/>
      <c r="S21" s="830"/>
      <c r="AE21" s="194"/>
      <c r="AF21" s="194"/>
      <c r="AG21" s="194"/>
      <c r="AH21" s="194"/>
    </row>
    <row r="22" spans="2:34" ht="15.5" x14ac:dyDescent="0.35">
      <c r="B22" s="818" t="s">
        <v>470</v>
      </c>
      <c r="C22" s="808"/>
      <c r="D22" s="809"/>
      <c r="E22" s="128"/>
      <c r="F22" s="816">
        <f>+F21/E21-1</f>
        <v>-0.2627069665729459</v>
      </c>
      <c r="G22" s="817">
        <f>+G21/F21-1</f>
        <v>1.1538057823663155</v>
      </c>
      <c r="H22" s="816">
        <f t="shared" ref="H22:Q22" si="7">+H21/G21-1</f>
        <v>0.25177534814112712</v>
      </c>
      <c r="I22" s="816">
        <f t="shared" si="7"/>
        <v>0.2001515791238111</v>
      </c>
      <c r="J22" s="816">
        <f t="shared" si="7"/>
        <v>0.17141037200141795</v>
      </c>
      <c r="K22" s="816">
        <f t="shared" si="7"/>
        <v>0.14718331637465076</v>
      </c>
      <c r="L22" s="816">
        <f t="shared" si="7"/>
        <v>0.12508730355024666</v>
      </c>
      <c r="M22" s="816">
        <f t="shared" si="7"/>
        <v>0.10435178323901706</v>
      </c>
      <c r="N22" s="816">
        <f t="shared" si="7"/>
        <v>8.4380276509953056E-2</v>
      </c>
      <c r="O22" s="816">
        <f t="shared" si="7"/>
        <v>6.5169806284013587E-2</v>
      </c>
      <c r="P22" s="816">
        <f t="shared" si="7"/>
        <v>3.7144650741907093E-2</v>
      </c>
      <c r="Q22" s="816">
        <f t="shared" si="7"/>
        <v>3.1666117514737913E-2</v>
      </c>
      <c r="R22" s="830"/>
      <c r="S22" s="830"/>
      <c r="AE22" s="194"/>
      <c r="AF22" s="194"/>
      <c r="AG22" s="194"/>
      <c r="AH22" s="194"/>
    </row>
    <row r="23" spans="2:34" ht="4" customHeight="1" x14ac:dyDescent="0.35">
      <c r="B23" s="818"/>
      <c r="C23" s="808"/>
      <c r="D23" s="809"/>
      <c r="E23" s="128"/>
      <c r="F23" s="816"/>
      <c r="G23" s="817"/>
      <c r="H23" s="833"/>
      <c r="I23" s="816"/>
      <c r="J23" s="816"/>
      <c r="K23" s="816"/>
      <c r="L23" s="816"/>
      <c r="M23" s="816"/>
      <c r="N23" s="816"/>
      <c r="O23" s="816"/>
      <c r="P23" s="816"/>
      <c r="Q23" s="816"/>
      <c r="R23" s="830"/>
      <c r="S23" s="830"/>
      <c r="AE23" s="194"/>
      <c r="AF23" s="194"/>
      <c r="AG23" s="194"/>
      <c r="AH23" s="194"/>
    </row>
    <row r="24" spans="2:34" ht="15.5" x14ac:dyDescent="0.35">
      <c r="B24" s="119" t="s">
        <v>471</v>
      </c>
      <c r="C24" s="123"/>
      <c r="D24" s="119"/>
      <c r="E24" s="128">
        <f>SUM(Peers!H176:K180)/1000</f>
        <v>65433.158449999995</v>
      </c>
      <c r="F24" s="128">
        <f>SUM(Peers!L176:O180)/1000</f>
        <v>45721.93836</v>
      </c>
      <c r="G24" s="813">
        <f>SUM(Peers!P176:S180)/1000</f>
        <v>71577.847299999994</v>
      </c>
      <c r="H24" s="779">
        <f>+G24*(1+H25)</f>
        <v>78735.632029999993</v>
      </c>
      <c r="I24" s="779">
        <f t="shared" ref="I24:Q24" si="8">+H24*(1+I25)</f>
        <v>85554.137763797989</v>
      </c>
      <c r="J24" s="779">
        <f t="shared" si="8"/>
        <v>92193.138854268705</v>
      </c>
      <c r="K24" s="779">
        <f t="shared" si="8"/>
        <v>98517.58817967154</v>
      </c>
      <c r="L24" s="779">
        <f t="shared" si="8"/>
        <v>104389.23643517998</v>
      </c>
      <c r="M24" s="779">
        <f t="shared" si="8"/>
        <v>109692.20964608711</v>
      </c>
      <c r="N24" s="779">
        <f t="shared" si="8"/>
        <v>114299.28245122277</v>
      </c>
      <c r="O24" s="779">
        <f t="shared" si="8"/>
        <v>118105.4485568485</v>
      </c>
      <c r="P24" s="779">
        <f t="shared" si="8"/>
        <v>121022.65313620264</v>
      </c>
      <c r="Q24" s="779">
        <f t="shared" si="8"/>
        <v>123443.1061989267</v>
      </c>
      <c r="R24" s="778"/>
      <c r="AD24" s="156"/>
      <c r="AE24" s="156"/>
      <c r="AF24" s="156"/>
      <c r="AG24" s="156"/>
    </row>
    <row r="25" spans="2:34" s="76" customFormat="1" ht="14.5" x14ac:dyDescent="0.35">
      <c r="B25" s="818" t="s">
        <v>467</v>
      </c>
      <c r="C25" s="822"/>
      <c r="D25" s="823"/>
      <c r="E25" s="826"/>
      <c r="F25" s="816">
        <f>+F24/E24-1</f>
        <v>-0.30124206987596513</v>
      </c>
      <c r="G25" s="817">
        <f>+G24/F24-1</f>
        <v>0.56550334188412554</v>
      </c>
      <c r="H25" s="828">
        <v>0.1</v>
      </c>
      <c r="I25" s="828">
        <v>8.6599999999999996E-2</v>
      </c>
      <c r="J25" s="828">
        <v>7.7600000000000002E-2</v>
      </c>
      <c r="K25" s="828">
        <v>6.8599999999999994E-2</v>
      </c>
      <c r="L25" s="828">
        <v>5.96E-2</v>
      </c>
      <c r="M25" s="828">
        <v>5.0799999999999998E-2</v>
      </c>
      <c r="N25" s="828">
        <v>4.2000000000000003E-2</v>
      </c>
      <c r="O25" s="828">
        <v>3.3300000000000003E-2</v>
      </c>
      <c r="P25" s="828">
        <v>2.47E-2</v>
      </c>
      <c r="Q25" s="828">
        <v>0.02</v>
      </c>
      <c r="R25" s="842"/>
      <c r="AD25" s="827"/>
      <c r="AE25" s="827"/>
      <c r="AF25" s="827"/>
      <c r="AG25" s="827"/>
    </row>
    <row r="26" spans="2:34" customFormat="1" ht="14.5" x14ac:dyDescent="0.35">
      <c r="B26" s="818" t="s">
        <v>468</v>
      </c>
      <c r="C26" s="819"/>
      <c r="D26" s="820"/>
      <c r="E26" s="816">
        <f t="shared" ref="E26:F26" si="9">+E27/E24</f>
        <v>0.21676960635850218</v>
      </c>
      <c r="F26" s="816">
        <f t="shared" si="9"/>
        <v>0.21112534477420611</v>
      </c>
      <c r="G26" s="817">
        <f>+G27/G24</f>
        <v>0.26927479278913719</v>
      </c>
      <c r="H26" s="829">
        <f>+G26</f>
        <v>0.26927479278913719</v>
      </c>
      <c r="I26" s="829">
        <f>+H26</f>
        <v>0.26927479278913719</v>
      </c>
      <c r="J26" s="829">
        <f t="shared" ref="J26:Q26" si="10">+I26</f>
        <v>0.26927479278913719</v>
      </c>
      <c r="K26" s="829">
        <f t="shared" si="10"/>
        <v>0.26927479278913719</v>
      </c>
      <c r="L26" s="829">
        <f t="shared" si="10"/>
        <v>0.26927479278913719</v>
      </c>
      <c r="M26" s="829">
        <f t="shared" si="10"/>
        <v>0.26927479278913719</v>
      </c>
      <c r="N26" s="829">
        <f t="shared" si="10"/>
        <v>0.26927479278913719</v>
      </c>
      <c r="O26" s="829">
        <f t="shared" si="10"/>
        <v>0.26927479278913719</v>
      </c>
      <c r="P26" s="829">
        <f t="shared" si="10"/>
        <v>0.26927479278913719</v>
      </c>
      <c r="Q26" s="829">
        <f t="shared" si="10"/>
        <v>0.26927479278913719</v>
      </c>
      <c r="R26" s="821"/>
      <c r="S26" s="26"/>
      <c r="T26" s="83"/>
      <c r="U26" s="83"/>
      <c r="V26" s="83"/>
      <c r="W26" s="83"/>
      <c r="X26" s="83"/>
    </row>
    <row r="27" spans="2:34" ht="15.5" x14ac:dyDescent="0.35">
      <c r="B27" s="777" t="s">
        <v>472</v>
      </c>
      <c r="C27" s="808"/>
      <c r="D27" s="809"/>
      <c r="E27" s="128">
        <f>Segments!G18</f>
        <v>14183.92</v>
      </c>
      <c r="F27" s="128">
        <f>Segments!H18</f>
        <v>9653.06</v>
      </c>
      <c r="G27" s="813">
        <f>Segments!I18</f>
        <v>19274.11</v>
      </c>
      <c r="H27" s="130">
        <f>+H24*H26</f>
        <v>21201.521000000001</v>
      </c>
      <c r="I27" s="130">
        <f t="shared" ref="I27:Q27" si="11">+I24*I26</f>
        <v>23037.5727186</v>
      </c>
      <c r="J27" s="130">
        <f t="shared" si="11"/>
        <v>24825.288361563358</v>
      </c>
      <c r="K27" s="130">
        <f t="shared" si="11"/>
        <v>26528.303143166606</v>
      </c>
      <c r="L27" s="130">
        <f t="shared" si="11"/>
        <v>28109.390010499337</v>
      </c>
      <c r="M27" s="130">
        <f t="shared" si="11"/>
        <v>29537.3470230327</v>
      </c>
      <c r="N27" s="130">
        <f t="shared" si="11"/>
        <v>30777.915598000076</v>
      </c>
      <c r="O27" s="130">
        <f t="shared" si="11"/>
        <v>31802.820187413479</v>
      </c>
      <c r="P27" s="130">
        <f t="shared" si="11"/>
        <v>32588.349846042591</v>
      </c>
      <c r="Q27" s="130">
        <f t="shared" si="11"/>
        <v>33240.116842963442</v>
      </c>
      <c r="R27" s="778"/>
      <c r="S27" s="26"/>
      <c r="T27" s="83"/>
      <c r="U27" s="83"/>
      <c r="V27" s="83"/>
      <c r="W27" s="83"/>
      <c r="X27" s="83"/>
    </row>
    <row r="28" spans="2:34" ht="15.5" x14ac:dyDescent="0.35">
      <c r="B28" s="818" t="s">
        <v>473</v>
      </c>
      <c r="C28" s="808"/>
      <c r="D28" s="809"/>
      <c r="E28" s="128"/>
      <c r="F28" s="816">
        <f>+F27/E27-1</f>
        <v>-0.31943637583968332</v>
      </c>
      <c r="G28" s="817">
        <f>+G27/F27-1</f>
        <v>0.99668395306773205</v>
      </c>
      <c r="H28" s="816">
        <f t="shared" ref="H28" si="12">+H27/G27-1</f>
        <v>0.10000000000000009</v>
      </c>
      <c r="I28" s="816">
        <f t="shared" ref="I28" si="13">+I27/H27-1</f>
        <v>8.660000000000001E-2</v>
      </c>
      <c r="J28" s="816">
        <f t="shared" ref="J28" si="14">+J27/I27-1</f>
        <v>7.7599999999999891E-2</v>
      </c>
      <c r="K28" s="816">
        <f t="shared" ref="K28" si="15">+K27/J27-1</f>
        <v>6.8599999999999994E-2</v>
      </c>
      <c r="L28" s="816">
        <f t="shared" ref="L28" si="16">+L27/K27-1</f>
        <v>5.9600000000000097E-2</v>
      </c>
      <c r="M28" s="816">
        <f t="shared" ref="M28" si="17">+M27/L27-1</f>
        <v>5.0799999999999956E-2</v>
      </c>
      <c r="N28" s="816">
        <f t="shared" ref="N28" si="18">+N27/M27-1</f>
        <v>4.2000000000000037E-2</v>
      </c>
      <c r="O28" s="816">
        <f t="shared" ref="O28" si="19">+O27/N27-1</f>
        <v>3.3300000000000107E-2</v>
      </c>
      <c r="P28" s="816">
        <f t="shared" ref="P28" si="20">+P27/O27-1</f>
        <v>2.4699999999999944E-2</v>
      </c>
      <c r="Q28" s="816">
        <f t="shared" ref="Q28" si="21">+Q27/P27-1</f>
        <v>2.0000000000000018E-2</v>
      </c>
      <c r="R28" s="778"/>
      <c r="S28" s="26"/>
      <c r="T28" s="83"/>
      <c r="U28" s="83"/>
      <c r="V28" s="83"/>
      <c r="W28" s="83"/>
      <c r="X28" s="83"/>
    </row>
    <row r="29" spans="2:34" ht="4" customHeight="1" x14ac:dyDescent="0.35">
      <c r="B29" s="818"/>
      <c r="C29" s="808"/>
      <c r="D29" s="809"/>
      <c r="E29" s="128"/>
      <c r="F29" s="128"/>
      <c r="G29" s="813"/>
      <c r="H29" s="778"/>
      <c r="I29" s="778"/>
      <c r="J29" s="778"/>
      <c r="K29" s="778"/>
      <c r="L29" s="778"/>
      <c r="M29" s="778"/>
      <c r="N29" s="229"/>
      <c r="O29" s="778"/>
      <c r="P29" s="778"/>
      <c r="Q29" s="778"/>
      <c r="R29" s="778"/>
      <c r="S29" s="26"/>
      <c r="T29" s="83"/>
      <c r="U29" s="83"/>
      <c r="V29" s="83"/>
      <c r="W29" s="83"/>
      <c r="X29" s="83"/>
    </row>
    <row r="30" spans="2:34" ht="15.5" x14ac:dyDescent="0.35">
      <c r="B30" s="119" t="s">
        <v>69</v>
      </c>
      <c r="C30" s="808"/>
      <c r="D30" s="809"/>
      <c r="E30" s="128"/>
      <c r="F30" s="128"/>
      <c r="G30" s="813"/>
      <c r="H30" s="778"/>
      <c r="I30" s="778"/>
      <c r="J30" s="778"/>
      <c r="K30" s="778"/>
      <c r="L30" s="778"/>
      <c r="M30" s="778"/>
      <c r="N30" s="229"/>
      <c r="O30" s="778"/>
      <c r="P30" s="778"/>
      <c r="Q30" s="778"/>
      <c r="R30" s="778"/>
      <c r="S30" s="26"/>
      <c r="T30" s="83"/>
      <c r="U30" s="83"/>
      <c r="V30" s="83"/>
      <c r="W30" s="83"/>
      <c r="X30" s="83"/>
    </row>
    <row r="31" spans="2:34" ht="15.5" x14ac:dyDescent="0.35">
      <c r="B31" s="777" t="s">
        <v>474</v>
      </c>
      <c r="C31" s="123"/>
      <c r="D31" s="119"/>
      <c r="E31" s="814">
        <f>Segments!G38</f>
        <v>2268.84</v>
      </c>
      <c r="F31" s="814">
        <f>Segments!H38</f>
        <v>2344</v>
      </c>
      <c r="G31" s="815">
        <f>Segments!I38</f>
        <v>2187.1799999999998</v>
      </c>
      <c r="H31" s="130">
        <f t="shared" ref="H31:Q31" si="22">+G31*(1+H32)</f>
        <v>2571.8780029736554</v>
      </c>
      <c r="I31" s="130">
        <f t="shared" si="22"/>
        <v>2940.6230423068996</v>
      </c>
      <c r="J31" s="130">
        <f t="shared" si="22"/>
        <v>3306.7458611472907</v>
      </c>
      <c r="K31" s="130">
        <f t="shared" si="22"/>
        <v>3663.5161553105477</v>
      </c>
      <c r="L31" s="130">
        <f t="shared" si="22"/>
        <v>4001.8186154290834</v>
      </c>
      <c r="M31" s="130">
        <f t="shared" si="22"/>
        <v>4312.2632626205414</v>
      </c>
      <c r="N31" s="130">
        <f t="shared" si="22"/>
        <v>4584.7557743773896</v>
      </c>
      <c r="O31" s="130">
        <f t="shared" si="22"/>
        <v>4810.4857808586166</v>
      </c>
      <c r="P31" s="130">
        <f t="shared" si="22"/>
        <v>4959.2371873666725</v>
      </c>
      <c r="Q31" s="130">
        <f t="shared" si="22"/>
        <v>5087.3494530196449</v>
      </c>
      <c r="R31" s="778"/>
      <c r="S31" s="83"/>
      <c r="T31"/>
      <c r="U31"/>
      <c r="V31"/>
      <c r="W31"/>
      <c r="X31"/>
    </row>
    <row r="32" spans="2:34" customFormat="1" ht="14.5" x14ac:dyDescent="0.35">
      <c r="B32" s="818" t="s">
        <v>475</v>
      </c>
      <c r="C32" s="819"/>
      <c r="D32" s="820"/>
      <c r="E32" s="811">
        <f>Segments!G46</f>
        <v>0.21417295023626925</v>
      </c>
      <c r="F32" s="811">
        <f>Segments!H46</f>
        <v>3.3127060524320795E-2</v>
      </c>
      <c r="G32" s="812">
        <f>Segments!I46</f>
        <v>-6.6902730375426711E-2</v>
      </c>
      <c r="H32" s="811">
        <f>+AVERAGE(H28,H22)</f>
        <v>0.1758876740705636</v>
      </c>
      <c r="I32" s="811">
        <f>+AVERAGE(I28,I22)</f>
        <v>0.14337578956190555</v>
      </c>
      <c r="J32" s="811">
        <f t="shared" ref="J32:Q32" si="23">+AVERAGE(J28,J22)</f>
        <v>0.12450518600070892</v>
      </c>
      <c r="K32" s="811">
        <f t="shared" si="23"/>
        <v>0.10789165818732538</v>
      </c>
      <c r="L32" s="811">
        <f t="shared" si="23"/>
        <v>9.2343651775123381E-2</v>
      </c>
      <c r="M32" s="811">
        <f t="shared" si="23"/>
        <v>7.7575891619508508E-2</v>
      </c>
      <c r="N32" s="811">
        <f t="shared" si="23"/>
        <v>6.3190138254976547E-2</v>
      </c>
      <c r="O32" s="811">
        <f t="shared" si="23"/>
        <v>4.9234903142006847E-2</v>
      </c>
      <c r="P32" s="811">
        <f t="shared" si="23"/>
        <v>3.0922325370953518E-2</v>
      </c>
      <c r="Q32" s="811">
        <f t="shared" si="23"/>
        <v>2.5833058757368965E-2</v>
      </c>
      <c r="R32" s="821"/>
      <c r="S32" s="83"/>
    </row>
    <row r="33" spans="1:24" ht="4" customHeight="1" x14ac:dyDescent="0.35">
      <c r="B33" s="119"/>
      <c r="C33" s="123"/>
      <c r="D33" s="119"/>
      <c r="E33" s="131"/>
      <c r="F33" s="131"/>
      <c r="G33" s="132"/>
      <c r="H33" s="780"/>
      <c r="I33" s="780"/>
      <c r="J33" s="780"/>
      <c r="K33" s="780"/>
      <c r="L33" s="780"/>
      <c r="M33" s="229"/>
      <c r="N33" s="779"/>
      <c r="O33" s="780"/>
      <c r="P33" s="780"/>
      <c r="Q33" s="780"/>
      <c r="R33" s="778"/>
      <c r="S33" s="83"/>
      <c r="T33"/>
      <c r="U33"/>
      <c r="V33"/>
      <c r="W33"/>
      <c r="X33"/>
    </row>
    <row r="34" spans="1:24" ht="15.5" x14ac:dyDescent="0.35">
      <c r="A34" s="114" t="s">
        <v>440</v>
      </c>
      <c r="B34" s="43" t="s">
        <v>266</v>
      </c>
      <c r="C34" s="47"/>
      <c r="D34" s="47"/>
      <c r="E34" s="125">
        <v>2022</v>
      </c>
      <c r="F34" s="125">
        <f t="shared" ref="F34:Q34" si="24">+E34+1</f>
        <v>2023</v>
      </c>
      <c r="G34" s="126">
        <f t="shared" si="24"/>
        <v>2024</v>
      </c>
      <c r="H34" s="90">
        <f t="shared" si="24"/>
        <v>2025</v>
      </c>
      <c r="I34" s="90">
        <f t="shared" si="24"/>
        <v>2026</v>
      </c>
      <c r="J34" s="90">
        <f t="shared" si="24"/>
        <v>2027</v>
      </c>
      <c r="K34" s="90">
        <f t="shared" si="24"/>
        <v>2028</v>
      </c>
      <c r="L34" s="90">
        <f t="shared" si="24"/>
        <v>2029</v>
      </c>
      <c r="M34" s="90">
        <f t="shared" si="24"/>
        <v>2030</v>
      </c>
      <c r="N34" s="90">
        <f t="shared" si="24"/>
        <v>2031</v>
      </c>
      <c r="O34" s="90">
        <f t="shared" si="24"/>
        <v>2032</v>
      </c>
      <c r="P34" s="90">
        <f t="shared" si="24"/>
        <v>2033</v>
      </c>
      <c r="Q34" s="90">
        <f t="shared" si="24"/>
        <v>2034</v>
      </c>
      <c r="R34" s="136"/>
      <c r="S34" s="115"/>
      <c r="T34" s="115"/>
      <c r="U34" s="115"/>
    </row>
    <row r="35" spans="1:24" ht="4.1500000000000004" customHeight="1" x14ac:dyDescent="0.35">
      <c r="B35" s="58"/>
      <c r="C35" s="58"/>
      <c r="D35" s="58"/>
      <c r="E35" s="58"/>
      <c r="F35" s="58"/>
      <c r="G35" s="127"/>
      <c r="H35" s="58"/>
      <c r="I35" s="58"/>
      <c r="J35" s="58"/>
      <c r="K35" s="58"/>
      <c r="L35" s="58"/>
      <c r="M35" s="58"/>
      <c r="N35" s="58"/>
      <c r="O35" s="58"/>
      <c r="P35" s="58"/>
      <c r="Q35" s="58"/>
    </row>
    <row r="36" spans="1:24" ht="15.5" x14ac:dyDescent="0.35">
      <c r="B36" s="114" t="s">
        <v>476</v>
      </c>
      <c r="D36" s="287">
        <f>+_xlfn.XLOOKUP($B36,Inputs!$B:$B,Inputs!N:N)</f>
        <v>42997.8</v>
      </c>
      <c r="E36" s="138">
        <f>+_xlfn.XLOOKUP($B36,Inputs!$B:$B,Inputs!O:O)</f>
        <v>44621.599999999999</v>
      </c>
      <c r="F36" s="138">
        <f>+_xlfn.XLOOKUP($B36,Inputs!$B:$B,Inputs!P:P)</f>
        <v>32765.7</v>
      </c>
      <c r="G36" s="254">
        <f>+_xlfn.XLOOKUP($B36,Inputs!$B:$B,Inputs!Q:Q)</f>
        <v>66193</v>
      </c>
      <c r="H36" s="139">
        <f t="shared" ref="H36:Q36" si="25">H21+H27+H31</f>
        <v>79767.388272404176</v>
      </c>
      <c r="I36" s="139">
        <f t="shared" si="25"/>
        <v>93179.470404055697</v>
      </c>
      <c r="J36" s="139">
        <f t="shared" si="25"/>
        <v>106852.30435141103</v>
      </c>
      <c r="K36" s="139">
        <f t="shared" si="25"/>
        <v>120498.39985062799</v>
      </c>
      <c r="L36" s="139">
        <f t="shared" si="25"/>
        <v>133713.99583219097</v>
      </c>
      <c r="M36" s="139">
        <f t="shared" si="25"/>
        <v>146054.82951894368</v>
      </c>
      <c r="N36" s="139">
        <f t="shared" si="25"/>
        <v>157035.79803043284</v>
      </c>
      <c r="O36" s="139">
        <f t="shared" si="25"/>
        <v>166215.84672060318</v>
      </c>
      <c r="P36" s="139">
        <f t="shared" si="25"/>
        <v>171964.16889724947</v>
      </c>
      <c r="Q36" s="139">
        <f t="shared" si="25"/>
        <v>177000.49943705308</v>
      </c>
    </row>
    <row r="37" spans="1:24" s="261" customFormat="1" ht="14.5" x14ac:dyDescent="0.35">
      <c r="B37" s="262" t="s">
        <v>477</v>
      </c>
      <c r="E37" s="264">
        <f>IFERROR((E36-D36)/D36,"")</f>
        <v>3.7764722846285056E-2</v>
      </c>
      <c r="F37" s="264">
        <f>IFERROR((F36-E36)/E36,"")</f>
        <v>-0.2656986750811266</v>
      </c>
      <c r="G37" s="265">
        <f>IFERROR((G36-F36)/F36,"")</f>
        <v>1.0201918469619145</v>
      </c>
      <c r="H37" s="266">
        <f t="shared" ref="H37:Q37" si="26">IFERROR(H36/G36-1,"")</f>
        <v>0.20507286680471015</v>
      </c>
      <c r="I37" s="266">
        <f t="shared" si="26"/>
        <v>0.16813991810599971</v>
      </c>
      <c r="J37" s="266">
        <f t="shared" si="26"/>
        <v>0.14673654924272039</v>
      </c>
      <c r="K37" s="266">
        <f t="shared" si="26"/>
        <v>0.12770988498608604</v>
      </c>
      <c r="L37" s="266">
        <f t="shared" si="26"/>
        <v>0.10967445209185578</v>
      </c>
      <c r="M37" s="266">
        <f t="shared" si="26"/>
        <v>9.2292759706622318E-2</v>
      </c>
      <c r="N37" s="266">
        <f t="shared" si="26"/>
        <v>7.5183878189148734E-2</v>
      </c>
      <c r="O37" s="266">
        <f t="shared" si="26"/>
        <v>5.8458318455459901E-2</v>
      </c>
      <c r="P37" s="266">
        <f t="shared" si="26"/>
        <v>3.4583478591597938E-2</v>
      </c>
      <c r="Q37" s="266">
        <f t="shared" si="26"/>
        <v>2.9287092608303089E-2</v>
      </c>
    </row>
    <row r="38" spans="1:24" ht="3.75" customHeight="1" x14ac:dyDescent="0.35">
      <c r="B38" s="140"/>
      <c r="E38" s="142"/>
      <c r="F38" s="142"/>
      <c r="G38" s="143"/>
      <c r="H38" s="141"/>
      <c r="I38" s="141"/>
      <c r="J38" s="141"/>
      <c r="K38" s="141"/>
      <c r="L38" s="141"/>
      <c r="O38" s="144"/>
      <c r="P38" s="144"/>
      <c r="Q38" s="144"/>
    </row>
    <row r="39" spans="1:24" ht="15.5" x14ac:dyDescent="0.35">
      <c r="B39" s="260" t="s">
        <v>275</v>
      </c>
      <c r="E39" s="138">
        <f>+_xlfn.XLOOKUP($B39,Inputs!$B:$B,Inputs!O:O)</f>
        <v>28993.7</v>
      </c>
      <c r="F39" s="138">
        <f>+_xlfn.XLOOKUP($B39,Inputs!$B:$B,Inputs!P:P)</f>
        <v>33299.199999999997</v>
      </c>
      <c r="G39" s="254">
        <f>+_xlfn.XLOOKUP($B39,Inputs!$B:$B,Inputs!Q:Q)</f>
        <v>34364.800000000003</v>
      </c>
      <c r="H39" s="145">
        <f t="shared" ref="H39:Q39" si="27">H40*H$36</f>
        <v>51848.802377062719</v>
      </c>
      <c r="I39" s="145">
        <f t="shared" si="27"/>
        <v>60566.655762636205</v>
      </c>
      <c r="J39" s="145">
        <f t="shared" si="27"/>
        <v>69453.997828417167</v>
      </c>
      <c r="K39" s="145">
        <f t="shared" si="27"/>
        <v>78323.959902908202</v>
      </c>
      <c r="L39" s="145">
        <f t="shared" si="27"/>
        <v>86914.097290924125</v>
      </c>
      <c r="M39" s="145">
        <f t="shared" si="27"/>
        <v>94935.639187313398</v>
      </c>
      <c r="N39" s="145">
        <f t="shared" si="27"/>
        <v>102073.26871978135</v>
      </c>
      <c r="O39" s="145">
        <f t="shared" si="27"/>
        <v>108040.30036839207</v>
      </c>
      <c r="P39" s="145">
        <f t="shared" si="27"/>
        <v>111776.70978321217</v>
      </c>
      <c r="Q39" s="145">
        <f t="shared" si="27"/>
        <v>115050.32463408451</v>
      </c>
    </row>
    <row r="40" spans="1:24" s="261" customFormat="1" ht="14.5" x14ac:dyDescent="0.35">
      <c r="B40" s="270" t="s">
        <v>478</v>
      </c>
      <c r="E40" s="263">
        <f>IFERROR(E39/E$36,"")</f>
        <v>0.6497682736611865</v>
      </c>
      <c r="F40" s="263">
        <f>IFERROR(F39/F$36,"")</f>
        <v>1.0162822707892705</v>
      </c>
      <c r="G40" s="267">
        <f>IFERROR(G39/G$36,"")</f>
        <v>0.51916063632106113</v>
      </c>
      <c r="H40" s="288">
        <v>0.65</v>
      </c>
      <c r="I40" s="288">
        <f t="shared" ref="I40:Q40" si="28">+H40</f>
        <v>0.65</v>
      </c>
      <c r="J40" s="288">
        <f t="shared" si="28"/>
        <v>0.65</v>
      </c>
      <c r="K40" s="288">
        <f t="shared" si="28"/>
        <v>0.65</v>
      </c>
      <c r="L40" s="288">
        <f t="shared" si="28"/>
        <v>0.65</v>
      </c>
      <c r="M40" s="288">
        <f t="shared" si="28"/>
        <v>0.65</v>
      </c>
      <c r="N40" s="288">
        <f t="shared" si="28"/>
        <v>0.65</v>
      </c>
      <c r="O40" s="288">
        <f t="shared" si="28"/>
        <v>0.65</v>
      </c>
      <c r="P40" s="288">
        <f t="shared" si="28"/>
        <v>0.65</v>
      </c>
      <c r="Q40" s="288">
        <f t="shared" si="28"/>
        <v>0.65</v>
      </c>
      <c r="R40" s="261" t="s">
        <v>479</v>
      </c>
    </row>
    <row r="41" spans="1:24" ht="5.25" customHeight="1" x14ac:dyDescent="0.35">
      <c r="B41" s="140"/>
      <c r="E41" s="142"/>
      <c r="F41" s="142"/>
      <c r="G41" s="143"/>
      <c r="H41" s="148"/>
      <c r="I41" s="148"/>
      <c r="J41" s="148"/>
      <c r="K41" s="148"/>
      <c r="L41" s="148"/>
      <c r="M41" s="148"/>
      <c r="N41" s="148"/>
      <c r="O41" s="148"/>
      <c r="P41" s="148"/>
      <c r="Q41" s="148"/>
    </row>
    <row r="42" spans="1:24" ht="15.5" x14ac:dyDescent="0.35">
      <c r="B42" s="114" t="s">
        <v>276</v>
      </c>
      <c r="E42" s="138">
        <f>+_xlfn.XLOOKUP($B42,Inputs!$B:$B,Inputs!O:O)</f>
        <v>15627.899999999998</v>
      </c>
      <c r="F42" s="138">
        <f>+_xlfn.XLOOKUP($B42,Inputs!$B:$B,Inputs!P:P)</f>
        <v>-533.49999999999636</v>
      </c>
      <c r="G42" s="254">
        <f>+_xlfn.XLOOKUP($B42,Inputs!$B:$B,Inputs!Q:Q)</f>
        <v>31828.199999999997</v>
      </c>
      <c r="H42" s="145">
        <f t="shared" ref="H42:Q42" si="29">+H36-H39</f>
        <v>27918.585895341457</v>
      </c>
      <c r="I42" s="145">
        <f t="shared" si="29"/>
        <v>32612.814641419493</v>
      </c>
      <c r="J42" s="145">
        <f t="shared" si="29"/>
        <v>37398.306522993866</v>
      </c>
      <c r="K42" s="145">
        <f t="shared" si="29"/>
        <v>42174.439947719788</v>
      </c>
      <c r="L42" s="145">
        <f t="shared" si="29"/>
        <v>46799.898541266841</v>
      </c>
      <c r="M42" s="145">
        <f t="shared" si="29"/>
        <v>51119.190331630278</v>
      </c>
      <c r="N42" s="145">
        <f t="shared" si="29"/>
        <v>54962.529310651487</v>
      </c>
      <c r="O42" s="145">
        <f t="shared" si="29"/>
        <v>58175.546352211109</v>
      </c>
      <c r="P42" s="145">
        <f t="shared" si="29"/>
        <v>60187.459114037309</v>
      </c>
      <c r="Q42" s="145">
        <f t="shared" si="29"/>
        <v>61950.17480296857</v>
      </c>
      <c r="S42" s="188">
        <f>3362*1.03^(H34-$G$34)+0.0015*H36</f>
        <v>3582.5110824086064</v>
      </c>
    </row>
    <row r="43" spans="1:24" s="261" customFormat="1" ht="14.5" x14ac:dyDescent="0.35">
      <c r="B43" s="261" t="s">
        <v>37</v>
      </c>
      <c r="E43" s="263">
        <f t="shared" ref="E43:Q43" si="30">IFERROR(E42/E$36,"")</f>
        <v>0.35023172633881344</v>
      </c>
      <c r="F43" s="263">
        <f t="shared" si="30"/>
        <v>-1.6282270789270376E-2</v>
      </c>
      <c r="G43" s="267">
        <f t="shared" si="30"/>
        <v>0.48083936367893881</v>
      </c>
      <c r="H43" s="263">
        <f t="shared" si="30"/>
        <v>0.34999999999999992</v>
      </c>
      <c r="I43" s="263">
        <f t="shared" si="30"/>
        <v>0.35</v>
      </c>
      <c r="J43" s="263">
        <f t="shared" si="30"/>
        <v>0.35000000000000003</v>
      </c>
      <c r="K43" s="263">
        <f t="shared" si="30"/>
        <v>0.34999999999999992</v>
      </c>
      <c r="L43" s="263">
        <f t="shared" si="30"/>
        <v>0.35000000000000003</v>
      </c>
      <c r="M43" s="263">
        <f t="shared" si="30"/>
        <v>0.34999999999999992</v>
      </c>
      <c r="N43" s="263">
        <f t="shared" si="30"/>
        <v>0.35</v>
      </c>
      <c r="O43" s="263">
        <f t="shared" si="30"/>
        <v>0.35</v>
      </c>
      <c r="P43" s="263">
        <f t="shared" si="30"/>
        <v>0.35</v>
      </c>
      <c r="Q43" s="263">
        <f t="shared" si="30"/>
        <v>0.35</v>
      </c>
    </row>
    <row r="44" spans="1:24" ht="3.75" customHeight="1" x14ac:dyDescent="0.35">
      <c r="G44" s="146"/>
      <c r="H44" s="119"/>
      <c r="I44" s="119"/>
      <c r="J44" s="119"/>
      <c r="K44" s="119"/>
      <c r="L44" s="119"/>
      <c r="O44" s="119"/>
      <c r="P44" s="119"/>
      <c r="Q44" s="119"/>
    </row>
    <row r="45" spans="1:24" ht="14.25" customHeight="1" x14ac:dyDescent="0.35">
      <c r="B45" s="260" t="s">
        <v>480</v>
      </c>
      <c r="E45" s="138">
        <f>+_xlfn.XLOOKUP($B45,Inputs!$B:$B,Inputs!O:O)</f>
        <v>3664.5</v>
      </c>
      <c r="F45" s="138">
        <f>+_xlfn.XLOOKUP($B45,Inputs!$B:$B,Inputs!P:P)</f>
        <v>2859.1</v>
      </c>
      <c r="G45" s="254">
        <f>+_xlfn.XLOOKUP($B45,Inputs!$B:$B,Inputs!Q:Q)</f>
        <v>3364.9</v>
      </c>
      <c r="H45" s="145">
        <f>3362*1.03^(H34-$G$34)+0.0015*H36</f>
        <v>3582.5110824086064</v>
      </c>
      <c r="I45" s="145">
        <f>3362*1.03^(I34-$G$34)+0.0015*I36</f>
        <v>3706.5150056060834</v>
      </c>
      <c r="J45" s="145">
        <f t="shared" ref="J45:Q45" si="31">3362*1.03^(J34-$G$34)+0.0015*J36</f>
        <v>3834.0266305271166</v>
      </c>
      <c r="K45" s="145">
        <f t="shared" si="31"/>
        <v>3964.7082189959419</v>
      </c>
      <c r="L45" s="145">
        <f t="shared" si="31"/>
        <v>4098.0504315448861</v>
      </c>
      <c r="M45" s="145">
        <f t="shared" si="31"/>
        <v>4233.4860652089128</v>
      </c>
      <c r="N45" s="145">
        <f t="shared" si="31"/>
        <v>4370.3896326040622</v>
      </c>
      <c r="O45" s="145">
        <f t="shared" si="31"/>
        <v>4508.20478370607</v>
      </c>
      <c r="P45" s="145">
        <f t="shared" si="31"/>
        <v>4644.5936973797943</v>
      </c>
      <c r="Q45" s="145">
        <f t="shared" si="31"/>
        <v>4783.7476165105172</v>
      </c>
    </row>
    <row r="46" spans="1:24" s="261" customFormat="1" ht="14.5" x14ac:dyDescent="0.35">
      <c r="B46" s="270" t="s">
        <v>39</v>
      </c>
      <c r="E46" s="263">
        <f t="shared" ref="E46:Q46" si="32">IFERROR(E45/E$36,"")</f>
        <v>8.2123904118184918E-2</v>
      </c>
      <c r="F46" s="263">
        <f t="shared" si="32"/>
        <v>8.7258932359143851E-2</v>
      </c>
      <c r="G46" s="268">
        <f t="shared" si="32"/>
        <v>5.0834680404272359E-2</v>
      </c>
      <c r="H46" s="263">
        <f t="shared" si="32"/>
        <v>4.4911976686191561E-2</v>
      </c>
      <c r="I46" s="263">
        <f t="shared" si="32"/>
        <v>3.977823644557605E-2</v>
      </c>
      <c r="J46" s="263">
        <f t="shared" si="32"/>
        <v>3.588155308207433E-2</v>
      </c>
      <c r="K46" s="263">
        <f t="shared" si="32"/>
        <v>3.2902579817745851E-2</v>
      </c>
      <c r="L46" s="263">
        <f t="shared" si="32"/>
        <v>3.0647879498626886E-2</v>
      </c>
      <c r="M46" s="263">
        <f t="shared" si="32"/>
        <v>2.8985594513735811E-2</v>
      </c>
      <c r="N46" s="263">
        <f t="shared" si="32"/>
        <v>2.7830530919816767E-2</v>
      </c>
      <c r="O46" s="263">
        <f t="shared" si="32"/>
        <v>2.7122593138090113E-2</v>
      </c>
      <c r="P46" s="263">
        <f t="shared" si="32"/>
        <v>2.7009078269991181E-2</v>
      </c>
      <c r="Q46" s="263">
        <f t="shared" si="32"/>
        <v>2.7026746431366811E-2</v>
      </c>
    </row>
    <row r="47" spans="1:24" ht="3.75" customHeight="1" x14ac:dyDescent="0.35">
      <c r="B47" s="140"/>
      <c r="E47" s="142"/>
      <c r="F47" s="142"/>
      <c r="G47" s="143"/>
      <c r="H47" s="141"/>
      <c r="I47" s="141"/>
      <c r="J47" s="141"/>
      <c r="K47" s="141"/>
      <c r="L47" s="141"/>
      <c r="O47" s="119"/>
      <c r="P47" s="119"/>
      <c r="Q47" s="119"/>
    </row>
    <row r="48" spans="1:24" ht="15.5" x14ac:dyDescent="0.35">
      <c r="B48" s="260" t="s">
        <v>283</v>
      </c>
      <c r="E48" s="138">
        <f>+_xlfn.XLOOKUP($B48,Inputs!$B:$B,Inputs!O:O)</f>
        <v>4474.6000000000004</v>
      </c>
      <c r="F48" s="138">
        <f>+_xlfn.XLOOKUP($B48,Inputs!$B:$B,Inputs!P:P)</f>
        <v>3750.7</v>
      </c>
      <c r="G48" s="254">
        <f>+_xlfn.XLOOKUP($B48,Inputs!$B:$B,Inputs!Q:Q)</f>
        <v>4436.3</v>
      </c>
      <c r="H48" s="145">
        <f t="shared" ref="H48:Q48" si="33">+AVERAGE(E48:G48)*(1+H37)</f>
        <v>5086.0502034448391</v>
      </c>
      <c r="I48" s="145">
        <f t="shared" si="33"/>
        <v>5168.2599258896262</v>
      </c>
      <c r="J48" s="145">
        <f t="shared" si="33"/>
        <v>5615.4198553277201</v>
      </c>
      <c r="K48" s="145">
        <f t="shared" si="33"/>
        <v>5965.4837919212114</v>
      </c>
      <c r="L48" s="145">
        <f t="shared" si="33"/>
        <v>6195.3729703397994</v>
      </c>
      <c r="M48" s="145">
        <f t="shared" si="33"/>
        <v>6472.2994146447654</v>
      </c>
      <c r="N48" s="145">
        <f t="shared" si="33"/>
        <v>6678.023040396547</v>
      </c>
      <c r="O48" s="145">
        <f t="shared" si="33"/>
        <v>6825.5374164334589</v>
      </c>
      <c r="P48" s="145">
        <f t="shared" si="33"/>
        <v>6888.8981978962265</v>
      </c>
      <c r="Q48" s="145">
        <f t="shared" si="33"/>
        <v>6996.5648266193975</v>
      </c>
    </row>
    <row r="49" spans="2:18" s="261" customFormat="1" ht="14.5" hidden="1" x14ac:dyDescent="0.35">
      <c r="B49" s="270" t="s">
        <v>478</v>
      </c>
      <c r="E49" s="263">
        <f>IFERROR(E48/E36,"")</f>
        <v>0.10027878874805028</v>
      </c>
      <c r="F49" s="263">
        <f>IFERROR(F48/F36,"")</f>
        <v>0.11447031499403339</v>
      </c>
      <c r="G49" s="268">
        <f>IFERROR(G48/G36,"")</f>
        <v>6.7020681945220803E-2</v>
      </c>
      <c r="H49" s="288"/>
      <c r="I49" s="288"/>
      <c r="J49" s="288"/>
      <c r="K49" s="288"/>
      <c r="L49" s="288"/>
      <c r="M49" s="288"/>
      <c r="N49" s="288"/>
      <c r="O49" s="288"/>
      <c r="P49" s="288"/>
      <c r="Q49" s="288"/>
    </row>
    <row r="50" spans="2:18" s="229" customFormat="1" ht="5.25" customHeight="1" x14ac:dyDescent="0.35">
      <c r="B50" s="255"/>
      <c r="E50" s="256"/>
      <c r="F50" s="256"/>
      <c r="G50" s="257"/>
      <c r="H50" s="258"/>
      <c r="I50" s="258"/>
      <c r="J50" s="258"/>
      <c r="K50" s="258"/>
      <c r="L50" s="258"/>
      <c r="O50" s="259"/>
      <c r="P50" s="259"/>
      <c r="Q50" s="259"/>
    </row>
    <row r="51" spans="2:18" ht="15.5" x14ac:dyDescent="0.35">
      <c r="B51" s="446" t="s">
        <v>481</v>
      </c>
      <c r="E51" s="138">
        <f>+_xlfn.XLOOKUP($B51,Inputs!$B:$B,Inputs!O:O)</f>
        <v>0</v>
      </c>
      <c r="F51" s="138">
        <f>+_xlfn.XLOOKUP($B51,Inputs!$B:$B,Inputs!P:P)</f>
        <v>0</v>
      </c>
      <c r="G51" s="254">
        <f>+_xlfn.XLOOKUP($B51,Inputs!$B:$B,Inputs!Q:Q)</f>
        <v>0</v>
      </c>
      <c r="H51" s="145">
        <f t="shared" ref="H51:Q51" si="34">IFERROR(AVERAGE(E51:G51)*(1+H37),"")</f>
        <v>0</v>
      </c>
      <c r="I51" s="145">
        <f t="shared" si="34"/>
        <v>0</v>
      </c>
      <c r="J51" s="145">
        <f t="shared" si="34"/>
        <v>0</v>
      </c>
      <c r="K51" s="145">
        <f t="shared" si="34"/>
        <v>0</v>
      </c>
      <c r="L51" s="145">
        <f t="shared" si="34"/>
        <v>0</v>
      </c>
      <c r="M51" s="145">
        <f t="shared" si="34"/>
        <v>0</v>
      </c>
      <c r="N51" s="145">
        <f t="shared" si="34"/>
        <v>0</v>
      </c>
      <c r="O51" s="145">
        <f t="shared" si="34"/>
        <v>0</v>
      </c>
      <c r="P51" s="145">
        <f t="shared" si="34"/>
        <v>0</v>
      </c>
      <c r="Q51" s="145">
        <f t="shared" si="34"/>
        <v>0</v>
      </c>
    </row>
    <row r="52" spans="2:18" ht="5.25" customHeight="1" x14ac:dyDescent="0.35">
      <c r="B52" s="185"/>
      <c r="E52" s="138"/>
      <c r="F52" s="138"/>
      <c r="G52" s="254"/>
      <c r="H52" s="148"/>
      <c r="I52" s="148"/>
      <c r="J52" s="148"/>
      <c r="K52" s="148"/>
      <c r="L52" s="148"/>
      <c r="O52" s="147"/>
      <c r="P52" s="147"/>
      <c r="Q52" s="147"/>
    </row>
    <row r="53" spans="2:18" ht="15.5" x14ac:dyDescent="0.35">
      <c r="B53" s="185" t="s">
        <v>216</v>
      </c>
      <c r="E53" s="138">
        <f>+_xlfn.XLOOKUP($B53,Inputs!$B:$B,Inputs!O:O)</f>
        <v>7488.7999999999975</v>
      </c>
      <c r="F53" s="138">
        <f>+_xlfn.XLOOKUP($B53,Inputs!$B:$B,Inputs!P:P)</f>
        <v>-7143.2999999999956</v>
      </c>
      <c r="G53" s="254">
        <f>+_xlfn.XLOOKUP($B53,Inputs!$B:$B,Inputs!Q:Q)</f>
        <v>24026.999999999996</v>
      </c>
      <c r="H53" s="145">
        <f t="shared" ref="H53:Q53" si="35">IFERROR(H42-H45-H48-H51,"")</f>
        <v>19250.024609488009</v>
      </c>
      <c r="I53" s="145">
        <f t="shared" si="35"/>
        <v>23738.039709923782</v>
      </c>
      <c r="J53" s="145">
        <f t="shared" si="35"/>
        <v>27948.860037139031</v>
      </c>
      <c r="K53" s="145">
        <f t="shared" si="35"/>
        <v>32244.247936802636</v>
      </c>
      <c r="L53" s="145">
        <f t="shared" si="35"/>
        <v>36506.475139382157</v>
      </c>
      <c r="M53" s="145">
        <f t="shared" si="35"/>
        <v>40413.404851776599</v>
      </c>
      <c r="N53" s="145">
        <f t="shared" si="35"/>
        <v>43914.116637650877</v>
      </c>
      <c r="O53" s="145">
        <f t="shared" si="35"/>
        <v>46841.804152071585</v>
      </c>
      <c r="P53" s="145">
        <f t="shared" si="35"/>
        <v>48653.967218761289</v>
      </c>
      <c r="Q53" s="145">
        <f t="shared" si="35"/>
        <v>50169.862359838655</v>
      </c>
    </row>
    <row r="54" spans="2:18" s="261" customFormat="1" ht="14.5" x14ac:dyDescent="0.35">
      <c r="B54" s="261" t="s">
        <v>35</v>
      </c>
      <c r="E54" s="263">
        <f t="shared" ref="E54:Q54" si="36">IFERROR(E53/E$36,"")</f>
        <v>0.16782903347257824</v>
      </c>
      <c r="F54" s="263">
        <f t="shared" si="36"/>
        <v>-0.2180115181424476</v>
      </c>
      <c r="G54" s="267">
        <f t="shared" si="36"/>
        <v>0.36298400132944564</v>
      </c>
      <c r="H54" s="263">
        <f t="shared" si="36"/>
        <v>0.24132700125205964</v>
      </c>
      <c r="I54" s="263">
        <f t="shared" si="36"/>
        <v>0.25475611319733976</v>
      </c>
      <c r="J54" s="263">
        <f t="shared" si="36"/>
        <v>0.26156534673526632</v>
      </c>
      <c r="K54" s="263">
        <f t="shared" si="36"/>
        <v>0.26759067321037616</v>
      </c>
      <c r="L54" s="263">
        <f t="shared" si="36"/>
        <v>0.27301910254179546</v>
      </c>
      <c r="M54" s="263">
        <f t="shared" si="36"/>
        <v>0.27670022952945134</v>
      </c>
      <c r="N54" s="263">
        <f t="shared" si="36"/>
        <v>0.27964398683885133</v>
      </c>
      <c r="O54" s="263">
        <f t="shared" si="36"/>
        <v>0.28181310672988524</v>
      </c>
      <c r="P54" s="263">
        <f t="shared" si="36"/>
        <v>0.28293084269102931</v>
      </c>
      <c r="Q54" s="263">
        <f t="shared" si="36"/>
        <v>0.28344475026569421</v>
      </c>
    </row>
    <row r="55" spans="2:18" ht="3.75" customHeight="1" x14ac:dyDescent="0.35">
      <c r="B55" s="140"/>
      <c r="E55" s="142"/>
      <c r="F55" s="142"/>
      <c r="G55" s="150"/>
      <c r="H55" s="142"/>
      <c r="I55" s="142"/>
      <c r="J55" s="142"/>
      <c r="K55" s="142"/>
      <c r="L55" s="142"/>
      <c r="O55" s="147"/>
      <c r="P55" s="147"/>
      <c r="Q55" s="147"/>
    </row>
    <row r="56" spans="2:18" ht="13.5" customHeight="1" x14ac:dyDescent="0.35">
      <c r="B56" s="260" t="s">
        <v>482</v>
      </c>
      <c r="E56" s="138">
        <f>+_xlfn.XLOOKUP($B56,Inputs!$B:$B,Inputs!O:O)</f>
        <v>679.4</v>
      </c>
      <c r="F56" s="138">
        <f>+_xlfn.XLOOKUP($B56,Inputs!$B:$B,Inputs!P:P)</f>
        <v>587.1</v>
      </c>
      <c r="G56" s="254">
        <f>+_xlfn.XLOOKUP($B56,Inputs!$B:$B,Inputs!Q:Q)</f>
        <v>559.6</v>
      </c>
      <c r="H56" s="162">
        <f t="shared" ref="H56:Q56" si="37">+IFERROR(H59+H61,"")</f>
        <v>674.8408054106377</v>
      </c>
      <c r="I56" s="162">
        <f t="shared" si="37"/>
        <v>788.30848316696915</v>
      </c>
      <c r="J56" s="162">
        <f t="shared" si="37"/>
        <v>903.98214972565347</v>
      </c>
      <c r="K56" s="162">
        <f t="shared" si="37"/>
        <v>1019.4296060965914</v>
      </c>
      <c r="L56" s="162">
        <f t="shared" si="37"/>
        <v>1131.2349895914515</v>
      </c>
      <c r="M56" s="162">
        <f t="shared" si="37"/>
        <v>1235.6397886575387</v>
      </c>
      <c r="N56" s="162">
        <f t="shared" si="37"/>
        <v>1328.5399800136324</v>
      </c>
      <c r="O56" s="162">
        <f t="shared" si="37"/>
        <v>1406.2041932460797</v>
      </c>
      <c r="P56" s="162">
        <f t="shared" si="37"/>
        <v>1454.8356258586209</v>
      </c>
      <c r="Q56" s="162">
        <f t="shared" si="37"/>
        <v>1497.4435315630008</v>
      </c>
    </row>
    <row r="57" spans="2:18" ht="13.5" customHeight="1" x14ac:dyDescent="0.35">
      <c r="B57" s="270" t="s">
        <v>483</v>
      </c>
      <c r="E57" s="280">
        <f>IFERROR(E56/AVERAGE(Inputs!O39+Inputs!O42+Inputs!O44,Inputs!N39+Inputs!N42+Inputs!N44),"")</f>
        <v>1.1399118472645639E-2</v>
      </c>
      <c r="F57" s="280">
        <f>IFERROR(F56/AVERAGE(Inputs!P39+Inputs!P42+Inputs!P44,Inputs!O39+Inputs!O42+Inputs!O44),"")</f>
        <v>9.8663812009390818E-3</v>
      </c>
      <c r="G57" s="267">
        <f>IFERROR(G56/AVERAGE(Inputs!Q39+Inputs!Q42+Inputs!Q44,Inputs!P39+Inputs!P42+Inputs!P44),"")</f>
        <v>9.3503464189727166E-3</v>
      </c>
      <c r="H57" s="142">
        <f t="shared" ref="H57:Q57" si="38">IFERROR(H56/(G103+G109),"")</f>
        <v>1.0253710901895753E-2</v>
      </c>
      <c r="I57" s="142">
        <f t="shared" si="38"/>
        <v>1.0965789463886979E-2</v>
      </c>
      <c r="J57" s="142">
        <f t="shared" si="38"/>
        <v>1.1465594978268536E-2</v>
      </c>
      <c r="K57" s="142">
        <f t="shared" si="38"/>
        <v>1.1689226915185475E-2</v>
      </c>
      <c r="L57" s="142">
        <f t="shared" si="38"/>
        <v>1.1740007924693858E-2</v>
      </c>
      <c r="M57" s="142">
        <f t="shared" si="38"/>
        <v>1.1606427214070137E-2</v>
      </c>
      <c r="N57" s="142">
        <f t="shared" si="38"/>
        <v>1.1304472920256315E-2</v>
      </c>
      <c r="O57" s="142">
        <f t="shared" si="38"/>
        <v>1.088135267197088E-2</v>
      </c>
      <c r="P57" s="142">
        <f t="shared" si="38"/>
        <v>1.0280826901148713E-2</v>
      </c>
      <c r="Q57" s="142">
        <f t="shared" si="38"/>
        <v>9.7199534055475642E-3</v>
      </c>
    </row>
    <row r="58" spans="2:18" ht="5.25" customHeight="1" x14ac:dyDescent="0.35">
      <c r="B58" s="140"/>
      <c r="E58" s="142"/>
      <c r="F58" s="142"/>
      <c r="G58" s="150"/>
      <c r="H58" s="142"/>
      <c r="I58" s="142"/>
      <c r="J58" s="142"/>
      <c r="K58" s="142"/>
      <c r="L58" s="142"/>
      <c r="O58" s="147"/>
      <c r="P58" s="147"/>
      <c r="Q58" s="147"/>
    </row>
    <row r="59" spans="2:18" s="140" customFormat="1" ht="15.5" x14ac:dyDescent="0.35">
      <c r="B59" s="283" t="s">
        <v>484</v>
      </c>
      <c r="E59" s="284">
        <f>+_xlfn.XLOOKUP($B59,Inputs!$B:$B,Inputs!O:O)</f>
        <v>265</v>
      </c>
      <c r="F59" s="284">
        <f>+_xlfn.XLOOKUP($B59,Inputs!$B:$B,Inputs!P:P)</f>
        <v>304</v>
      </c>
      <c r="G59" s="285">
        <f>+_xlfn.XLOOKUP($B59,Inputs!$B:$B,Inputs!Q:Q)</f>
        <v>303</v>
      </c>
      <c r="H59" s="286">
        <f t="shared" ref="H59:Q59" si="39">+G59*(1+H37)</f>
        <v>365.1370786418272</v>
      </c>
      <c r="I59" s="286">
        <f t="shared" si="39"/>
        <v>426.53119714212801</v>
      </c>
      <c r="J59" s="286">
        <f t="shared" si="39"/>
        <v>489.11891315513037</v>
      </c>
      <c r="K59" s="286">
        <f t="shared" si="39"/>
        <v>551.58423329869152</v>
      </c>
      <c r="L59" s="286">
        <f t="shared" si="39"/>
        <v>612.07893186823185</v>
      </c>
      <c r="M59" s="286">
        <f t="shared" si="39"/>
        <v>668.56938564863265</v>
      </c>
      <c r="N59" s="286">
        <f t="shared" si="39"/>
        <v>718.83502490023341</v>
      </c>
      <c r="O59" s="286">
        <f t="shared" si="39"/>
        <v>760.85691170278972</v>
      </c>
      <c r="P59" s="286">
        <f t="shared" si="39"/>
        <v>787.16999041993245</v>
      </c>
      <c r="Q59" s="286">
        <f t="shared" si="39"/>
        <v>810.22391082783804</v>
      </c>
      <c r="R59" s="261"/>
    </row>
    <row r="60" spans="2:18" ht="3.75" customHeight="1" x14ac:dyDescent="0.35">
      <c r="B60" s="140"/>
      <c r="E60" s="142"/>
      <c r="F60" s="142"/>
      <c r="G60" s="150"/>
      <c r="H60" s="148"/>
      <c r="I60" s="148"/>
      <c r="J60" s="148"/>
      <c r="K60" s="148"/>
      <c r="L60" s="148"/>
      <c r="M60" s="148"/>
      <c r="N60" s="148"/>
      <c r="O60" s="148"/>
      <c r="P60" s="148"/>
      <c r="Q60" s="148"/>
    </row>
    <row r="61" spans="2:18" s="140" customFormat="1" ht="15.5" x14ac:dyDescent="0.35">
      <c r="B61" s="283" t="s">
        <v>485</v>
      </c>
      <c r="E61" s="284">
        <f>+_xlfn.XLOOKUP($B61,Inputs!$B:$B,Inputs!O:O)</f>
        <v>414</v>
      </c>
      <c r="F61" s="284">
        <f>+_xlfn.XLOOKUP($B61,Inputs!$B:$B,Inputs!P:P)</f>
        <v>283</v>
      </c>
      <c r="G61" s="285">
        <f>+_xlfn.XLOOKUP($B61,Inputs!$B:$B,Inputs!Q:Q)</f>
        <v>257</v>
      </c>
      <c r="H61" s="849">
        <f t="shared" ref="H61:Q61" si="40">G61*(1+H37)</f>
        <v>309.7037267688105</v>
      </c>
      <c r="I61" s="162">
        <f t="shared" si="40"/>
        <v>361.7772860248412</v>
      </c>
      <c r="J61" s="162">
        <f t="shared" si="40"/>
        <v>414.86323657052304</v>
      </c>
      <c r="K61" s="162">
        <f t="shared" si="40"/>
        <v>467.84537279789993</v>
      </c>
      <c r="L61" s="162">
        <f t="shared" si="40"/>
        <v>519.15605772321965</v>
      </c>
      <c r="M61" s="162">
        <f t="shared" si="40"/>
        <v>567.07040300890606</v>
      </c>
      <c r="N61" s="162">
        <f t="shared" si="40"/>
        <v>609.70495511339914</v>
      </c>
      <c r="O61" s="162">
        <f t="shared" si="40"/>
        <v>645.34728154329014</v>
      </c>
      <c r="P61" s="162">
        <f t="shared" si="40"/>
        <v>667.66563543868847</v>
      </c>
      <c r="Q61" s="162">
        <f t="shared" si="40"/>
        <v>687.21962073516283</v>
      </c>
    </row>
    <row r="62" spans="2:18" ht="4.1500000000000004" customHeight="1" x14ac:dyDescent="0.35">
      <c r="G62" s="146"/>
    </row>
    <row r="63" spans="2:18" ht="15.5" x14ac:dyDescent="0.35">
      <c r="B63" s="114" t="s">
        <v>277</v>
      </c>
      <c r="E63" s="138">
        <f>+_xlfn.XLOOKUP($B63,Inputs!$B:$B,Inputs!O:O)</f>
        <v>6809.3999999999978</v>
      </c>
      <c r="F63" s="138">
        <f>+_xlfn.XLOOKUP($B63,Inputs!$B:$B,Inputs!P:P)</f>
        <v>-7730.399999999996</v>
      </c>
      <c r="G63" s="254">
        <f>+_xlfn.XLOOKUP($B63,Inputs!$B:$B,Inputs!Q:Q)</f>
        <v>23467.399999999998</v>
      </c>
      <c r="H63" s="149">
        <f t="shared" ref="H63:Q63" si="41">+IFERROR(H53-H56,"")</f>
        <v>18575.183804077373</v>
      </c>
      <c r="I63" s="149">
        <f t="shared" si="41"/>
        <v>22949.731226756812</v>
      </c>
      <c r="J63" s="149">
        <f t="shared" si="41"/>
        <v>27044.877887413379</v>
      </c>
      <c r="K63" s="149">
        <f t="shared" si="41"/>
        <v>31224.818330706046</v>
      </c>
      <c r="L63" s="149">
        <f t="shared" si="41"/>
        <v>35375.240149790705</v>
      </c>
      <c r="M63" s="149">
        <f t="shared" si="41"/>
        <v>39177.765063119063</v>
      </c>
      <c r="N63" s="149">
        <f t="shared" si="41"/>
        <v>42585.576657637248</v>
      </c>
      <c r="O63" s="149">
        <f t="shared" si="41"/>
        <v>45435.599958825507</v>
      </c>
      <c r="P63" s="149">
        <f t="shared" si="41"/>
        <v>47199.131592902668</v>
      </c>
      <c r="Q63" s="149">
        <f t="shared" si="41"/>
        <v>48672.418828275651</v>
      </c>
    </row>
    <row r="64" spans="2:18" s="271" customFormat="1" ht="14.5" x14ac:dyDescent="0.35">
      <c r="B64" s="261" t="s">
        <v>227</v>
      </c>
      <c r="E64" s="263">
        <f>IFERROR(E63/E$36,"")</f>
        <v>0.15260322355092595</v>
      </c>
      <c r="F64" s="263">
        <f>IFERROR(F63/F$36,"")</f>
        <v>-0.23592964594072446</v>
      </c>
      <c r="G64" s="267">
        <f>IFERROR(G63/G$36,"")</f>
        <v>0.35452993518952153</v>
      </c>
      <c r="H64" s="263">
        <f t="shared" ref="H64:Q64" si="42">IFERROR(H63/H36,"")</f>
        <v>0.23286689217708192</v>
      </c>
      <c r="I64" s="263">
        <f t="shared" si="42"/>
        <v>0.24629600412236202</v>
      </c>
      <c r="J64" s="263">
        <f t="shared" si="42"/>
        <v>0.25310523766028858</v>
      </c>
      <c r="K64" s="263">
        <f t="shared" si="42"/>
        <v>0.25913056413539848</v>
      </c>
      <c r="L64" s="263">
        <f t="shared" si="42"/>
        <v>0.26455899346681777</v>
      </c>
      <c r="M64" s="263">
        <f t="shared" si="42"/>
        <v>0.26824012045447365</v>
      </c>
      <c r="N64" s="263">
        <f t="shared" si="42"/>
        <v>0.27118387776387365</v>
      </c>
      <c r="O64" s="263">
        <f t="shared" si="42"/>
        <v>0.2733529976549075</v>
      </c>
      <c r="P64" s="263">
        <f t="shared" si="42"/>
        <v>0.27447073361605162</v>
      </c>
      <c r="Q64" s="263">
        <f t="shared" si="42"/>
        <v>0.27498464119071647</v>
      </c>
    </row>
    <row r="65" spans="2:17" customFormat="1" ht="3.75" customHeight="1" x14ac:dyDescent="0.35">
      <c r="B65" s="114"/>
      <c r="E65" s="263"/>
      <c r="F65" s="263"/>
      <c r="G65" s="268"/>
      <c r="H65" s="93"/>
      <c r="I65" s="93"/>
      <c r="J65" s="93"/>
      <c r="K65" s="93"/>
      <c r="L65" s="93"/>
      <c r="M65" s="93"/>
      <c r="N65" s="93"/>
      <c r="O65" s="93"/>
      <c r="P65" s="93"/>
      <c r="Q65" s="93"/>
    </row>
    <row r="66" spans="2:17" customFormat="1" ht="13.5" hidden="1" customHeight="1" x14ac:dyDescent="0.35">
      <c r="B66" s="260" t="s">
        <v>278</v>
      </c>
      <c r="E66" s="138">
        <f>+_xlfn.XLOOKUP($B66,Inputs!$B:$B,Inputs!O:O)</f>
        <v>443.5</v>
      </c>
      <c r="F66" s="138">
        <f>+_xlfn.XLOOKUP($B66,Inputs!$B:$B,Inputs!P:P)</f>
        <v>1251.8999999999999</v>
      </c>
      <c r="G66" s="254">
        <f>+_xlfn.XLOOKUP($B66,Inputs!$B:$B,Inputs!Q:Q)</f>
        <v>1000.4000000000001</v>
      </c>
      <c r="H66" s="149">
        <f>-H69-H72</f>
        <v>0</v>
      </c>
      <c r="I66" s="149">
        <f t="shared" ref="I66:Q66" si="43">-I69-I72</f>
        <v>0</v>
      </c>
      <c r="J66" s="149">
        <f t="shared" si="43"/>
        <v>0</v>
      </c>
      <c r="K66" s="149">
        <f t="shared" si="43"/>
        <v>0</v>
      </c>
      <c r="L66" s="149">
        <f t="shared" si="43"/>
        <v>0</v>
      </c>
      <c r="M66" s="149">
        <f t="shared" si="43"/>
        <v>0</v>
      </c>
      <c r="N66" s="149">
        <f t="shared" si="43"/>
        <v>0</v>
      </c>
      <c r="O66" s="149">
        <f t="shared" si="43"/>
        <v>0</v>
      </c>
      <c r="P66" s="149">
        <f t="shared" si="43"/>
        <v>0</v>
      </c>
      <c r="Q66" s="149">
        <f t="shared" si="43"/>
        <v>0</v>
      </c>
    </row>
    <row r="67" spans="2:17" customFormat="1" ht="13.5" hidden="1" customHeight="1" x14ac:dyDescent="0.35">
      <c r="B67" s="282" t="s">
        <v>486</v>
      </c>
      <c r="E67" s="280">
        <f>IFERROR(E66/AVERAGE(Inputs!N116:O116),"")</f>
        <v>3.8113162146368292E-2</v>
      </c>
      <c r="F67" s="280">
        <f>IFERROR(F66/AVERAGE(Inputs!O116:P116),"")</f>
        <v>7.5374342980655165E-2</v>
      </c>
      <c r="G67" s="267">
        <f>IFERROR(G66/AVERAGE(Inputs!P116:Q116),"")</f>
        <v>7.8000249500998001E-2</v>
      </c>
      <c r="H67" s="280">
        <f>IFERROR(H66/AVERAGE(G120+G122,H120+H122),"")</f>
        <v>0</v>
      </c>
      <c r="I67" s="280">
        <f t="shared" ref="I67:Q67" si="44">IFERROR(I66/AVERAGE(H120+H122,I120+I122),"")</f>
        <v>0</v>
      </c>
      <c r="J67" s="280">
        <f t="shared" si="44"/>
        <v>0</v>
      </c>
      <c r="K67" s="280">
        <f t="shared" si="44"/>
        <v>0</v>
      </c>
      <c r="L67" s="280">
        <f t="shared" si="44"/>
        <v>0</v>
      </c>
      <c r="M67" s="280">
        <f t="shared" si="44"/>
        <v>0</v>
      </c>
      <c r="N67" s="280">
        <f t="shared" si="44"/>
        <v>0</v>
      </c>
      <c r="O67" s="280">
        <f t="shared" si="44"/>
        <v>0</v>
      </c>
      <c r="P67" s="280">
        <f t="shared" si="44"/>
        <v>0</v>
      </c>
      <c r="Q67" s="280">
        <f t="shared" si="44"/>
        <v>0</v>
      </c>
    </row>
    <row r="68" spans="2:17" customFormat="1" ht="3.75" hidden="1" customHeight="1" x14ac:dyDescent="0.35">
      <c r="B68" s="114"/>
      <c r="E68" s="263"/>
      <c r="F68" s="263"/>
      <c r="G68" s="267"/>
      <c r="H68" s="93"/>
      <c r="I68" s="93"/>
      <c r="J68" s="93"/>
      <c r="K68" s="93"/>
      <c r="L68" s="93"/>
      <c r="M68" s="93"/>
      <c r="N68" s="93"/>
      <c r="O68" s="93"/>
      <c r="P68" s="93"/>
      <c r="Q68" s="93"/>
    </row>
    <row r="69" spans="2:17" customFormat="1" ht="15.5" hidden="1" x14ac:dyDescent="0.35">
      <c r="B69" s="281" t="s">
        <v>487</v>
      </c>
      <c r="E69" s="138">
        <f>+_xlfn.XLOOKUP($B69,Inputs!$B:$B,Inputs!O:O)</f>
        <v>533.1</v>
      </c>
      <c r="F69" s="138">
        <f>+_xlfn.XLOOKUP($B69,Inputs!$B:$B,Inputs!P:P)</f>
        <v>1468.3</v>
      </c>
      <c r="G69" s="254">
        <f>+_xlfn.XLOOKUP($B69,Inputs!$B:$B,Inputs!Q:Q)</f>
        <v>1345.2</v>
      </c>
      <c r="H69" s="149"/>
      <c r="I69" s="149"/>
      <c r="J69" s="149"/>
      <c r="K69" s="149"/>
      <c r="L69" s="149"/>
      <c r="M69" s="149"/>
      <c r="N69" s="149"/>
      <c r="O69" s="149"/>
      <c r="P69" s="149"/>
      <c r="Q69" s="149"/>
    </row>
    <row r="70" spans="2:17" s="271" customFormat="1" ht="14.5" hidden="1" x14ac:dyDescent="0.35">
      <c r="B70" s="282" t="s">
        <v>488</v>
      </c>
      <c r="E70" s="280">
        <f>+IFERROR(E69/AVERAGE(Inputs!N113:O113),"")</f>
        <v>2.8278316774436527E-2</v>
      </c>
      <c r="F70" s="280">
        <f>+IFERROR(F69/AVERAGE(Inputs!O113:P113),"")</f>
        <v>6.1193572653562192E-2</v>
      </c>
      <c r="G70" s="267">
        <f>+IFERROR(G69/AVERAGE(Inputs!P113:Q113),"")</f>
        <v>5.5736135884798726E-2</v>
      </c>
      <c r="H70" s="290"/>
      <c r="I70" s="290"/>
      <c r="J70" s="290"/>
      <c r="K70" s="290"/>
      <c r="L70" s="290"/>
      <c r="M70" s="290"/>
      <c r="N70" s="290"/>
      <c r="O70" s="290"/>
      <c r="P70" s="290"/>
      <c r="Q70" s="290"/>
    </row>
    <row r="71" spans="2:17" customFormat="1" ht="3.75" hidden="1" customHeight="1" x14ac:dyDescent="0.35">
      <c r="B71" s="244"/>
      <c r="E71" s="263"/>
      <c r="F71" s="263"/>
      <c r="G71" s="268"/>
      <c r="H71" s="93"/>
      <c r="I71" s="93"/>
      <c r="J71" s="93"/>
      <c r="K71" s="93"/>
      <c r="L71" s="93"/>
      <c r="M71" s="93"/>
      <c r="N71" s="93"/>
      <c r="O71" s="93"/>
      <c r="P71" s="93"/>
      <c r="Q71" s="93"/>
    </row>
    <row r="72" spans="2:17" customFormat="1" ht="15.5" hidden="1" x14ac:dyDescent="0.35">
      <c r="B72" s="281" t="s">
        <v>489</v>
      </c>
      <c r="E72" s="138">
        <f>+_xlfn.XLOOKUP($B72,Inputs!$B:$B,Inputs!O:O)</f>
        <v>89.6</v>
      </c>
      <c r="F72" s="138">
        <f>+_xlfn.XLOOKUP($B72,Inputs!$B:$B,Inputs!P:P)</f>
        <v>216.4</v>
      </c>
      <c r="G72" s="254">
        <f>+_xlfn.XLOOKUP($B72,Inputs!$B:$B,Inputs!Q:Q)</f>
        <v>344.8</v>
      </c>
      <c r="H72" s="149"/>
      <c r="I72" s="149"/>
      <c r="J72" s="149"/>
      <c r="K72" s="149"/>
      <c r="L72" s="149"/>
      <c r="M72" s="149"/>
      <c r="N72" s="149"/>
      <c r="O72" s="149"/>
      <c r="P72" s="149"/>
      <c r="Q72" s="149"/>
    </row>
    <row r="73" spans="2:17" s="271" customFormat="1" ht="14.5" hidden="1" x14ac:dyDescent="0.35">
      <c r="B73" s="282" t="s">
        <v>490</v>
      </c>
      <c r="E73" s="263">
        <f>IFERROR(E72/+AVERAGE(Inputs!N32:O32),"")</f>
        <v>1.241771187027926E-2</v>
      </c>
      <c r="F73" s="263">
        <f>IFERROR(F72/+AVERAGE(Inputs!O32:P32),"")</f>
        <v>2.9301648556243867E-2</v>
      </c>
      <c r="G73" s="267">
        <f>IFERROR(G72/+AVERAGE(Inputs!P32:Q32),"")</f>
        <v>3.0487508344717522E-2</v>
      </c>
      <c r="H73" s="290"/>
      <c r="I73" s="290"/>
      <c r="J73" s="290"/>
      <c r="K73" s="290"/>
      <c r="L73" s="290"/>
      <c r="M73" s="290"/>
      <c r="N73" s="290"/>
      <c r="O73" s="290"/>
      <c r="P73" s="290"/>
      <c r="Q73" s="290"/>
    </row>
    <row r="74" spans="2:17" s="271" customFormat="1" ht="3.75" hidden="1" customHeight="1" x14ac:dyDescent="0.35">
      <c r="B74" s="270"/>
      <c r="E74" s="263"/>
      <c r="F74" s="263"/>
      <c r="G74" s="267"/>
      <c r="H74" s="269"/>
      <c r="I74" s="269"/>
      <c r="J74" s="269"/>
      <c r="K74" s="269"/>
      <c r="L74" s="269"/>
      <c r="M74" s="269"/>
      <c r="N74" s="269"/>
      <c r="O74" s="269"/>
      <c r="P74" s="269"/>
      <c r="Q74" s="269"/>
    </row>
    <row r="75" spans="2:17" s="271" customFormat="1" ht="15.5" hidden="1" x14ac:dyDescent="0.35">
      <c r="B75" s="260" t="s">
        <v>491</v>
      </c>
      <c r="E75" s="277">
        <f>+_xlfn.XLOOKUP($B75,Inputs!$B:$B,Inputs!O:O)</f>
        <v>405.2</v>
      </c>
      <c r="F75" s="277">
        <f>+_xlfn.XLOOKUP($B75,Inputs!$B:$B,Inputs!P:P)</f>
        <v>318.8</v>
      </c>
      <c r="G75" s="278">
        <f>+_xlfn.XLOOKUP($B75,Inputs!$B:$B,Inputs!Q:Q)</f>
        <v>-268.8</v>
      </c>
      <c r="H75" s="149">
        <f>+H76*H$17</f>
        <v>0</v>
      </c>
      <c r="I75" s="149">
        <f t="shared" ref="I75:Q75" si="45">+I76*I$17</f>
        <v>0</v>
      </c>
      <c r="J75" s="149">
        <f t="shared" si="45"/>
        <v>0</v>
      </c>
      <c r="K75" s="149">
        <f t="shared" si="45"/>
        <v>0</v>
      </c>
      <c r="L75" s="149">
        <f t="shared" si="45"/>
        <v>0</v>
      </c>
      <c r="M75" s="149">
        <f t="shared" si="45"/>
        <v>0</v>
      </c>
      <c r="N75" s="149">
        <f t="shared" si="45"/>
        <v>0</v>
      </c>
      <c r="O75" s="149">
        <f t="shared" si="45"/>
        <v>0</v>
      </c>
      <c r="P75" s="149">
        <f t="shared" si="45"/>
        <v>0</v>
      </c>
      <c r="Q75" s="149">
        <f t="shared" si="45"/>
        <v>0</v>
      </c>
    </row>
    <row r="76" spans="2:17" s="271" customFormat="1" ht="14.5" hidden="1" x14ac:dyDescent="0.35">
      <c r="B76" s="282" t="s">
        <v>478</v>
      </c>
      <c r="E76" s="263"/>
      <c r="F76" s="263"/>
      <c r="G76" s="267"/>
      <c r="H76" s="290"/>
      <c r="I76" s="290"/>
      <c r="J76" s="290"/>
      <c r="K76" s="290"/>
      <c r="L76" s="290"/>
      <c r="M76" s="290"/>
      <c r="N76" s="290"/>
      <c r="O76" s="290"/>
      <c r="P76" s="290"/>
      <c r="Q76" s="290"/>
    </row>
    <row r="77" spans="2:17" s="271" customFormat="1" ht="5.25" hidden="1" customHeight="1" x14ac:dyDescent="0.35">
      <c r="B77" s="282"/>
      <c r="E77" s="263"/>
      <c r="F77" s="263"/>
      <c r="G77" s="267"/>
      <c r="H77" s="269"/>
      <c r="I77" s="269"/>
      <c r="J77" s="269"/>
      <c r="K77" s="269"/>
      <c r="L77" s="269"/>
      <c r="M77" s="269"/>
      <c r="N77" s="269"/>
      <c r="O77" s="269"/>
      <c r="P77" s="269"/>
      <c r="Q77" s="269"/>
    </row>
    <row r="78" spans="2:17" s="271" customFormat="1" ht="15.5" hidden="1" x14ac:dyDescent="0.35">
      <c r="B78" s="260" t="s">
        <v>492</v>
      </c>
      <c r="E78" s="277">
        <f>+_xlfn.XLOOKUP($B78,Inputs!$B:$B,Inputs!O:O)</f>
        <v>1957.9</v>
      </c>
      <c r="F78" s="277">
        <f>+_xlfn.XLOOKUP($B78,Inputs!$B:$B,Inputs!P:P)</f>
        <v>2356.8000000000002</v>
      </c>
      <c r="G78" s="278">
        <f>+_xlfn.XLOOKUP($B78,Inputs!$B:$B,Inputs!Q:Q)</f>
        <v>-1149.7</v>
      </c>
      <c r="H78" s="289">
        <f t="shared" ref="H78:Q78" si="46">IFERROR(AVERAGE(E78:G78)*(1+H37),"")</f>
        <v>1271.3518744789694</v>
      </c>
      <c r="I78" s="289">
        <f t="shared" si="46"/>
        <v>965.05952322784162</v>
      </c>
      <c r="J78" s="289">
        <f t="shared" si="46"/>
        <v>415.39055940968075</v>
      </c>
      <c r="K78" s="289">
        <f t="shared" si="46"/>
        <v>996.82109335523899</v>
      </c>
      <c r="L78" s="289">
        <f t="shared" si="46"/>
        <v>879.33236323117649</v>
      </c>
      <c r="M78" s="289">
        <f t="shared" si="46"/>
        <v>834.34564574052411</v>
      </c>
      <c r="N78" s="289">
        <f t="shared" si="46"/>
        <v>971.42831222269501</v>
      </c>
      <c r="O78" s="289">
        <f t="shared" si="46"/>
        <v>947.35770720184871</v>
      </c>
      <c r="P78" s="289">
        <f t="shared" si="46"/>
        <v>949.44817838905146</v>
      </c>
      <c r="Q78" s="289">
        <f t="shared" si="46"/>
        <v>984.07881279575463</v>
      </c>
    </row>
    <row r="79" spans="2:17" ht="3.75" hidden="1" customHeight="1" x14ac:dyDescent="0.35">
      <c r="B79" s="140"/>
      <c r="G79" s="135"/>
      <c r="H79" s="119"/>
      <c r="I79" s="119"/>
      <c r="J79" s="119"/>
      <c r="K79" s="119"/>
      <c r="L79" s="119"/>
      <c r="O79" s="119"/>
      <c r="P79" s="119"/>
      <c r="Q79" s="119"/>
    </row>
    <row r="80" spans="2:17" ht="13.5" hidden="1" customHeight="1" x14ac:dyDescent="0.35">
      <c r="B80" s="185" t="s">
        <v>279</v>
      </c>
      <c r="E80" s="277">
        <f>+_xlfn.XLOOKUP($B80,Inputs!$B:$B,Inputs!O:O)</f>
        <v>4002.7999999999979</v>
      </c>
      <c r="F80" s="277">
        <f>+_xlfn.XLOOKUP($B80,Inputs!$B:$B,Inputs!P:P)</f>
        <v>-11657.899999999994</v>
      </c>
      <c r="G80" s="278">
        <f>+_xlfn.XLOOKUP($B80,Inputs!$B:$B,Inputs!Q:Q)</f>
        <v>23885.499999999996</v>
      </c>
      <c r="H80" s="145">
        <f>IFERROR(+H63-H66-H75-H78,"")</f>
        <v>17303.831929598404</v>
      </c>
      <c r="I80" s="145">
        <f t="shared" ref="I80:Q80" si="47">IFERROR(+I63-I66-I75-I78,"")</f>
        <v>21984.671703528969</v>
      </c>
      <c r="J80" s="145">
        <f t="shared" si="47"/>
        <v>26629.487328003699</v>
      </c>
      <c r="K80" s="145">
        <f t="shared" si="47"/>
        <v>30227.997237350806</v>
      </c>
      <c r="L80" s="145">
        <f t="shared" si="47"/>
        <v>34495.907786559532</v>
      </c>
      <c r="M80" s="145">
        <f t="shared" si="47"/>
        <v>38343.419417378536</v>
      </c>
      <c r="N80" s="145">
        <f t="shared" si="47"/>
        <v>41614.148345414556</v>
      </c>
      <c r="O80" s="145">
        <f t="shared" si="47"/>
        <v>44488.242251623662</v>
      </c>
      <c r="P80" s="145">
        <f t="shared" si="47"/>
        <v>46249.683414513616</v>
      </c>
      <c r="Q80" s="145">
        <f t="shared" si="47"/>
        <v>47688.340015479895</v>
      </c>
    </row>
    <row r="81" spans="1:17" ht="5.25" hidden="1" customHeight="1" x14ac:dyDescent="0.35">
      <c r="G81" s="135"/>
      <c r="H81" s="119"/>
      <c r="I81" s="119"/>
      <c r="J81" s="119"/>
      <c r="K81" s="119"/>
      <c r="L81" s="119"/>
      <c r="O81" s="119"/>
      <c r="P81" s="119"/>
      <c r="Q81" s="119"/>
    </row>
    <row r="82" spans="1:17" ht="15.5" hidden="1" x14ac:dyDescent="0.35">
      <c r="B82" s="114" t="s">
        <v>280</v>
      </c>
      <c r="E82" s="138">
        <f>+_xlfn.XLOOKUP($B82,Inputs!$B:$B,Inputs!O:O)</f>
        <v>1761.1</v>
      </c>
      <c r="F82" s="138">
        <f>+_xlfn.XLOOKUP($B82,Inputs!$B:$B,Inputs!P:P)</f>
        <v>-2520.3000000000002</v>
      </c>
      <c r="G82" s="254">
        <f>+_xlfn.XLOOKUP($B82,Inputs!$B:$B,Inputs!Q:Q)</f>
        <v>4088.4</v>
      </c>
      <c r="H82" s="145">
        <f t="shared" ref="H82:Q82" si="48">IFERROR(H83*H$63,"")</f>
        <v>5122.5514671551891</v>
      </c>
      <c r="I82" s="145">
        <f t="shared" si="48"/>
        <v>5072.8751688180391</v>
      </c>
      <c r="J82" s="145">
        <f t="shared" si="48"/>
        <v>6021.8435216452172</v>
      </c>
      <c r="K82" s="145">
        <f t="shared" si="48"/>
        <v>7488.5230652921909</v>
      </c>
      <c r="L82" s="145">
        <f t="shared" si="48"/>
        <v>8060.0131143782128</v>
      </c>
      <c r="M82" s="145">
        <f t="shared" si="48"/>
        <v>9015.2018744349443</v>
      </c>
      <c r="N82" s="145">
        <f t="shared" si="48"/>
        <v>9905.1141611612984</v>
      </c>
      <c r="O82" s="145">
        <f t="shared" si="48"/>
        <v>10458.467516711373</v>
      </c>
      <c r="P82" s="145">
        <f t="shared" si="48"/>
        <v>10901.198832515875</v>
      </c>
      <c r="Q82" s="145">
        <f t="shared" si="48"/>
        <v>11255.289909813822</v>
      </c>
    </row>
    <row r="83" spans="1:17" s="261" customFormat="1" ht="14.5" hidden="1" x14ac:dyDescent="0.35">
      <c r="B83" s="261" t="s">
        <v>493</v>
      </c>
      <c r="E83" s="263">
        <f>IFERROR(E82/E80,"")</f>
        <v>0.4399670230838415</v>
      </c>
      <c r="F83" s="263">
        <f t="shared" ref="F83:G83" si="49">IFERROR(F82/F80,"")</f>
        <v>0.21618816424913589</v>
      </c>
      <c r="G83" s="267">
        <f t="shared" si="49"/>
        <v>0.17116660735592726</v>
      </c>
      <c r="H83" s="288">
        <f>IFERROR(AVERAGE(E83:G83),"")</f>
        <v>0.2757739315629682</v>
      </c>
      <c r="I83" s="288">
        <f t="shared" ref="I83:Q83" si="50">IFERROR(AVERAGE(F83:H83),"")</f>
        <v>0.22104290105601043</v>
      </c>
      <c r="J83" s="288">
        <f t="shared" si="50"/>
        <v>0.22266114665830194</v>
      </c>
      <c r="K83" s="288">
        <f t="shared" si="50"/>
        <v>0.23982599309242683</v>
      </c>
      <c r="L83" s="288">
        <f t="shared" si="50"/>
        <v>0.22784334693557973</v>
      </c>
      <c r="M83" s="288">
        <f t="shared" si="50"/>
        <v>0.23011016222876948</v>
      </c>
      <c r="N83" s="288">
        <f t="shared" si="50"/>
        <v>0.23259316741892533</v>
      </c>
      <c r="O83" s="288">
        <f t="shared" si="50"/>
        <v>0.23018222552775816</v>
      </c>
      <c r="P83" s="288">
        <f t="shared" si="50"/>
        <v>0.23096185172515096</v>
      </c>
      <c r="Q83" s="288">
        <f t="shared" si="50"/>
        <v>0.23124574822394481</v>
      </c>
    </row>
    <row r="84" spans="1:17" s="261" customFormat="1" ht="3.75" hidden="1" customHeight="1" x14ac:dyDescent="0.35">
      <c r="E84" s="263"/>
      <c r="F84" s="263"/>
      <c r="G84" s="267"/>
      <c r="H84" s="280"/>
      <c r="I84" s="280"/>
      <c r="J84" s="280"/>
      <c r="K84" s="280"/>
      <c r="L84" s="280"/>
      <c r="M84" s="280"/>
      <c r="N84" s="280"/>
      <c r="O84" s="280"/>
      <c r="P84" s="280"/>
      <c r="Q84" s="280"/>
    </row>
    <row r="85" spans="1:17" s="261" customFormat="1" ht="15.5" hidden="1" x14ac:dyDescent="0.35">
      <c r="B85" s="114" t="s">
        <v>281</v>
      </c>
      <c r="E85" s="138">
        <f>+_xlfn.XLOOKUP($B85,Inputs!$B:$B,Inputs!O:O)</f>
        <v>2241.699999999998</v>
      </c>
      <c r="F85" s="138">
        <f>+_xlfn.XLOOKUP($B85,Inputs!$B:$B,Inputs!P:P)</f>
        <v>-9137.5999999999949</v>
      </c>
      <c r="G85" s="254">
        <f>+_xlfn.XLOOKUP($B85,Inputs!$B:$B,Inputs!Q:Q)</f>
        <v>19797.099999999995</v>
      </c>
      <c r="H85" s="145">
        <f>IFERROR(+H80-H82,"")</f>
        <v>12181.280462443214</v>
      </c>
      <c r="I85" s="145">
        <f t="shared" ref="I85:Q85" si="51">IFERROR(+I80-I82,"")</f>
        <v>16911.796534710931</v>
      </c>
      <c r="J85" s="145">
        <f t="shared" si="51"/>
        <v>20607.643806358483</v>
      </c>
      <c r="K85" s="145">
        <f t="shared" si="51"/>
        <v>22739.474172058617</v>
      </c>
      <c r="L85" s="145">
        <f t="shared" si="51"/>
        <v>26435.894672181319</v>
      </c>
      <c r="M85" s="145">
        <f t="shared" si="51"/>
        <v>29328.217542943592</v>
      </c>
      <c r="N85" s="145">
        <f t="shared" si="51"/>
        <v>31709.034184253258</v>
      </c>
      <c r="O85" s="145">
        <f t="shared" si="51"/>
        <v>34029.774734912287</v>
      </c>
      <c r="P85" s="145">
        <f t="shared" si="51"/>
        <v>35348.484581997742</v>
      </c>
      <c r="Q85" s="145">
        <f t="shared" si="51"/>
        <v>36433.050105666072</v>
      </c>
    </row>
    <row r="86" spans="1:17" s="261" customFormat="1" ht="14.5" hidden="1" x14ac:dyDescent="0.35">
      <c r="B86" s="261" t="s">
        <v>41</v>
      </c>
      <c r="E86" s="263">
        <f t="shared" ref="E86:Q86" si="52">IFERROR(E85/E$36,"")</f>
        <v>5.0238001326711683E-2</v>
      </c>
      <c r="F86" s="263">
        <f t="shared" si="52"/>
        <v>-0.27887699637120511</v>
      </c>
      <c r="G86" s="267">
        <f t="shared" si="52"/>
        <v>0.29908147387185946</v>
      </c>
      <c r="H86" s="263">
        <f t="shared" si="52"/>
        <v>0.15271003258680557</v>
      </c>
      <c r="I86" s="263">
        <f t="shared" si="52"/>
        <v>0.18149702355439482</v>
      </c>
      <c r="J86" s="263">
        <f t="shared" si="52"/>
        <v>0.19286101438285314</v>
      </c>
      <c r="K86" s="263">
        <f t="shared" si="52"/>
        <v>0.18871183517994333</v>
      </c>
      <c r="L86" s="263">
        <f t="shared" si="52"/>
        <v>0.19770476910553153</v>
      </c>
      <c r="M86" s="263">
        <f t="shared" si="52"/>
        <v>0.20080279193465253</v>
      </c>
      <c r="N86" s="263">
        <f t="shared" si="52"/>
        <v>0.20192232969776858</v>
      </c>
      <c r="O86" s="263">
        <f t="shared" si="52"/>
        <v>0.20473243319642007</v>
      </c>
      <c r="P86" s="263">
        <f t="shared" si="52"/>
        <v>0.2055572670090294</v>
      </c>
      <c r="Q86" s="263">
        <f t="shared" si="52"/>
        <v>0.2058358604723757</v>
      </c>
    </row>
    <row r="87" spans="1:17" ht="3.75" hidden="1" customHeight="1" x14ac:dyDescent="0.35">
      <c r="B87" s="140"/>
      <c r="G87" s="135"/>
    </row>
    <row r="88" spans="1:17" ht="15.5" x14ac:dyDescent="0.35">
      <c r="A88" s="114" t="s">
        <v>440</v>
      </c>
      <c r="B88" s="43" t="s">
        <v>284</v>
      </c>
      <c r="C88" s="47"/>
      <c r="D88" s="47"/>
      <c r="E88" s="125">
        <f t="shared" ref="E88:Q88" si="53">E34</f>
        <v>2022</v>
      </c>
      <c r="F88" s="125">
        <f t="shared" si="53"/>
        <v>2023</v>
      </c>
      <c r="G88" s="126">
        <f t="shared" si="53"/>
        <v>2024</v>
      </c>
      <c r="H88" s="90">
        <f t="shared" si="53"/>
        <v>2025</v>
      </c>
      <c r="I88" s="90">
        <f t="shared" si="53"/>
        <v>2026</v>
      </c>
      <c r="J88" s="90">
        <f t="shared" si="53"/>
        <v>2027</v>
      </c>
      <c r="K88" s="90">
        <f t="shared" si="53"/>
        <v>2028</v>
      </c>
      <c r="L88" s="90">
        <f t="shared" si="53"/>
        <v>2029</v>
      </c>
      <c r="M88" s="90">
        <f t="shared" si="53"/>
        <v>2030</v>
      </c>
      <c r="N88" s="90">
        <f t="shared" si="53"/>
        <v>2031</v>
      </c>
      <c r="O88" s="90">
        <f t="shared" si="53"/>
        <v>2032</v>
      </c>
      <c r="P88" s="90">
        <f t="shared" si="53"/>
        <v>2033</v>
      </c>
      <c r="Q88" s="90">
        <f t="shared" si="53"/>
        <v>2034</v>
      </c>
    </row>
    <row r="89" spans="1:17" ht="4.1500000000000004" customHeight="1" x14ac:dyDescent="0.35">
      <c r="B89" s="152"/>
      <c r="C89" s="44"/>
      <c r="D89" s="44"/>
      <c r="E89" s="44"/>
      <c r="F89" s="44"/>
      <c r="G89" s="153"/>
      <c r="H89" s="44"/>
      <c r="I89" s="44"/>
      <c r="J89" s="44"/>
      <c r="K89" s="44"/>
      <c r="L89" s="44"/>
      <c r="M89" s="44"/>
      <c r="N89" s="44"/>
      <c r="O89" s="44"/>
      <c r="P89" s="44"/>
      <c r="Q89" s="44"/>
    </row>
    <row r="90" spans="1:17" ht="13.5" customHeight="1" x14ac:dyDescent="0.35">
      <c r="B90" s="137" t="s">
        <v>494</v>
      </c>
      <c r="G90" s="146"/>
    </row>
    <row r="91" spans="1:17" ht="5.25" customHeight="1" x14ac:dyDescent="0.35">
      <c r="B91" s="140"/>
      <c r="G91" s="146"/>
    </row>
    <row r="92" spans="1:17" ht="13.5" customHeight="1" x14ac:dyDescent="0.35">
      <c r="B92" s="114" t="s">
        <v>495</v>
      </c>
      <c r="E92" s="138">
        <f>+_xlfn.XLOOKUP($B92,Inputs!$B:$B,Inputs!O:O)</f>
        <v>6079.4</v>
      </c>
      <c r="F92" s="138">
        <f>+_xlfn.XLOOKUP($B92,Inputs!$B:$B,Inputs!P:P)</f>
        <v>8691.1</v>
      </c>
      <c r="G92" s="254">
        <f>+_xlfn.XLOOKUP($B92,Inputs!$B:$B,Inputs!Q:Q)</f>
        <v>13928</v>
      </c>
      <c r="H92" s="156">
        <f>IFERROR(G92+H170,"")</f>
        <v>1273.7702856637115</v>
      </c>
      <c r="I92" s="156">
        <f t="shared" ref="I92:Q92" si="54">IFERROR(H92+I170,"")</f>
        <v>8284.098004076166</v>
      </c>
      <c r="J92" s="156">
        <f t="shared" si="54"/>
        <v>198.41483234998122</v>
      </c>
      <c r="K92" s="156">
        <f t="shared" si="54"/>
        <v>4358.5569135185269</v>
      </c>
      <c r="L92" s="156">
        <f t="shared" si="54"/>
        <v>-5395.5746568919876</v>
      </c>
      <c r="M92" s="156">
        <f t="shared" si="54"/>
        <v>-932.83210477585635</v>
      </c>
      <c r="N92" s="156">
        <f t="shared" si="54"/>
        <v>-10550.794888388396</v>
      </c>
      <c r="O92" s="156">
        <f t="shared" si="54"/>
        <v>-6073.4949419913883</v>
      </c>
      <c r="P92" s="156">
        <f t="shared" si="54"/>
        <v>-14749.754023740008</v>
      </c>
      <c r="Q92" s="156">
        <f t="shared" si="54"/>
        <v>-9941.2201186709008</v>
      </c>
    </row>
    <row r="93" spans="1:17" ht="3.75" customHeight="1" x14ac:dyDescent="0.35">
      <c r="E93" s="138"/>
      <c r="F93" s="138"/>
      <c r="G93" s="254"/>
    </row>
    <row r="94" spans="1:17" ht="15.5" x14ac:dyDescent="0.35">
      <c r="B94" s="114" t="s">
        <v>286</v>
      </c>
      <c r="E94" s="138">
        <f>+_xlfn.XLOOKUP($B94,Inputs!$B:$B,Inputs!O:O)</f>
        <v>5186.1000000000004</v>
      </c>
      <c r="F94" s="138">
        <f>+_xlfn.XLOOKUP($B94,Inputs!$B:$B,Inputs!P:P)</f>
        <v>6600.3</v>
      </c>
      <c r="G94" s="254">
        <f>+_xlfn.XLOOKUP($B94,Inputs!$B:$B,Inputs!Q:Q)</f>
        <v>13019</v>
      </c>
      <c r="H94" s="156">
        <f t="shared" ref="H94:Q94" si="55">IFERROR(H95*H36/365,"")</f>
        <v>15731.82678622622</v>
      </c>
      <c r="I94" s="156">
        <f t="shared" si="55"/>
        <v>18507.985977581844</v>
      </c>
      <c r="J94" s="156">
        <f t="shared" si="55"/>
        <v>21123.627143971757</v>
      </c>
      <c r="K94" s="156">
        <f t="shared" si="55"/>
        <v>23840.147778109931</v>
      </c>
      <c r="L94" s="156">
        <f t="shared" si="55"/>
        <v>26482.655221183322</v>
      </c>
      <c r="M94" s="156">
        <f t="shared" si="55"/>
        <v>28898.924931359328</v>
      </c>
      <c r="N94" s="156">
        <f t="shared" si="55"/>
        <v>31080.744342078688</v>
      </c>
      <c r="O94" s="156">
        <f t="shared" si="55"/>
        <v>32901.839898189945</v>
      </c>
      <c r="P94" s="156">
        <f t="shared" si="55"/>
        <v>34033.508912072095</v>
      </c>
      <c r="Q94" s="156">
        <f t="shared" si="55"/>
        <v>35033.020390226229</v>
      </c>
    </row>
    <row r="95" spans="1:17" ht="15.5" x14ac:dyDescent="0.35">
      <c r="B95" s="140" t="s">
        <v>496</v>
      </c>
      <c r="E95" s="295">
        <f>IFERROR(E94/E36*365,"")</f>
        <v>42.42175314197609</v>
      </c>
      <c r="F95" s="295">
        <f>IFERROR(F94/F36*365,"")</f>
        <v>73.525348153709515</v>
      </c>
      <c r="G95" s="296">
        <f>IFERROR(G94/G36*366,"")</f>
        <v>71.985768887948879</v>
      </c>
      <c r="H95" s="297">
        <f>+G95</f>
        <v>71.985768887948879</v>
      </c>
      <c r="I95" s="297">
        <f>IFERROR(AVERAGE(F95:H95),"")</f>
        <v>72.498961976535767</v>
      </c>
      <c r="J95" s="297">
        <f t="shared" ref="J95:Q95" si="56">IFERROR(AVERAGE(G95:I95),"")</f>
        <v>72.156833250811175</v>
      </c>
      <c r="K95" s="297">
        <f>IFERROR(AVERAGE(H95:J95),"")</f>
        <v>72.213854705098598</v>
      </c>
      <c r="L95" s="297">
        <f>IFERROR(AVERAGE(I95:K95),"")</f>
        <v>72.289883310815185</v>
      </c>
      <c r="M95" s="297">
        <f>IFERROR(AVERAGE(J95:L95),"")</f>
        <v>72.220190422241657</v>
      </c>
      <c r="N95" s="297">
        <f t="shared" si="56"/>
        <v>72.241309479385151</v>
      </c>
      <c r="O95" s="297">
        <f t="shared" si="56"/>
        <v>72.250461070814012</v>
      </c>
      <c r="P95" s="297">
        <f t="shared" si="56"/>
        <v>72.237320324146935</v>
      </c>
      <c r="Q95" s="297">
        <f t="shared" si="56"/>
        <v>72.243030291448704</v>
      </c>
    </row>
    <row r="96" spans="1:17" ht="3.75" customHeight="1" x14ac:dyDescent="0.35">
      <c r="E96" s="157"/>
      <c r="F96" s="157"/>
      <c r="G96" s="158"/>
      <c r="H96" s="156"/>
      <c r="I96" s="156"/>
      <c r="J96" s="156"/>
      <c r="K96" s="156"/>
      <c r="L96" s="156"/>
      <c r="O96" s="156"/>
      <c r="P96" s="156"/>
      <c r="Q96" s="156"/>
    </row>
    <row r="97" spans="2:17" ht="15.5" x14ac:dyDescent="0.35">
      <c r="B97" s="114" t="s">
        <v>497</v>
      </c>
      <c r="E97" s="138">
        <f>+_xlfn.XLOOKUP($B97,Inputs!$B:$B,Inputs!O:O)</f>
        <v>15664.7</v>
      </c>
      <c r="F97" s="138">
        <f>+_xlfn.XLOOKUP($B97,Inputs!$B:$B,Inputs!P:P)</f>
        <v>13480.7</v>
      </c>
      <c r="G97" s="254">
        <f>+_xlfn.XLOOKUP($B97,Inputs!$B:$B,Inputs!Q:Q)</f>
        <v>13313.9</v>
      </c>
      <c r="H97" s="156">
        <f t="shared" ref="H97:Q97" si="57">+IFERROR(H98*H39/365,"")</f>
        <v>17046.181603417881</v>
      </c>
      <c r="I97" s="156">
        <f t="shared" si="57"/>
        <v>19912.32518223656</v>
      </c>
      <c r="J97" s="156">
        <f t="shared" si="57"/>
        <v>22834.191066876876</v>
      </c>
      <c r="K97" s="156">
        <f t="shared" si="57"/>
        <v>25750.342981778038</v>
      </c>
      <c r="L97" s="156">
        <f t="shared" si="57"/>
        <v>28574.497739481907</v>
      </c>
      <c r="M97" s="156">
        <f t="shared" si="57"/>
        <v>31211.716993089336</v>
      </c>
      <c r="N97" s="156">
        <f t="shared" si="57"/>
        <v>33558.33492157195</v>
      </c>
      <c r="O97" s="156">
        <f t="shared" si="57"/>
        <v>35520.098751252182</v>
      </c>
      <c r="P97" s="156">
        <f t="shared" si="57"/>
        <v>36748.507325987557</v>
      </c>
      <c r="Q97" s="156">
        <f t="shared" si="57"/>
        <v>37824.764263260658</v>
      </c>
    </row>
    <row r="98" spans="2:17" ht="15.5" x14ac:dyDescent="0.35">
      <c r="B98" s="140" t="s">
        <v>498</v>
      </c>
      <c r="E98" s="295">
        <f>IFERROR(E97/E39*365,"")</f>
        <v>197.20199560594196</v>
      </c>
      <c r="F98" s="295">
        <f>IFERROR(F97/F39*365,"")</f>
        <v>147.76497633576784</v>
      </c>
      <c r="G98" s="296">
        <f>IFERROR(G97/G39*365,"")</f>
        <v>141.41137151969457</v>
      </c>
      <c r="H98" s="297">
        <v>120</v>
      </c>
      <c r="I98" s="297">
        <f>+H98</f>
        <v>120</v>
      </c>
      <c r="J98" s="297">
        <f t="shared" ref="J98:Q98" si="58">+I98</f>
        <v>120</v>
      </c>
      <c r="K98" s="297">
        <f t="shared" si="58"/>
        <v>120</v>
      </c>
      <c r="L98" s="297">
        <f t="shared" si="58"/>
        <v>120</v>
      </c>
      <c r="M98" s="297">
        <f t="shared" si="58"/>
        <v>120</v>
      </c>
      <c r="N98" s="297">
        <f t="shared" si="58"/>
        <v>120</v>
      </c>
      <c r="O98" s="297">
        <f t="shared" si="58"/>
        <v>120</v>
      </c>
      <c r="P98" s="297">
        <f t="shared" si="58"/>
        <v>120</v>
      </c>
      <c r="Q98" s="297">
        <f t="shared" si="58"/>
        <v>120</v>
      </c>
    </row>
    <row r="99" spans="2:17" ht="4.1500000000000004" customHeight="1" x14ac:dyDescent="0.35">
      <c r="G99" s="146"/>
    </row>
    <row r="100" spans="2:17" ht="15.5" x14ac:dyDescent="0.35">
      <c r="B100" s="114" t="s">
        <v>499</v>
      </c>
      <c r="E100" s="138">
        <f>+_xlfn.XLOOKUP($B100,Inputs!$B:$B,Inputs!O:O)</f>
        <v>1803.1000000000022</v>
      </c>
      <c r="F100" s="138">
        <f>+_xlfn.XLOOKUP($B100,Inputs!$B:$B,Inputs!P:P)</f>
        <v>1696</v>
      </c>
      <c r="G100" s="254">
        <f>+_xlfn.XLOOKUP($B100,Inputs!$B:$B,Inputs!Q:Q)</f>
        <v>2018.0000000000018</v>
      </c>
      <c r="H100" s="156">
        <f t="shared" ref="H100:Q100" si="59">IFERROR(AVERAGE(E100:G100)*(1+H37),"")</f>
        <v>2216.1691711494236</v>
      </c>
      <c r="I100" s="156">
        <f t="shared" si="59"/>
        <v>2309.0891099804048</v>
      </c>
      <c r="J100" s="156">
        <f t="shared" si="59"/>
        <v>2501.1311407022254</v>
      </c>
      <c r="K100" s="156">
        <f t="shared" si="59"/>
        <v>2641.2429355872259</v>
      </c>
      <c r="L100" s="156">
        <f t="shared" si="59"/>
        <v>2756.2327761688789</v>
      </c>
      <c r="M100" s="156">
        <f t="shared" si="59"/>
        <v>2875.863692236449</v>
      </c>
      <c r="N100" s="156">
        <f t="shared" si="59"/>
        <v>2965.1203819866046</v>
      </c>
      <c r="O100" s="156">
        <f t="shared" si="59"/>
        <v>3033.2652302875968</v>
      </c>
      <c r="P100" s="156">
        <f t="shared" si="59"/>
        <v>3060.3839051165651</v>
      </c>
      <c r="Q100" s="156">
        <f t="shared" si="59"/>
        <v>3108.0248463879548</v>
      </c>
    </row>
    <row r="101" spans="2:17" s="261" customFormat="1" ht="14.5" x14ac:dyDescent="0.35">
      <c r="B101" s="261" t="s">
        <v>478</v>
      </c>
      <c r="E101" s="292">
        <f>IFERROR(E100/E$36,"")</f>
        <v>4.0408680997543842E-2</v>
      </c>
      <c r="F101" s="292">
        <f>IFERROR(F100/F$36,"")</f>
        <v>5.1761445658111985E-2</v>
      </c>
      <c r="G101" s="293">
        <f>IFERROR(G100/G$36,"")</f>
        <v>3.0486607345187586E-2</v>
      </c>
      <c r="H101" s="292">
        <f>IFERROR(AVERAGE(E101:G101),"")</f>
        <v>4.0885578000281135E-2</v>
      </c>
      <c r="I101" s="292">
        <f t="shared" ref="I101:Q101" si="60">IFERROR(AVERAGE(F101:H101),"")</f>
        <v>4.1044543667860235E-2</v>
      </c>
      <c r="J101" s="292">
        <f t="shared" si="60"/>
        <v>3.7472243004442983E-2</v>
      </c>
      <c r="K101" s="292">
        <f t="shared" si="60"/>
        <v>3.9800788224194784E-2</v>
      </c>
      <c r="L101" s="292">
        <f t="shared" si="60"/>
        <v>3.9439191632165999E-2</v>
      </c>
      <c r="M101" s="292">
        <f t="shared" si="60"/>
        <v>3.8904074286934591E-2</v>
      </c>
      <c r="N101" s="292">
        <f t="shared" si="60"/>
        <v>3.938135138109846E-2</v>
      </c>
      <c r="O101" s="292">
        <f t="shared" si="60"/>
        <v>3.9241539100066357E-2</v>
      </c>
      <c r="P101" s="292">
        <f t="shared" si="60"/>
        <v>3.9175654922699803E-2</v>
      </c>
      <c r="Q101" s="292">
        <f t="shared" si="60"/>
        <v>3.9266181801288207E-2</v>
      </c>
    </row>
    <row r="102" spans="2:17" ht="3.75" customHeight="1" x14ac:dyDescent="0.35">
      <c r="E102" s="157"/>
      <c r="F102" s="157"/>
      <c r="G102" s="158"/>
      <c r="H102" s="156"/>
      <c r="I102" s="156"/>
      <c r="J102" s="156"/>
      <c r="K102" s="156"/>
      <c r="L102" s="156"/>
      <c r="O102" s="156"/>
      <c r="P102" s="156"/>
      <c r="Q102" s="156"/>
    </row>
    <row r="103" spans="2:17" ht="15.5" x14ac:dyDescent="0.35">
      <c r="B103" s="114" t="s">
        <v>500</v>
      </c>
      <c r="E103" s="138">
        <f>+E104+E105-E107</f>
        <v>62008.5</v>
      </c>
      <c r="F103" s="138">
        <f t="shared" ref="F103:G103" si="61">+F104+F105-F107</f>
        <v>55399.699999999983</v>
      </c>
      <c r="G103" s="254">
        <f t="shared" si="61"/>
        <v>62644.3</v>
      </c>
      <c r="H103" s="156">
        <f>IFERROR(H104+H105-H107,"")</f>
        <v>68717.982690444798</v>
      </c>
      <c r="I103" s="156">
        <f>IFERROR(I104+I105-I107,"")</f>
        <v>75673.021355544799</v>
      </c>
      <c r="J103" s="156">
        <f t="shared" ref="J103:Q103" si="62">IFERROR(J104+J105-J107,"")</f>
        <v>84041.037435867591</v>
      </c>
      <c r="K103" s="156">
        <f t="shared" si="62"/>
        <v>93187.259453975246</v>
      </c>
      <c r="L103" s="156">
        <f t="shared" si="62"/>
        <v>103291.68419163549</v>
      </c>
      <c r="M103" s="156">
        <f t="shared" si="62"/>
        <v>114353.39002316876</v>
      </c>
      <c r="N103" s="156">
        <f t="shared" si="62"/>
        <v>126060.64214877447</v>
      </c>
      <c r="O103" s="156">
        <f t="shared" si="62"/>
        <v>138339.59254999878</v>
      </c>
      <c r="P103" s="156">
        <f t="shared" si="62"/>
        <v>150888.71500457503</v>
      </c>
      <c r="Q103" s="156">
        <f t="shared" si="62"/>
        <v>163595.23760342377</v>
      </c>
    </row>
    <row r="104" spans="2:17" ht="15.5" x14ac:dyDescent="0.35">
      <c r="B104" s="260" t="s">
        <v>501</v>
      </c>
      <c r="E104" s="300">
        <f>+_xlfn.XLOOKUP("Gross PP&amp;E (Property, Plant and Equipment)",Inputs!$B:$B,Inputs!O:O)</f>
        <v>134442.4</v>
      </c>
      <c r="F104" s="300">
        <f>+_xlfn.XLOOKUP("Gross PP&amp;E (Property, Plant and Equipment)",Inputs!$B:$B,Inputs!P:P)</f>
        <v>139076.29999999999</v>
      </c>
      <c r="G104" s="305">
        <f>+_xlfn.XLOOKUP("Gross PP&amp;E (Property, Plant and Equipment)",Inputs!$B:$B,Inputs!Q:Q)</f>
        <v>159664.6</v>
      </c>
      <c r="H104" s="303">
        <f>+IFERROR(G104-H138,"")</f>
        <v>186842.94071991171</v>
      </c>
      <c r="I104" s="303">
        <f t="shared" ref="I104:Q104" si="63">+IFERROR(H104-I138,"")</f>
        <v>218451.17288720832</v>
      </c>
      <c r="J104" s="303">
        <f t="shared" si="63"/>
        <v>255089.90701205313</v>
      </c>
      <c r="K104" s="303">
        <f t="shared" si="63"/>
        <v>296117.29722462274</v>
      </c>
      <c r="L104" s="303">
        <f t="shared" si="63"/>
        <v>341599.43981052085</v>
      </c>
      <c r="M104" s="303">
        <f t="shared" si="63"/>
        <v>391303.97070262814</v>
      </c>
      <c r="N104" s="303">
        <f t="shared" si="63"/>
        <v>444559.36534104659</v>
      </c>
      <c r="O104" s="303">
        <f t="shared" si="63"/>
        <v>500815.29280133051</v>
      </c>
      <c r="P104" s="303">
        <f t="shared" si="63"/>
        <v>558862.26915961155</v>
      </c>
      <c r="Q104" s="303">
        <f t="shared" si="63"/>
        <v>618399.14552292193</v>
      </c>
    </row>
    <row r="105" spans="2:17" ht="15.5" x14ac:dyDescent="0.35">
      <c r="B105" s="298" t="s">
        <v>502</v>
      </c>
      <c r="C105" s="140"/>
      <c r="D105" s="140"/>
      <c r="E105" s="300">
        <f>+_xlfn.XLOOKUP("Right-of-Use Assets",Inputs!$B:$B,Inputs!O:O)</f>
        <v>0</v>
      </c>
      <c r="F105" s="300">
        <f>+_xlfn.XLOOKUP("Right-of-Use Assets",Inputs!$B:$B,Inputs!P:P)</f>
        <v>0</v>
      </c>
      <c r="G105" s="305">
        <f>+_xlfn.XLOOKUP("Right-of-Use Assets",Inputs!$B:$B,Inputs!Q:Q)</f>
        <v>0</v>
      </c>
      <c r="H105" s="303">
        <f t="shared" ref="H105:Q105" si="64">IFERROR(H106*H$36,"")</f>
        <v>0</v>
      </c>
      <c r="I105" s="303">
        <f t="shared" si="64"/>
        <v>0</v>
      </c>
      <c r="J105" s="303">
        <f t="shared" si="64"/>
        <v>0</v>
      </c>
      <c r="K105" s="303">
        <f t="shared" si="64"/>
        <v>0</v>
      </c>
      <c r="L105" s="303">
        <f t="shared" si="64"/>
        <v>0</v>
      </c>
      <c r="M105" s="303">
        <f t="shared" si="64"/>
        <v>0</v>
      </c>
      <c r="N105" s="303">
        <f t="shared" si="64"/>
        <v>0</v>
      </c>
      <c r="O105" s="303">
        <f t="shared" si="64"/>
        <v>0</v>
      </c>
      <c r="P105" s="303">
        <f t="shared" si="64"/>
        <v>0</v>
      </c>
      <c r="Q105" s="303">
        <f t="shared" si="64"/>
        <v>0</v>
      </c>
    </row>
    <row r="106" spans="2:17" ht="15.5" x14ac:dyDescent="0.35">
      <c r="B106" s="306" t="s">
        <v>478</v>
      </c>
      <c r="E106" s="292">
        <f>IFERROR(E105/E$36,"")</f>
        <v>0</v>
      </c>
      <c r="F106" s="292">
        <f>IFERROR(F105/F$36,"")</f>
        <v>0</v>
      </c>
      <c r="G106" s="293">
        <f>IFERROR(G105/G$36,"")</f>
        <v>0</v>
      </c>
      <c r="H106" s="291">
        <f>IFERROR(AVERAGE(E106:G106),"")</f>
        <v>0</v>
      </c>
      <c r="I106" s="291">
        <f t="shared" ref="I106:Q106" si="65">IFERROR(AVERAGE(F106:H106),"")</f>
        <v>0</v>
      </c>
      <c r="J106" s="291">
        <f>IFERROR(AVERAGE(G106:I106),"")</f>
        <v>0</v>
      </c>
      <c r="K106" s="291">
        <f t="shared" si="65"/>
        <v>0</v>
      </c>
      <c r="L106" s="291">
        <f t="shared" si="65"/>
        <v>0</v>
      </c>
      <c r="M106" s="291">
        <f t="shared" si="65"/>
        <v>0</v>
      </c>
      <c r="N106" s="291">
        <f t="shared" si="65"/>
        <v>0</v>
      </c>
      <c r="O106" s="291">
        <f t="shared" si="65"/>
        <v>0</v>
      </c>
      <c r="P106" s="291">
        <f t="shared" si="65"/>
        <v>0</v>
      </c>
      <c r="Q106" s="291">
        <f t="shared" si="65"/>
        <v>0</v>
      </c>
    </row>
    <row r="107" spans="2:17" ht="15.5" x14ac:dyDescent="0.35">
      <c r="B107" s="260" t="s">
        <v>503</v>
      </c>
      <c r="E107" s="300">
        <f>+_xlfn.XLOOKUP($B107,Inputs!$B:$B,Inputs!O:O)</f>
        <v>72433.899999999994</v>
      </c>
      <c r="F107" s="300">
        <f>+_xlfn.XLOOKUP($B107,Inputs!$B:$B,Inputs!P:P)</f>
        <v>83676.600000000006</v>
      </c>
      <c r="G107" s="301">
        <f>+_xlfn.XLOOKUP($B107,Inputs!$B:$B,Inputs!Q:Q)</f>
        <v>97020.3</v>
      </c>
      <c r="H107" s="302">
        <f>+IFERROR(G107+H59+0.4*H39,"")</f>
        <v>118124.95802946691</v>
      </c>
      <c r="I107" s="302">
        <f>+IFERROR(H107+I59+0.4*I39,"")</f>
        <v>142778.15153166352</v>
      </c>
      <c r="J107" s="302">
        <f>+IFERROR(I107+J59+0.4*J39,"")</f>
        <v>171048.86957618553</v>
      </c>
      <c r="K107" s="302">
        <f>+IFERROR(J107+K59+0.4*K39,"")</f>
        <v>202930.0377706475</v>
      </c>
      <c r="L107" s="302">
        <f t="shared" ref="L107:Q107" si="66">+IFERROR(K107+L59+0.4*L39,"")</f>
        <v>238307.75561888536</v>
      </c>
      <c r="M107" s="302">
        <f t="shared" si="66"/>
        <v>276950.58067945938</v>
      </c>
      <c r="N107" s="302">
        <f t="shared" si="66"/>
        <v>318498.72319227213</v>
      </c>
      <c r="O107" s="302">
        <f t="shared" si="66"/>
        <v>362475.70025133173</v>
      </c>
      <c r="P107" s="302">
        <f t="shared" si="66"/>
        <v>407973.55415503652</v>
      </c>
      <c r="Q107" s="302">
        <f t="shared" si="66"/>
        <v>454803.90791949816</v>
      </c>
    </row>
    <row r="108" spans="2:17" ht="5.25" customHeight="1" x14ac:dyDescent="0.35">
      <c r="E108" s="154"/>
      <c r="F108" s="154"/>
      <c r="G108" s="155"/>
      <c r="H108" s="156"/>
      <c r="I108" s="156"/>
      <c r="J108" s="156"/>
      <c r="K108" s="156"/>
      <c r="L108" s="156"/>
      <c r="M108" s="156"/>
      <c r="N108" s="156"/>
      <c r="O108" s="156"/>
      <c r="P108" s="156"/>
      <c r="Q108" s="156"/>
    </row>
    <row r="109" spans="2:17" ht="15.5" x14ac:dyDescent="0.35">
      <c r="B109" s="114" t="s">
        <v>504</v>
      </c>
      <c r="E109" s="138">
        <f>+_xlfn.XLOOKUP($B109,Inputs!$B:$B,Inputs!O:O)</f>
        <v>2713.3999999999996</v>
      </c>
      <c r="F109" s="138">
        <f>+_xlfn.XLOOKUP($B109,Inputs!$B:$B,Inputs!P:P)</f>
        <v>3031.3</v>
      </c>
      <c r="G109" s="254">
        <f>+_xlfn.XLOOKUP($B109,Inputs!$B:$B,Inputs!Q:Q)</f>
        <v>3170</v>
      </c>
      <c r="H109" s="156">
        <f t="shared" ref="H109:Q109" si="67">+G109+H110*H48</f>
        <v>3170</v>
      </c>
      <c r="I109" s="156">
        <f t="shared" si="67"/>
        <v>3170</v>
      </c>
      <c r="J109" s="156">
        <f t="shared" si="67"/>
        <v>3170</v>
      </c>
      <c r="K109" s="156">
        <f t="shared" si="67"/>
        <v>3170</v>
      </c>
      <c r="L109" s="156">
        <f t="shared" si="67"/>
        <v>3170</v>
      </c>
      <c r="M109" s="156">
        <f t="shared" si="67"/>
        <v>3170</v>
      </c>
      <c r="N109" s="156">
        <f t="shared" si="67"/>
        <v>3170</v>
      </c>
      <c r="O109" s="156">
        <f t="shared" si="67"/>
        <v>3170</v>
      </c>
      <c r="P109" s="156">
        <f t="shared" si="67"/>
        <v>3170</v>
      </c>
      <c r="Q109" s="156">
        <f t="shared" si="67"/>
        <v>3170</v>
      </c>
    </row>
    <row r="110" spans="2:17" s="76" customFormat="1" ht="14.5" x14ac:dyDescent="0.35">
      <c r="B110" s="76" t="s">
        <v>505</v>
      </c>
      <c r="E110" s="335">
        <f>IFERROR((E109-Inputs!N45)/E48,"")</f>
        <v>-0.11437893889956648</v>
      </c>
      <c r="F110" s="335">
        <f>IFERROR((F109-E109)/F48,"")</f>
        <v>8.4757511931106339E-2</v>
      </c>
      <c r="G110" s="336">
        <f>IFERROR((G109-F109)/G48,"")</f>
        <v>3.1264792732682602E-2</v>
      </c>
      <c r="H110" s="291"/>
      <c r="I110" s="291"/>
      <c r="J110" s="291"/>
      <c r="K110" s="291"/>
      <c r="L110" s="291"/>
      <c r="M110" s="291"/>
      <c r="N110" s="291"/>
      <c r="O110" s="291"/>
      <c r="P110" s="291"/>
      <c r="Q110" s="291"/>
    </row>
    <row r="111" spans="2:17" s="76" customFormat="1" ht="3.75" customHeight="1" x14ac:dyDescent="0.35">
      <c r="E111" s="337"/>
      <c r="F111" s="337"/>
      <c r="G111" s="338"/>
      <c r="H111" s="315"/>
      <c r="I111" s="315"/>
      <c r="J111" s="315"/>
      <c r="K111" s="315"/>
      <c r="L111" s="315"/>
      <c r="M111" s="315"/>
      <c r="N111" s="315"/>
      <c r="O111" s="315"/>
      <c r="P111" s="315"/>
      <c r="Q111" s="315"/>
    </row>
    <row r="112" spans="2:17" ht="13.5" customHeight="1" x14ac:dyDescent="0.35">
      <c r="B112" s="137" t="s">
        <v>506</v>
      </c>
      <c r="E112" s="274"/>
      <c r="F112" s="274"/>
      <c r="G112" s="273"/>
      <c r="H112" s="156"/>
      <c r="I112" s="156"/>
      <c r="J112" s="156"/>
      <c r="K112" s="156"/>
      <c r="L112" s="156"/>
      <c r="M112" s="156"/>
      <c r="N112" s="156"/>
      <c r="O112" s="156"/>
      <c r="P112" s="156"/>
      <c r="Q112" s="156"/>
    </row>
    <row r="113" spans="1:17" ht="5.25" customHeight="1" x14ac:dyDescent="0.35">
      <c r="E113" s="274"/>
      <c r="F113" s="274"/>
      <c r="G113" s="273"/>
      <c r="H113" s="156"/>
      <c r="I113" s="156"/>
      <c r="J113" s="156"/>
      <c r="K113" s="156"/>
      <c r="L113" s="156"/>
      <c r="M113" s="156"/>
      <c r="N113" s="156"/>
      <c r="O113" s="156"/>
      <c r="P113" s="156"/>
      <c r="Q113" s="156"/>
    </row>
    <row r="114" spans="1:17" ht="15.5" x14ac:dyDescent="0.35">
      <c r="B114" s="114" t="s">
        <v>293</v>
      </c>
      <c r="E114" s="138">
        <f>+_xlfn.XLOOKUP($B114,Inputs!$B:$B,Inputs!O:O)</f>
        <v>2186.1999999999998</v>
      </c>
      <c r="F114" s="138">
        <f>+_xlfn.XLOOKUP($B114,Inputs!$B:$B,Inputs!P:P)</f>
        <v>1845.5</v>
      </c>
      <c r="G114" s="254">
        <f>+_xlfn.XLOOKUP($B114,Inputs!$B:$B,Inputs!Q:Q)</f>
        <v>2277.3000000000002</v>
      </c>
      <c r="H114" s="156">
        <f t="shared" ref="H114:Q114" si="68">+IFERROR(H115*H39/365,"")</f>
        <v>3409.4785152015093</v>
      </c>
      <c r="I114" s="156">
        <f t="shared" si="68"/>
        <v>3788.0364186354032</v>
      </c>
      <c r="J114" s="156">
        <f t="shared" si="68"/>
        <v>4508.7523367162066</v>
      </c>
      <c r="K114" s="156">
        <f t="shared" si="68"/>
        <v>5044.5450806865283</v>
      </c>
      <c r="L114" s="156">
        <f t="shared" si="68"/>
        <v>5558.6352185071155</v>
      </c>
      <c r="M114" s="156">
        <f t="shared" si="68"/>
        <v>6116.3477152159958</v>
      </c>
      <c r="N114" s="156">
        <f t="shared" si="68"/>
        <v>6559.4976398192102</v>
      </c>
      <c r="O114" s="156">
        <f t="shared" si="68"/>
        <v>6937.7863547544976</v>
      </c>
      <c r="P114" s="156">
        <f t="shared" si="68"/>
        <v>7187.3801131050677</v>
      </c>
      <c r="Q114" s="156">
        <f t="shared" si="68"/>
        <v>7393.0829159455898</v>
      </c>
    </row>
    <row r="115" spans="1:17" ht="15.5" x14ac:dyDescent="0.35">
      <c r="B115" s="140" t="s">
        <v>507</v>
      </c>
      <c r="E115" s="295">
        <f>IFERROR(E114/E$39*365,"")</f>
        <v>27.521944422409003</v>
      </c>
      <c r="F115" s="295">
        <f>IFERROR(F114/F$39*365,"")</f>
        <v>20.228939433980401</v>
      </c>
      <c r="G115" s="296">
        <f>IFERROR(G114/G$39*366,"")</f>
        <v>24.254231073656765</v>
      </c>
      <c r="H115" s="294">
        <f>IFERROR(AVERAGE(E115:G115),"")</f>
        <v>24.00170497668206</v>
      </c>
      <c r="I115" s="294">
        <f t="shared" ref="I115:Q115" si="69">IFERROR(AVERAGE(F115:H115),"")</f>
        <v>22.828291828106412</v>
      </c>
      <c r="J115" s="294">
        <f>IFERROR(AVERAGE(G115:I115),"")</f>
        <v>23.694742626148411</v>
      </c>
      <c r="K115" s="294">
        <f t="shared" si="69"/>
        <v>23.508246476978957</v>
      </c>
      <c r="L115" s="294">
        <f t="shared" si="69"/>
        <v>23.343760310411259</v>
      </c>
      <c r="M115" s="294">
        <f t="shared" si="69"/>
        <v>23.515583137846207</v>
      </c>
      <c r="N115" s="294">
        <f t="shared" si="69"/>
        <v>23.455863308412138</v>
      </c>
      <c r="O115" s="294">
        <f t="shared" si="69"/>
        <v>23.438402252223199</v>
      </c>
      <c r="P115" s="294">
        <f t="shared" si="69"/>
        <v>23.469949566160512</v>
      </c>
      <c r="Q115" s="294">
        <f t="shared" si="69"/>
        <v>23.454738375598613</v>
      </c>
    </row>
    <row r="116" spans="1:17" ht="3.75" customHeight="1" x14ac:dyDescent="0.35">
      <c r="E116" s="157"/>
      <c r="F116" s="157"/>
      <c r="G116" s="158"/>
      <c r="H116" s="156"/>
      <c r="I116" s="156"/>
      <c r="J116" s="156"/>
      <c r="K116" s="156"/>
      <c r="L116" s="156"/>
      <c r="O116" s="156"/>
      <c r="P116" s="156"/>
      <c r="Q116" s="156"/>
    </row>
    <row r="117" spans="1:17" ht="15.5" x14ac:dyDescent="0.35">
      <c r="B117" s="114" t="s">
        <v>508</v>
      </c>
      <c r="E117" s="138">
        <f>+_xlfn.XLOOKUP($B117,Inputs!$B:$B,Inputs!O:O)</f>
        <v>13543.3</v>
      </c>
      <c r="F117" s="138">
        <f>+_xlfn.XLOOKUP($B117,Inputs!$B:$B,Inputs!P:P)</f>
        <v>14385.199999999999</v>
      </c>
      <c r="G117" s="254">
        <f>+_xlfn.XLOOKUP($B117,Inputs!$B:$B,Inputs!Q:Q)</f>
        <v>20816.2</v>
      </c>
      <c r="H117" s="156">
        <f t="shared" ref="H117:Q117" si="70">IFERROR(AVERAGE(E117:G117)*(1+H37),"")</f>
        <v>19580.305123511851</v>
      </c>
      <c r="I117" s="156">
        <f t="shared" si="70"/>
        <v>21330.898845562057</v>
      </c>
      <c r="J117" s="156">
        <f t="shared" si="70"/>
        <v>23595.023407069071</v>
      </c>
      <c r="K117" s="156">
        <f t="shared" si="70"/>
        <v>24248.103418412167</v>
      </c>
      <c r="L117" s="156">
        <f t="shared" si="70"/>
        <v>25586.88301183431</v>
      </c>
      <c r="M117" s="156">
        <f t="shared" si="70"/>
        <v>26735.689363495276</v>
      </c>
      <c r="N117" s="156">
        <f t="shared" si="70"/>
        <v>27442.518718493076</v>
      </c>
      <c r="O117" s="156">
        <f t="shared" si="70"/>
        <v>28142.674730204708</v>
      </c>
      <c r="P117" s="156">
        <f t="shared" si="70"/>
        <v>28389.27510019</v>
      </c>
      <c r="Q117" s="156">
        <f t="shared" si="70"/>
        <v>28811.278862004034</v>
      </c>
    </row>
    <row r="118" spans="1:17" s="311" customFormat="1" ht="15.5" x14ac:dyDescent="0.35">
      <c r="B118" s="261" t="s">
        <v>509</v>
      </c>
      <c r="E118" s="292">
        <f t="shared" ref="E118:Q118" si="71">IFERROR(E117/E$36,"")</f>
        <v>0.30351444143643436</v>
      </c>
      <c r="F118" s="292">
        <f t="shared" si="71"/>
        <v>0.43903228070817957</v>
      </c>
      <c r="G118" s="293">
        <f t="shared" si="71"/>
        <v>0.31447736165455564</v>
      </c>
      <c r="H118" s="292">
        <f t="shared" si="71"/>
        <v>0.2454675469208728</v>
      </c>
      <c r="I118" s="292">
        <f t="shared" si="71"/>
        <v>0.22892273108083275</v>
      </c>
      <c r="J118" s="292">
        <f t="shared" si="71"/>
        <v>0.22081904129527075</v>
      </c>
      <c r="K118" s="292">
        <f t="shared" si="71"/>
        <v>0.20123174621796272</v>
      </c>
      <c r="L118" s="292">
        <f t="shared" si="71"/>
        <v>0.19135530916259103</v>
      </c>
      <c r="M118" s="292">
        <f t="shared" si="71"/>
        <v>0.1830524156685116</v>
      </c>
      <c r="N118" s="292">
        <f t="shared" si="71"/>
        <v>0.1747532668517712</v>
      </c>
      <c r="O118" s="292">
        <f t="shared" si="71"/>
        <v>0.16931402923038083</v>
      </c>
      <c r="P118" s="292">
        <f t="shared" si="71"/>
        <v>0.16508831625937676</v>
      </c>
      <c r="Q118" s="292">
        <f t="shared" si="71"/>
        <v>0.16277512749194376</v>
      </c>
    </row>
    <row r="119" spans="1:17" s="229" customFormat="1" ht="5.25" customHeight="1" x14ac:dyDescent="0.35">
      <c r="B119" s="255"/>
      <c r="E119" s="307"/>
      <c r="F119" s="307"/>
      <c r="G119" s="308"/>
      <c r="H119" s="309"/>
      <c r="I119" s="309"/>
      <c r="J119" s="309"/>
      <c r="K119" s="309"/>
      <c r="L119" s="309"/>
      <c r="M119" s="309"/>
      <c r="N119" s="309"/>
      <c r="O119" s="309"/>
      <c r="P119" s="309"/>
      <c r="Q119" s="309"/>
    </row>
    <row r="120" spans="1:17" ht="15.5" x14ac:dyDescent="0.35">
      <c r="B120" s="114" t="s">
        <v>510</v>
      </c>
      <c r="E120" s="277">
        <f>+_xlfn.XLOOKUP($B120,Inputs!$B:$B,Inputs!O:O)</f>
        <v>19404.7</v>
      </c>
      <c r="F120" s="277">
        <f>+_xlfn.XLOOKUP($B120,Inputs!$B:$B,Inputs!P:P)</f>
        <v>23757</v>
      </c>
      <c r="G120" s="278">
        <f>+_xlfn.XLOOKUP($B120,Inputs!$B:$B,Inputs!Q:Q)</f>
        <v>18715</v>
      </c>
      <c r="H120" s="156">
        <f>IFERROR(G120+H161-H163,"")</f>
        <v>18715</v>
      </c>
      <c r="I120" s="156">
        <f t="shared" ref="I120:Q120" si="72">IFERROR(H120+I161-I163,"")</f>
        <v>39784.213374138017</v>
      </c>
      <c r="J120" s="156">
        <f t="shared" si="72"/>
        <v>39784.213374138017</v>
      </c>
      <c r="K120" s="156">
        <f t="shared" si="72"/>
        <v>57656.030145062912</v>
      </c>
      <c r="L120" s="156">
        <f t="shared" si="72"/>
        <v>61636.61139716336</v>
      </c>
      <c r="M120" s="156">
        <f t="shared" si="72"/>
        <v>79299.825379304413</v>
      </c>
      <c r="N120" s="156">
        <f t="shared" si="72"/>
        <v>84243.885989150673</v>
      </c>
      <c r="O120" s="156">
        <f t="shared" si="72"/>
        <v>102985.36060280712</v>
      </c>
      <c r="P120" s="156">
        <f t="shared" si="72"/>
        <v>107836.39402872176</v>
      </c>
      <c r="Q120" s="156">
        <f t="shared" si="72"/>
        <v>126120.01888834246</v>
      </c>
    </row>
    <row r="121" spans="1:17" ht="3.75" customHeight="1" x14ac:dyDescent="0.35">
      <c r="B121" s="140"/>
      <c r="E121" s="159"/>
      <c r="F121" s="159"/>
      <c r="G121" s="310"/>
      <c r="H121" s="279"/>
      <c r="I121" s="279"/>
      <c r="J121" s="279"/>
      <c r="K121" s="279"/>
      <c r="L121" s="279"/>
      <c r="M121" s="279"/>
      <c r="N121" s="279"/>
      <c r="O121" s="279"/>
      <c r="P121" s="279"/>
      <c r="Q121" s="279"/>
    </row>
    <row r="122" spans="1:17" ht="15.5" x14ac:dyDescent="0.35">
      <c r="B122" s="114" t="s">
        <v>511</v>
      </c>
      <c r="E122" s="277">
        <f>+_xlfn.XLOOKUP($B122,Inputs!$B:$B,Inputs!O:O)</f>
        <v>1797.1</v>
      </c>
      <c r="F122" s="277">
        <f>+_xlfn.XLOOKUP($B122,Inputs!$B:$B,Inputs!P:P)</f>
        <v>3029.9</v>
      </c>
      <c r="G122" s="278">
        <f>+_xlfn.XLOOKUP($B122,Inputs!$B:$B,Inputs!Q:Q)</f>
        <v>2768.4</v>
      </c>
      <c r="H122" s="156">
        <f t="shared" ref="H122:Q122" si="73">+IFERROR(H123*H36,"")</f>
        <v>4641.6396240287413</v>
      </c>
      <c r="I122" s="156">
        <f t="shared" si="73"/>
        <v>5978.5359709506411</v>
      </c>
      <c r="J122" s="156">
        <f t="shared" si="73"/>
        <v>5847.4695133804662</v>
      </c>
      <c r="K122" s="156">
        <f t="shared" si="73"/>
        <v>7112.4578718122611</v>
      </c>
      <c r="L122" s="156">
        <f t="shared" si="73"/>
        <v>7929.7583846875514</v>
      </c>
      <c r="M122" s="156">
        <f t="shared" si="73"/>
        <v>8425.1238570082187</v>
      </c>
      <c r="N122" s="156">
        <f t="shared" si="73"/>
        <v>9213.4929647240424</v>
      </c>
      <c r="O122" s="156">
        <f t="shared" si="73"/>
        <v>9732.4826002653117</v>
      </c>
      <c r="P122" s="156">
        <f t="shared" si="73"/>
        <v>10026.04028860178</v>
      </c>
      <c r="Q122" s="156">
        <f t="shared" si="73"/>
        <v>10356.16032947424</v>
      </c>
    </row>
    <row r="123" spans="1:17" ht="15.5" x14ac:dyDescent="0.35">
      <c r="B123" s="140" t="s">
        <v>512</v>
      </c>
      <c r="E123" s="275">
        <f>IFERROR(E122/E$36,"")</f>
        <v>4.0274216971152986E-2</v>
      </c>
      <c r="F123" s="275">
        <f>IFERROR(F122/F$36,"")</f>
        <v>9.2471700589335806E-2</v>
      </c>
      <c r="G123" s="276">
        <f>IFERROR(G122/G$36,"")</f>
        <v>4.1823153505657698E-2</v>
      </c>
      <c r="H123" s="133">
        <f>+IFERROR(AVERAGE(E123:G123),"")</f>
        <v>5.8189690355382163E-2</v>
      </c>
      <c r="I123" s="133">
        <f t="shared" ref="I123:Q123" si="74">+IFERROR(AVERAGE(F123:H123),"")</f>
        <v>6.4161514816791887E-2</v>
      </c>
      <c r="J123" s="133">
        <f t="shared" si="74"/>
        <v>5.4724786225943921E-2</v>
      </c>
      <c r="K123" s="133">
        <f t="shared" si="74"/>
        <v>5.9025330466039326E-2</v>
      </c>
      <c r="L123" s="133">
        <f t="shared" si="74"/>
        <v>5.9303877169591714E-2</v>
      </c>
      <c r="M123" s="133">
        <f t="shared" si="74"/>
        <v>5.7684664620524989E-2</v>
      </c>
      <c r="N123" s="133">
        <f t="shared" si="74"/>
        <v>5.8671290752052012E-2</v>
      </c>
      <c r="O123" s="133">
        <f t="shared" si="74"/>
        <v>5.8553277514056236E-2</v>
      </c>
      <c r="P123" s="133">
        <f t="shared" si="74"/>
        <v>5.8303077628877743E-2</v>
      </c>
      <c r="Q123" s="133">
        <f t="shared" si="74"/>
        <v>5.8509215298328664E-2</v>
      </c>
    </row>
    <row r="124" spans="1:17" ht="3.75" customHeight="1" x14ac:dyDescent="0.35">
      <c r="G124" s="146"/>
    </row>
    <row r="125" spans="1:17" ht="15.5" x14ac:dyDescent="0.35">
      <c r="A125" s="114" t="s">
        <v>440</v>
      </c>
      <c r="B125" s="43" t="s">
        <v>244</v>
      </c>
      <c r="C125" s="43"/>
      <c r="D125" s="43"/>
      <c r="E125" s="125">
        <f t="shared" ref="E125:Q125" si="75">E34</f>
        <v>2022</v>
      </c>
      <c r="F125" s="125">
        <f t="shared" si="75"/>
        <v>2023</v>
      </c>
      <c r="G125" s="151">
        <f t="shared" si="75"/>
        <v>2024</v>
      </c>
      <c r="H125" s="90">
        <f t="shared" si="75"/>
        <v>2025</v>
      </c>
      <c r="I125" s="90">
        <f t="shared" si="75"/>
        <v>2026</v>
      </c>
      <c r="J125" s="90">
        <f t="shared" si="75"/>
        <v>2027</v>
      </c>
      <c r="K125" s="90">
        <f t="shared" si="75"/>
        <v>2028</v>
      </c>
      <c r="L125" s="90">
        <f t="shared" si="75"/>
        <v>2029</v>
      </c>
      <c r="M125" s="90">
        <f t="shared" si="75"/>
        <v>2030</v>
      </c>
      <c r="N125" s="90">
        <f t="shared" si="75"/>
        <v>2031</v>
      </c>
      <c r="O125" s="90">
        <f t="shared" si="75"/>
        <v>2032</v>
      </c>
      <c r="P125" s="90">
        <f t="shared" si="75"/>
        <v>2033</v>
      </c>
      <c r="Q125" s="90">
        <f t="shared" si="75"/>
        <v>2034</v>
      </c>
    </row>
    <row r="126" spans="1:17" ht="4.1500000000000004" customHeight="1" x14ac:dyDescent="0.35">
      <c r="B126" s="44"/>
      <c r="C126" s="44"/>
      <c r="D126" s="44"/>
      <c r="E126" s="160"/>
      <c r="F126" s="160"/>
      <c r="G126" s="161"/>
      <c r="H126" s="44"/>
      <c r="I126" s="44"/>
      <c r="J126" s="44"/>
      <c r="K126" s="44"/>
      <c r="L126" s="44"/>
      <c r="M126" s="44"/>
      <c r="N126" s="44"/>
      <c r="O126" s="44"/>
      <c r="P126" s="44"/>
      <c r="Q126" s="44"/>
    </row>
    <row r="127" spans="1:17" ht="15.5" x14ac:dyDescent="0.35">
      <c r="B127" s="114" t="s">
        <v>482</v>
      </c>
      <c r="E127" s="154">
        <f t="shared" ref="E127:Q127" si="76">+E56</f>
        <v>679.4</v>
      </c>
      <c r="F127" s="154">
        <f t="shared" si="76"/>
        <v>587.1</v>
      </c>
      <c r="G127" s="155">
        <f t="shared" si="76"/>
        <v>559.6</v>
      </c>
      <c r="H127" s="156">
        <f t="shared" si="76"/>
        <v>674.8408054106377</v>
      </c>
      <c r="I127" s="156">
        <f t="shared" si="76"/>
        <v>788.30848316696915</v>
      </c>
      <c r="J127" s="156">
        <f t="shared" si="76"/>
        <v>903.98214972565347</v>
      </c>
      <c r="K127" s="156">
        <f t="shared" si="76"/>
        <v>1019.4296060965914</v>
      </c>
      <c r="L127" s="156">
        <f t="shared" si="76"/>
        <v>1131.2349895914515</v>
      </c>
      <c r="M127" s="156">
        <f t="shared" si="76"/>
        <v>1235.6397886575387</v>
      </c>
      <c r="N127" s="156">
        <f t="shared" si="76"/>
        <v>1328.5399800136324</v>
      </c>
      <c r="O127" s="156">
        <f t="shared" si="76"/>
        <v>1406.2041932460797</v>
      </c>
      <c r="P127" s="156">
        <f t="shared" si="76"/>
        <v>1454.8356258586209</v>
      </c>
      <c r="Q127" s="156">
        <f t="shared" si="76"/>
        <v>1497.4435315630008</v>
      </c>
    </row>
    <row r="128" spans="1:17" ht="4.1500000000000004" hidden="1" customHeight="1" x14ac:dyDescent="0.35">
      <c r="G128" s="135"/>
    </row>
    <row r="129" spans="2:17" ht="13.5" hidden="1" customHeight="1" x14ac:dyDescent="0.35">
      <c r="B129" s="114" t="s">
        <v>513</v>
      </c>
      <c r="E129" s="277">
        <f>+_xlfn.XLOOKUP($B129,Inputs!$B:$B,Inputs!O:O)</f>
        <v>0</v>
      </c>
      <c r="F129" s="277">
        <f>+_xlfn.XLOOKUP($B129,Inputs!$B:$B,Inputs!P:P)</f>
        <v>0</v>
      </c>
      <c r="G129" s="278">
        <f>+_xlfn.XLOOKUP($B129,Inputs!$B:$B,Inputs!Q:Q)</f>
        <v>0</v>
      </c>
      <c r="H129" s="156">
        <f t="shared" ref="H129:Q129" si="77">IFERROR(H130*H45,"")</f>
        <v>0</v>
      </c>
      <c r="I129" s="156">
        <f t="shared" si="77"/>
        <v>0</v>
      </c>
      <c r="J129" s="156">
        <f t="shared" si="77"/>
        <v>0</v>
      </c>
      <c r="K129" s="156">
        <f t="shared" si="77"/>
        <v>0</v>
      </c>
      <c r="L129" s="156">
        <f t="shared" si="77"/>
        <v>0</v>
      </c>
      <c r="M129" s="156">
        <f t="shared" si="77"/>
        <v>0</v>
      </c>
      <c r="N129" s="156">
        <f t="shared" si="77"/>
        <v>0</v>
      </c>
      <c r="O129" s="156">
        <f t="shared" si="77"/>
        <v>0</v>
      </c>
      <c r="P129" s="156">
        <f t="shared" si="77"/>
        <v>0</v>
      </c>
      <c r="Q129" s="156">
        <f t="shared" si="77"/>
        <v>0</v>
      </c>
    </row>
    <row r="130" spans="2:17" ht="13.5" hidden="1" customHeight="1" x14ac:dyDescent="0.35">
      <c r="B130" s="261" t="s">
        <v>514</v>
      </c>
      <c r="E130" s="275">
        <f>+IFERROR(E129/E45,"")</f>
        <v>0</v>
      </c>
      <c r="F130" s="275">
        <f>+IFERROR(F129/F45,"")</f>
        <v>0</v>
      </c>
      <c r="G130" s="276">
        <f>+IFERROR(G129/G45,"")</f>
        <v>0</v>
      </c>
      <c r="H130" s="133">
        <f>IFERROR(AVERAGE(E130:G130),"")</f>
        <v>0</v>
      </c>
      <c r="I130" s="133">
        <f t="shared" ref="I130:Q130" si="78">IFERROR(AVERAGE(F130:H130),"")</f>
        <v>0</v>
      </c>
      <c r="J130" s="133">
        <f t="shared" si="78"/>
        <v>0</v>
      </c>
      <c r="K130" s="133">
        <f t="shared" si="78"/>
        <v>0</v>
      </c>
      <c r="L130" s="133">
        <f t="shared" si="78"/>
        <v>0</v>
      </c>
      <c r="M130" s="133">
        <f t="shared" si="78"/>
        <v>0</v>
      </c>
      <c r="N130" s="133">
        <f t="shared" si="78"/>
        <v>0</v>
      </c>
      <c r="O130" s="133">
        <f t="shared" si="78"/>
        <v>0</v>
      </c>
      <c r="P130" s="133">
        <f t="shared" si="78"/>
        <v>0</v>
      </c>
      <c r="Q130" s="133">
        <f t="shared" si="78"/>
        <v>0</v>
      </c>
    </row>
    <row r="131" spans="2:17" ht="3.75" customHeight="1" x14ac:dyDescent="0.35">
      <c r="B131" s="261"/>
      <c r="E131" s="275"/>
      <c r="F131" s="275"/>
      <c r="G131" s="276"/>
      <c r="H131" s="279"/>
      <c r="I131" s="279"/>
      <c r="J131" s="279"/>
      <c r="K131" s="279"/>
      <c r="L131" s="279"/>
      <c r="M131" s="279"/>
      <c r="N131" s="279"/>
      <c r="O131" s="279"/>
      <c r="P131" s="279"/>
      <c r="Q131" s="279"/>
    </row>
    <row r="132" spans="2:17" ht="13.5" customHeight="1" x14ac:dyDescent="0.35">
      <c r="B132" s="114" t="s">
        <v>515</v>
      </c>
      <c r="E132" s="277">
        <f>+_xlfn.XLOOKUP($B132,Inputs!$B:$B,Inputs!O:O)</f>
        <v>-3088.8</v>
      </c>
      <c r="F132" s="277">
        <f>+_xlfn.XLOOKUP($B132,Inputs!$B:$B,Inputs!P:P)</f>
        <v>965</v>
      </c>
      <c r="G132" s="865">
        <f>+_xlfn.XLOOKUP($B132,Inputs!$B:$B,Inputs!Q:Q)</f>
        <v>-6034.6</v>
      </c>
      <c r="H132" s="162">
        <f>IFERROR(-((H94+H97+H100-H114-H117)-(G94+G97+G100-G114-G117)),"")</f>
        <v>-6746.9939220801571</v>
      </c>
      <c r="I132" s="162">
        <f t="shared" ref="I132:Q132" si="79">IFERROR(-((I94+I97+I100-I114-I117)-(H94+H97+H100-H114-H117)),"")</f>
        <v>-3606.0710835211903</v>
      </c>
      <c r="J132" s="162">
        <f t="shared" si="79"/>
        <v>-2744.7086021642317</v>
      </c>
      <c r="K132" s="162">
        <f t="shared" si="79"/>
        <v>-4583.9115886109139</v>
      </c>
      <c r="L132" s="162">
        <f t="shared" si="79"/>
        <v>-3728.7823101161921</v>
      </c>
      <c r="M132" s="162">
        <f t="shared" si="79"/>
        <v>-3466.6010314811465</v>
      </c>
      <c r="N132" s="162">
        <f t="shared" si="79"/>
        <v>-3467.7147493511256</v>
      </c>
      <c r="O132" s="162">
        <f t="shared" si="79"/>
        <v>-2772.5595074455632</v>
      </c>
      <c r="P132" s="162">
        <f t="shared" si="79"/>
        <v>-1891.0021351106188</v>
      </c>
      <c r="Q132" s="162">
        <f t="shared" si="79"/>
        <v>-1495.7027920440742</v>
      </c>
    </row>
    <row r="133" spans="2:17" ht="3.75" customHeight="1" x14ac:dyDescent="0.35">
      <c r="G133" s="146"/>
    </row>
    <row r="134" spans="2:17" ht="13.5" hidden="1" customHeight="1" x14ac:dyDescent="0.35">
      <c r="B134" s="114" t="s">
        <v>516</v>
      </c>
      <c r="E134" s="318">
        <f>+_xlfn.XLOOKUP($B134,Inputs!$B:$B,Inputs!O:O)</f>
        <v>1476.1000000000031</v>
      </c>
      <c r="F134" s="318">
        <f>+_xlfn.XLOOKUP($B134,Inputs!$B:$B,Inputs!P:P)</f>
        <v>-1222.9000000000051</v>
      </c>
      <c r="G134" s="866">
        <f>+_xlfn.XLOOKUP($B134,Inputs!$B:$B,Inputs!Q:Q)</f>
        <v>3451.9000000000069</v>
      </c>
      <c r="H134" s="156">
        <f t="shared" ref="H134:Q134" si="80">IFERROR(AVERAGE(E134:G134)*(1+H37),"")</f>
        <v>1488.3051595993791</v>
      </c>
      <c r="I134" s="156">
        <f t="shared" si="80"/>
        <v>1447.4441815698103</v>
      </c>
      <c r="J134" s="156">
        <f t="shared" si="80"/>
        <v>2441.6503210883002</v>
      </c>
      <c r="K134" s="156">
        <f t="shared" si="80"/>
        <v>2021.3822515495372</v>
      </c>
      <c r="L134" s="156">
        <f t="shared" si="80"/>
        <v>2186.2350179423406</v>
      </c>
      <c r="M134" s="156">
        <f t="shared" si="80"/>
        <v>2420.9822821808757</v>
      </c>
      <c r="N134" s="156">
        <f t="shared" si="80"/>
        <v>2375.6544576434544</v>
      </c>
      <c r="O134" s="156">
        <f t="shared" si="80"/>
        <v>2463.6928995719441</v>
      </c>
      <c r="P134" s="156">
        <f t="shared" si="80"/>
        <v>2503.8056980160927</v>
      </c>
      <c r="Q134" s="156">
        <f t="shared" si="80"/>
        <v>2519.4042195989996</v>
      </c>
    </row>
    <row r="135" spans="2:17" ht="5.25" hidden="1" customHeight="1" x14ac:dyDescent="0.35">
      <c r="E135" s="304"/>
      <c r="F135" s="304"/>
      <c r="G135" s="865"/>
      <c r="H135" s="156"/>
      <c r="I135" s="156"/>
      <c r="J135" s="156"/>
      <c r="K135" s="156"/>
      <c r="L135" s="156"/>
      <c r="M135" s="156"/>
      <c r="N135" s="156"/>
      <c r="O135" s="156"/>
      <c r="P135" s="156"/>
      <c r="Q135" s="156"/>
    </row>
    <row r="136" spans="2:17" ht="13.5" hidden="1" customHeight="1" x14ac:dyDescent="0.35">
      <c r="B136" s="363" t="s">
        <v>299</v>
      </c>
      <c r="C136" s="137"/>
      <c r="D136" s="137"/>
      <c r="E136" s="319">
        <f>+_xlfn.XLOOKUP($B136,Inputs!$B:$B,Inputs!O:O)</f>
        <v>14780.5</v>
      </c>
      <c r="F136" s="319">
        <f>+_xlfn.XLOOKUP($B136,Inputs!$B:$B,Inputs!P:P)</f>
        <v>4278.2</v>
      </c>
      <c r="G136" s="867">
        <f>+_xlfn.XLOOKUP($B136,Inputs!$B:$B,Inputs!Q:Q)</f>
        <v>29795.9</v>
      </c>
      <c r="H136" s="447">
        <f>IFERROR(H85+H127+H129+H132+H134,"")</f>
        <v>7597.4325053730745</v>
      </c>
      <c r="I136" s="447">
        <f t="shared" ref="I136:Q136" si="81">IFERROR(I85+I127+I129+I132+I134,"")</f>
        <v>15541.47811592652</v>
      </c>
      <c r="J136" s="447">
        <f t="shared" si="81"/>
        <v>21208.567675008206</v>
      </c>
      <c r="K136" s="447">
        <f t="shared" si="81"/>
        <v>21196.374441093831</v>
      </c>
      <c r="L136" s="447">
        <f t="shared" si="81"/>
        <v>26024.58236959892</v>
      </c>
      <c r="M136" s="447">
        <f t="shared" si="81"/>
        <v>29518.238582300859</v>
      </c>
      <c r="N136" s="447">
        <f t="shared" si="81"/>
        <v>31945.513872559215</v>
      </c>
      <c r="O136" s="447">
        <f t="shared" si="81"/>
        <v>35127.112320284745</v>
      </c>
      <c r="P136" s="447">
        <f t="shared" si="81"/>
        <v>37416.123770761835</v>
      </c>
      <c r="Q136" s="447">
        <f t="shared" si="81"/>
        <v>38954.195064783999</v>
      </c>
    </row>
    <row r="137" spans="2:17" ht="3.75" hidden="1" customHeight="1" x14ac:dyDescent="0.35">
      <c r="G137" s="146"/>
    </row>
    <row r="138" spans="2:17" ht="13.5" customHeight="1" x14ac:dyDescent="0.35">
      <c r="B138" s="114" t="s">
        <v>517</v>
      </c>
      <c r="E138" s="304">
        <f>+_xlfn.XLOOKUP($B138,Inputs!$B:$B,Inputs!O:O)</f>
        <v>-19424.2</v>
      </c>
      <c r="F138" s="304">
        <f>+_xlfn.XLOOKUP($B138,Inputs!$B:$B,Inputs!P:P)</f>
        <v>-7239.4999999999991</v>
      </c>
      <c r="G138" s="865">
        <f>+_xlfn.XLOOKUP($B138,Inputs!$B:$B,Inputs!Q:Q)</f>
        <v>-16595.8</v>
      </c>
      <c r="H138" s="156">
        <f>IFERROR(H140+H143,"")</f>
        <v>-27178.34071991171</v>
      </c>
      <c r="I138" s="156">
        <f t="shared" ref="I138:Q138" si="82">IFERROR(I140+I143,"")</f>
        <v>-31608.232167296595</v>
      </c>
      <c r="J138" s="156">
        <f t="shared" si="82"/>
        <v>-36638.734124844799</v>
      </c>
      <c r="K138" s="156">
        <f t="shared" si="82"/>
        <v>-41027.39021256964</v>
      </c>
      <c r="L138" s="156">
        <f t="shared" si="82"/>
        <v>-45482.14258589808</v>
      </c>
      <c r="M138" s="156">
        <f t="shared" si="82"/>
        <v>-49704.530892107301</v>
      </c>
      <c r="N138" s="156">
        <f t="shared" si="82"/>
        <v>-53255.394638418482</v>
      </c>
      <c r="O138" s="156">
        <f t="shared" si="82"/>
        <v>-56255.927460283892</v>
      </c>
      <c r="P138" s="156">
        <f t="shared" si="82"/>
        <v>-58046.976358281077</v>
      </c>
      <c r="Q138" s="156">
        <f t="shared" si="82"/>
        <v>-59536.876363310417</v>
      </c>
    </row>
    <row r="139" spans="2:17" ht="3.75" customHeight="1" x14ac:dyDescent="0.35">
      <c r="B139" s="140"/>
      <c r="E139" s="858"/>
      <c r="F139" s="858"/>
      <c r="G139" s="143"/>
      <c r="H139" s="858"/>
      <c r="I139" s="858"/>
      <c r="J139" s="858"/>
      <c r="K139" s="858"/>
      <c r="L139" s="858"/>
      <c r="M139" s="858"/>
      <c r="N139" s="858"/>
      <c r="O139" s="858"/>
      <c r="P139" s="858"/>
      <c r="Q139" s="858"/>
    </row>
    <row r="140" spans="2:17" s="140" customFormat="1" ht="15.5" x14ac:dyDescent="0.35">
      <c r="B140" s="260" t="s">
        <v>518</v>
      </c>
      <c r="E140" s="317">
        <f>+_xlfn.XLOOKUP($B140,Inputs!$B:$B,Inputs!O:O)</f>
        <v>-19748.900000000001</v>
      </c>
      <c r="F140" s="317">
        <f>+_xlfn.XLOOKUP($B140,Inputs!$B:$B,Inputs!P:P)</f>
        <v>-8779.7999999999993</v>
      </c>
      <c r="G140" s="868">
        <f>+_xlfn.XLOOKUP($B140,Inputs!$B:$B,Inputs!Q:Q)</f>
        <v>-16662.599999999999</v>
      </c>
      <c r="H140" s="303">
        <f t="shared" ref="H140:Q140" si="83">+H141*H36</f>
        <v>-27918.585895341461</v>
      </c>
      <c r="I140" s="303">
        <f t="shared" si="83"/>
        <v>-32612.814641419493</v>
      </c>
      <c r="J140" s="303">
        <f t="shared" si="83"/>
        <v>-37398.306522993858</v>
      </c>
      <c r="K140" s="303">
        <f t="shared" si="83"/>
        <v>-42174.439947719795</v>
      </c>
      <c r="L140" s="303">
        <f t="shared" si="83"/>
        <v>-46799.898541266833</v>
      </c>
      <c r="M140" s="303">
        <f t="shared" si="83"/>
        <v>-51119.190331630285</v>
      </c>
      <c r="N140" s="303">
        <f t="shared" si="83"/>
        <v>-54962.529310651487</v>
      </c>
      <c r="O140" s="303">
        <f t="shared" si="83"/>
        <v>-58175.546352211109</v>
      </c>
      <c r="P140" s="303">
        <f t="shared" si="83"/>
        <v>-60187.459114037309</v>
      </c>
      <c r="Q140" s="303">
        <f t="shared" si="83"/>
        <v>-61950.17480296857</v>
      </c>
    </row>
    <row r="141" spans="2:17" customFormat="1" ht="14.5" x14ac:dyDescent="0.35">
      <c r="B141" s="270" t="s">
        <v>478</v>
      </c>
      <c r="E141" s="859">
        <f>+E140/E36</f>
        <v>-0.44258610179823227</v>
      </c>
      <c r="F141" s="859">
        <f>+F140/F36</f>
        <v>-0.26795704044168134</v>
      </c>
      <c r="G141" s="299">
        <f>+G140/G36</f>
        <v>-0.25172752405843518</v>
      </c>
      <c r="H141" s="291">
        <v>-0.35</v>
      </c>
      <c r="I141" s="291">
        <v>-0.35</v>
      </c>
      <c r="J141" s="291">
        <v>-0.35</v>
      </c>
      <c r="K141" s="291">
        <v>-0.35</v>
      </c>
      <c r="L141" s="291">
        <v>-0.35</v>
      </c>
      <c r="M141" s="291">
        <v>-0.35</v>
      </c>
      <c r="N141" s="291">
        <v>-0.35</v>
      </c>
      <c r="O141" s="291">
        <v>-0.35</v>
      </c>
      <c r="P141" s="291">
        <v>-0.35</v>
      </c>
      <c r="Q141" s="291">
        <v>-0.35</v>
      </c>
    </row>
    <row r="142" spans="2:17" ht="3.75" customHeight="1" x14ac:dyDescent="0.35">
      <c r="B142" s="260"/>
      <c r="E142" s="858"/>
      <c r="F142" s="858"/>
      <c r="G142" s="143"/>
      <c r="H142" s="858"/>
      <c r="I142" s="858"/>
      <c r="J142" s="858"/>
      <c r="K142" s="858"/>
      <c r="L142" s="858"/>
      <c r="M142" s="858"/>
      <c r="N142" s="858"/>
      <c r="O142" s="858"/>
      <c r="P142" s="858"/>
      <c r="Q142" s="858"/>
    </row>
    <row r="143" spans="2:17" s="140" customFormat="1" ht="15.5" x14ac:dyDescent="0.35">
      <c r="B143" s="260" t="s">
        <v>519</v>
      </c>
      <c r="E143" s="317">
        <f>+_xlfn.XLOOKUP($B143,Inputs!$B:$B,Inputs!O:O)</f>
        <v>324.7</v>
      </c>
      <c r="F143" s="317">
        <f>+_xlfn.XLOOKUP($B143,Inputs!$B:$B,Inputs!P:P)</f>
        <v>1540.3</v>
      </c>
      <c r="G143" s="868">
        <f>+_xlfn.XLOOKUP($B143,Inputs!$B:$B,Inputs!Q:Q)</f>
        <v>66.8</v>
      </c>
      <c r="H143" s="303">
        <f>IFERROR(H144*G104,"")</f>
        <v>740.2451754297515</v>
      </c>
      <c r="I143" s="303">
        <f t="shared" ref="I143:Q143" si="84">IFERROR(I144*H104,"")</f>
        <v>1004.5824741228971</v>
      </c>
      <c r="J143" s="303">
        <f t="shared" si="84"/>
        <v>759.57239814905608</v>
      </c>
      <c r="K143" s="303">
        <f t="shared" si="84"/>
        <v>1147.0497351501547</v>
      </c>
      <c r="L143" s="303">
        <f t="shared" si="84"/>
        <v>1317.7559553687506</v>
      </c>
      <c r="M143" s="303">
        <f t="shared" si="84"/>
        <v>1414.6594395229863</v>
      </c>
      <c r="N143" s="303">
        <f t="shared" si="84"/>
        <v>1707.1346722330029</v>
      </c>
      <c r="O143" s="303">
        <f t="shared" si="84"/>
        <v>1919.6188919272158</v>
      </c>
      <c r="P143" s="303">
        <f t="shared" si="84"/>
        <v>2140.4827557562307</v>
      </c>
      <c r="Q143" s="303">
        <f t="shared" si="84"/>
        <v>2413.2984396581523</v>
      </c>
    </row>
    <row r="144" spans="2:17" customFormat="1" ht="14.5" x14ac:dyDescent="0.35">
      <c r="B144" s="270" t="s">
        <v>520</v>
      </c>
      <c r="E144" s="859">
        <f>IFERROR(E143/E104,"")</f>
        <v>2.4151606933526925E-3</v>
      </c>
      <c r="F144" s="859">
        <f t="shared" ref="F144:G144" si="85">IFERROR(F143/F104,"")</f>
        <v>1.1075215547149299E-2</v>
      </c>
      <c r="G144" s="299">
        <f t="shared" si="85"/>
        <v>4.18377022834116E-4</v>
      </c>
      <c r="H144" s="291">
        <f>IFERROR(AVERAGE(E144:G144),"")</f>
        <v>4.6362510877787028E-3</v>
      </c>
      <c r="I144" s="291">
        <f t="shared" ref="I144:Q144" si="86">IFERROR(AVERAGE(F144:H144),"")</f>
        <v>5.3766145525873726E-3</v>
      </c>
      <c r="J144" s="291">
        <f t="shared" si="86"/>
        <v>3.4770808877333972E-3</v>
      </c>
      <c r="K144" s="291">
        <f t="shared" si="86"/>
        <v>4.4966488426998246E-3</v>
      </c>
      <c r="L144" s="291">
        <f>IFERROR(AVERAGE(I144:K144),"")</f>
        <v>4.4501147610068641E-3</v>
      </c>
      <c r="M144" s="291">
        <f t="shared" si="86"/>
        <v>4.1412814971466955E-3</v>
      </c>
      <c r="N144" s="291">
        <f t="shared" si="86"/>
        <v>4.3626817002844617E-3</v>
      </c>
      <c r="O144" s="291">
        <f t="shared" si="86"/>
        <v>4.3180259861460074E-3</v>
      </c>
      <c r="P144" s="291">
        <f t="shared" si="86"/>
        <v>4.2739963945257224E-3</v>
      </c>
      <c r="Q144" s="291">
        <f t="shared" si="86"/>
        <v>4.3182346936520635E-3</v>
      </c>
    </row>
    <row r="145" spans="2:17" ht="3.75" customHeight="1" x14ac:dyDescent="0.35">
      <c r="B145" s="140"/>
      <c r="E145" s="858"/>
      <c r="F145" s="858"/>
      <c r="G145" s="143"/>
      <c r="H145" s="858"/>
      <c r="I145" s="858"/>
      <c r="J145" s="858"/>
      <c r="K145" s="858"/>
      <c r="L145" s="858"/>
      <c r="M145" s="858"/>
      <c r="N145" s="858"/>
      <c r="O145" s="858"/>
      <c r="P145" s="858"/>
      <c r="Q145" s="858"/>
    </row>
    <row r="146" spans="2:17" ht="13.5" hidden="1" customHeight="1" x14ac:dyDescent="0.35">
      <c r="B146" s="185" t="s">
        <v>521</v>
      </c>
      <c r="E146" s="317">
        <f>+_xlfn.XLOOKUP($B146,Inputs!$B:$B,Inputs!O:O)</f>
        <v>-38696.399999999994</v>
      </c>
      <c r="F146" s="317">
        <f>+_xlfn.XLOOKUP($B146,Inputs!$B:$B,Inputs!P:P)</f>
        <v>-14491.200000000003</v>
      </c>
      <c r="G146" s="868">
        <f>+_xlfn.XLOOKUP($B146,Inputs!$B:$B,Inputs!Q:Q)</f>
        <v>-33208.699999999997</v>
      </c>
      <c r="H146" s="860">
        <v>0</v>
      </c>
      <c r="I146" s="860">
        <v>0</v>
      </c>
      <c r="J146" s="860">
        <v>0</v>
      </c>
      <c r="K146" s="860">
        <v>0</v>
      </c>
      <c r="L146" s="860">
        <v>0</v>
      </c>
      <c r="M146" s="860">
        <v>0</v>
      </c>
      <c r="N146" s="860">
        <v>0</v>
      </c>
      <c r="O146" s="860">
        <v>0</v>
      </c>
      <c r="P146" s="860">
        <v>0</v>
      </c>
      <c r="Q146" s="860">
        <v>0</v>
      </c>
    </row>
    <row r="147" spans="2:17" ht="3.75" hidden="1" customHeight="1" x14ac:dyDescent="0.35">
      <c r="B147" s="140"/>
      <c r="E147" s="858"/>
      <c r="F147" s="858"/>
      <c r="G147" s="143"/>
      <c r="H147" s="858"/>
      <c r="I147" s="858"/>
      <c r="J147" s="858"/>
      <c r="K147" s="858"/>
      <c r="L147" s="858"/>
      <c r="M147" s="858"/>
      <c r="N147" s="858"/>
      <c r="O147" s="858"/>
      <c r="P147" s="858"/>
      <c r="Q147" s="858"/>
    </row>
    <row r="148" spans="2:17" ht="13.5" hidden="1" customHeight="1" x14ac:dyDescent="0.35">
      <c r="B148" s="114" t="s">
        <v>522</v>
      </c>
      <c r="E148" s="318">
        <f>+_xlfn.XLOOKUP($B148,Inputs!$B:$B,Inputs!O:O)</f>
        <v>40236.899999999994</v>
      </c>
      <c r="F148" s="318">
        <f>+_xlfn.XLOOKUP($B148,Inputs!$B:$B,Inputs!P:P)</f>
        <v>14396.000000000002</v>
      </c>
      <c r="G148" s="866">
        <f>+_xlfn.XLOOKUP($B148,Inputs!$B:$B,Inputs!Q:Q)</f>
        <v>31799.899999999998</v>
      </c>
      <c r="H148" s="156">
        <f t="shared" ref="H148:Q148" si="87">IFERROR(AVERAGE(E148:G148)*(1+H37),"")</f>
        <v>34719.274027319378</v>
      </c>
      <c r="I148" s="156">
        <f t="shared" si="87"/>
        <v>31506.748253935195</v>
      </c>
      <c r="J148" s="156">
        <f t="shared" si="87"/>
        <v>37469.96928438032</v>
      </c>
      <c r="K148" s="156">
        <f t="shared" si="87"/>
        <v>38979.664907333427</v>
      </c>
      <c r="L148" s="156">
        <f t="shared" si="87"/>
        <v>39932.146513398111</v>
      </c>
      <c r="M148" s="156">
        <f t="shared" si="87"/>
        <v>42374.325475319187</v>
      </c>
      <c r="N148" s="156">
        <f t="shared" si="87"/>
        <v>43468.299679491938</v>
      </c>
      <c r="O148" s="156">
        <f t="shared" si="87"/>
        <v>44375.784441350719</v>
      </c>
      <c r="P148" s="156">
        <f t="shared" si="87"/>
        <v>44907.271725554223</v>
      </c>
      <c r="Q148" s="156">
        <f t="shared" si="87"/>
        <v>45546.419032982703</v>
      </c>
    </row>
    <row r="149" spans="2:17" ht="5.25" hidden="1" customHeight="1" x14ac:dyDescent="0.35">
      <c r="E149" s="317"/>
      <c r="F149" s="317"/>
      <c r="G149" s="868"/>
      <c r="H149" s="303"/>
      <c r="I149" s="303"/>
      <c r="J149" s="303"/>
      <c r="K149" s="303"/>
      <c r="L149" s="303"/>
      <c r="M149" s="303"/>
      <c r="N149" s="303"/>
      <c r="O149" s="303"/>
      <c r="P149" s="303"/>
      <c r="Q149" s="303"/>
    </row>
    <row r="150" spans="2:17" ht="13.5" hidden="1" customHeight="1" x14ac:dyDescent="0.35">
      <c r="B150" s="137" t="s">
        <v>300</v>
      </c>
      <c r="C150" s="137"/>
      <c r="D150" s="137"/>
      <c r="E150" s="319">
        <f>+_xlfn.XLOOKUP($B150,Inputs!$B:$B,Inputs!O:O)</f>
        <v>-17883.7</v>
      </c>
      <c r="F150" s="319">
        <f>+_xlfn.XLOOKUP($B150,Inputs!$B:$B,Inputs!P:P)</f>
        <v>-7334.7</v>
      </c>
      <c r="G150" s="867">
        <f>+_xlfn.XLOOKUP($B150,Inputs!$B:$B,Inputs!Q:Q)</f>
        <v>-18004.599999999999</v>
      </c>
      <c r="H150" s="861">
        <f>IFERROR(+H138+H146+H148,"")</f>
        <v>7540.9333074076676</v>
      </c>
      <c r="I150" s="861">
        <f t="shared" ref="I150:Q150" si="88">IFERROR(+I138+I146+I148,"")</f>
        <v>-101.48391336140048</v>
      </c>
      <c r="J150" s="861">
        <f t="shared" si="88"/>
        <v>831.23515953552123</v>
      </c>
      <c r="K150" s="861">
        <f t="shared" si="88"/>
        <v>-2047.7253052362139</v>
      </c>
      <c r="L150" s="861">
        <f t="shared" si="88"/>
        <v>-5549.9960724999692</v>
      </c>
      <c r="M150" s="861">
        <f t="shared" si="88"/>
        <v>-7330.2054167881142</v>
      </c>
      <c r="N150" s="861">
        <f t="shared" si="88"/>
        <v>-9787.0949589265438</v>
      </c>
      <c r="O150" s="861">
        <f t="shared" si="88"/>
        <v>-11880.143018933173</v>
      </c>
      <c r="P150" s="861">
        <f t="shared" si="88"/>
        <v>-13139.704632726854</v>
      </c>
      <c r="Q150" s="861">
        <f t="shared" si="88"/>
        <v>-13990.457330327714</v>
      </c>
    </row>
    <row r="151" spans="2:17" ht="3.75" hidden="1" customHeight="1" x14ac:dyDescent="0.35">
      <c r="E151" s="317"/>
      <c r="F151" s="317"/>
      <c r="G151" s="868"/>
      <c r="H151" s="303"/>
      <c r="I151" s="303"/>
      <c r="J151" s="303"/>
      <c r="K151" s="303"/>
      <c r="L151" s="303"/>
      <c r="M151" s="303"/>
      <c r="N151" s="303"/>
      <c r="O151" s="303"/>
      <c r="P151" s="303"/>
      <c r="Q151" s="303"/>
    </row>
    <row r="152" spans="2:17" ht="13.5" hidden="1" customHeight="1" x14ac:dyDescent="0.35">
      <c r="B152" s="114" t="s">
        <v>523</v>
      </c>
      <c r="E152" s="304">
        <f>+_xlfn.XLOOKUP($B152,Inputs!$B:$B,Inputs!O:O)</f>
        <v>-1680.9</v>
      </c>
      <c r="F152" s="304">
        <f>+_xlfn.XLOOKUP($B152,Inputs!$B:$B,Inputs!P:P)</f>
        <v>-825.6</v>
      </c>
      <c r="G152" s="865">
        <f>+_xlfn.XLOOKUP($B152,Inputs!$B:$B,Inputs!Q:Q)</f>
        <v>-826.3</v>
      </c>
      <c r="H152" s="114">
        <f t="shared" ref="H152:Q152" si="89">+IFERROR(H153*_xlfn.XLOOKUP("Net Income",$B:$B,$H:$H),"")</f>
        <v>0</v>
      </c>
      <c r="I152" s="114">
        <f t="shared" si="89"/>
        <v>0</v>
      </c>
      <c r="J152" s="114">
        <f t="shared" si="89"/>
        <v>0</v>
      </c>
      <c r="K152" s="114">
        <f t="shared" si="89"/>
        <v>0</v>
      </c>
      <c r="L152" s="114">
        <f t="shared" si="89"/>
        <v>0</v>
      </c>
      <c r="M152" s="114">
        <f t="shared" si="89"/>
        <v>0</v>
      </c>
      <c r="N152" s="114">
        <f t="shared" si="89"/>
        <v>0</v>
      </c>
      <c r="O152" s="114">
        <f t="shared" si="89"/>
        <v>0</v>
      </c>
      <c r="P152" s="114">
        <f t="shared" si="89"/>
        <v>0</v>
      </c>
      <c r="Q152" s="114">
        <f t="shared" si="89"/>
        <v>0</v>
      </c>
    </row>
    <row r="153" spans="2:17" ht="13.5" hidden="1" customHeight="1" x14ac:dyDescent="0.35">
      <c r="B153" s="261" t="s">
        <v>524</v>
      </c>
      <c r="E153" s="862">
        <f>IFERROR(-E152/E$85,"")</f>
        <v>0.74983271624213832</v>
      </c>
      <c r="F153" s="862">
        <f>IFERROR(-F152/F$85,"")</f>
        <v>-9.03519523726143E-2</v>
      </c>
      <c r="G153" s="869">
        <f>IFERROR(-G152/G$85,"")</f>
        <v>4.1738436437660072E-2</v>
      </c>
      <c r="H153" s="863"/>
      <c r="I153" s="863"/>
      <c r="J153" s="863"/>
      <c r="K153" s="863"/>
      <c r="L153" s="863"/>
      <c r="M153" s="863"/>
      <c r="N153" s="863"/>
      <c r="O153" s="863"/>
      <c r="P153" s="863"/>
      <c r="Q153" s="863"/>
    </row>
    <row r="154" spans="2:17" ht="3.75" hidden="1" customHeight="1" x14ac:dyDescent="0.35">
      <c r="E154" s="317"/>
      <c r="F154" s="317"/>
      <c r="G154" s="868"/>
      <c r="H154" s="303"/>
      <c r="I154" s="303"/>
      <c r="J154" s="303"/>
      <c r="K154" s="303"/>
      <c r="L154" s="303"/>
      <c r="M154" s="303"/>
      <c r="N154" s="303"/>
      <c r="O154" s="303"/>
      <c r="P154" s="303"/>
      <c r="Q154" s="303"/>
    </row>
    <row r="155" spans="2:17" ht="13.5" hidden="1" customHeight="1" x14ac:dyDescent="0.35">
      <c r="B155" s="114" t="s">
        <v>525</v>
      </c>
      <c r="E155" s="304">
        <f>+_xlfn.XLOOKUP($B155,Inputs!$B:$B,Inputs!O:O)</f>
        <v>11.7</v>
      </c>
      <c r="F155" s="304">
        <f>+_xlfn.XLOOKUP($B155,Inputs!$B:$B,Inputs!P:P)</f>
        <v>24.6</v>
      </c>
      <c r="G155" s="865">
        <f>+_xlfn.XLOOKUP($B155,Inputs!$B:$B,Inputs!Q:Q)</f>
        <v>93.8</v>
      </c>
      <c r="H155" s="156">
        <f t="shared" ref="H155:Q155" si="90">IFERROR(-H156*_xlfn.XLOOKUP("Net Income",$B:$B,H:H),"")</f>
        <v>0</v>
      </c>
      <c r="I155" s="156">
        <f t="shared" si="90"/>
        <v>0</v>
      </c>
      <c r="J155" s="156">
        <f t="shared" si="90"/>
        <v>0</v>
      </c>
      <c r="K155" s="156">
        <f t="shared" si="90"/>
        <v>0</v>
      </c>
      <c r="L155" s="156">
        <f t="shared" si="90"/>
        <v>0</v>
      </c>
      <c r="M155" s="156">
        <f t="shared" si="90"/>
        <v>0</v>
      </c>
      <c r="N155" s="156">
        <f t="shared" si="90"/>
        <v>0</v>
      </c>
      <c r="O155" s="156">
        <f t="shared" si="90"/>
        <v>0</v>
      </c>
      <c r="P155" s="156">
        <f t="shared" si="90"/>
        <v>0</v>
      </c>
      <c r="Q155" s="156">
        <f t="shared" si="90"/>
        <v>0</v>
      </c>
    </row>
    <row r="156" spans="2:17" ht="13.5" hidden="1" customHeight="1" x14ac:dyDescent="0.35">
      <c r="B156" s="261" t="s">
        <v>526</v>
      </c>
      <c r="E156" s="862">
        <f>IFERROR(-E155/E$85,"")</f>
        <v>-5.2192532453049067E-3</v>
      </c>
      <c r="F156" s="862">
        <f>IFERROR(-F155/F$85,"")</f>
        <v>2.6921729994746997E-3</v>
      </c>
      <c r="G156" s="869">
        <f>IFERROR(-G155/G$85,"")</f>
        <v>-4.7380676967838731E-3</v>
      </c>
      <c r="H156" s="863"/>
      <c r="I156" s="863"/>
      <c r="J156" s="863"/>
      <c r="K156" s="863"/>
      <c r="L156" s="863"/>
      <c r="M156" s="863"/>
      <c r="N156" s="863"/>
      <c r="O156" s="863"/>
      <c r="P156" s="863"/>
      <c r="Q156" s="863"/>
    </row>
    <row r="157" spans="2:17" ht="3.75" hidden="1" customHeight="1" x14ac:dyDescent="0.35">
      <c r="E157" s="317"/>
      <c r="F157" s="317"/>
      <c r="G157" s="868"/>
      <c r="H157" s="303"/>
      <c r="I157" s="303"/>
      <c r="J157" s="303"/>
      <c r="K157" s="303"/>
      <c r="L157" s="303"/>
      <c r="M157" s="303"/>
      <c r="N157" s="303"/>
      <c r="O157" s="303"/>
      <c r="P157" s="303"/>
      <c r="Q157" s="303"/>
    </row>
    <row r="158" spans="2:17" ht="15.5" hidden="1" x14ac:dyDescent="0.35">
      <c r="B158" s="114" t="s">
        <v>527</v>
      </c>
      <c r="E158" s="304">
        <f>+_xlfn.XLOOKUP($B158,Inputs!$B:$B,Inputs!O:O)</f>
        <v>1818.3000000000002</v>
      </c>
      <c r="F158" s="304">
        <f>+_xlfn.XLOOKUP($B158,Inputs!$B:$B,Inputs!P:P)</f>
        <v>2679.3</v>
      </c>
      <c r="G158" s="865">
        <f>+_xlfn.XLOOKUP($B158,Inputs!$B:$B,Inputs!Q:Q)</f>
        <v>2811.5</v>
      </c>
      <c r="H158" s="156">
        <f>+IFERROR(H159*H105,"")</f>
        <v>0</v>
      </c>
      <c r="I158" s="156">
        <f t="shared" ref="I158:Q158" si="91">+IFERROR(I159*I105,"")</f>
        <v>0</v>
      </c>
      <c r="J158" s="156">
        <f t="shared" si="91"/>
        <v>0</v>
      </c>
      <c r="K158" s="156">
        <f t="shared" si="91"/>
        <v>0</v>
      </c>
      <c r="L158" s="156">
        <f t="shared" si="91"/>
        <v>0</v>
      </c>
      <c r="M158" s="156">
        <f t="shared" si="91"/>
        <v>0</v>
      </c>
      <c r="N158" s="156">
        <f t="shared" si="91"/>
        <v>0</v>
      </c>
      <c r="O158" s="156">
        <f t="shared" si="91"/>
        <v>0</v>
      </c>
      <c r="P158" s="156">
        <f t="shared" si="91"/>
        <v>0</v>
      </c>
      <c r="Q158" s="156">
        <f t="shared" si="91"/>
        <v>0</v>
      </c>
    </row>
    <row r="159" spans="2:17" ht="15.5" hidden="1" x14ac:dyDescent="0.35">
      <c r="B159" s="261" t="s">
        <v>528</v>
      </c>
      <c r="E159" s="280" t="str">
        <f>IFERROR(E158/E105,"")</f>
        <v/>
      </c>
      <c r="F159" s="280" t="str">
        <f t="shared" ref="F159:G159" si="92">IFERROR(F158/F105,"")</f>
        <v/>
      </c>
      <c r="G159" s="268" t="str">
        <f t="shared" si="92"/>
        <v/>
      </c>
      <c r="H159" s="291"/>
      <c r="I159" s="291"/>
      <c r="J159" s="291"/>
      <c r="K159" s="291"/>
      <c r="L159" s="291"/>
      <c r="M159" s="291"/>
      <c r="N159" s="291"/>
      <c r="O159" s="291"/>
      <c r="P159" s="291"/>
      <c r="Q159" s="291"/>
    </row>
    <row r="160" spans="2:17" ht="3.75" hidden="1" customHeight="1" x14ac:dyDescent="0.35">
      <c r="B160" s="261"/>
      <c r="E160" s="280"/>
      <c r="F160" s="280"/>
      <c r="G160" s="268"/>
      <c r="H160" s="315"/>
      <c r="I160" s="315"/>
      <c r="J160" s="315"/>
      <c r="K160" s="315"/>
      <c r="L160" s="315"/>
      <c r="M160" s="315"/>
      <c r="N160" s="315"/>
      <c r="O160" s="315"/>
      <c r="P160" s="315"/>
      <c r="Q160" s="315"/>
    </row>
    <row r="161" spans="1:17" ht="15.5" hidden="1" x14ac:dyDescent="0.35">
      <c r="B161" s="114" t="s">
        <v>301</v>
      </c>
      <c r="E161" s="318">
        <f>+_xlfn.XLOOKUP($B161,Inputs!$B:$B,Inputs!O:O)</f>
        <v>19404.7</v>
      </c>
      <c r="F161" s="318">
        <f>+_xlfn.XLOOKUP($B161,Inputs!$B:$B,Inputs!P:P)</f>
        <v>23757</v>
      </c>
      <c r="G161" s="866">
        <f>+_xlfn.XLOOKUP($B161,Inputs!$B:$B,Inputs!Q:Q)</f>
        <v>18715</v>
      </c>
      <c r="H161" s="303">
        <f>IFERROR(MAX(0,-G250),"")</f>
        <v>0</v>
      </c>
      <c r="I161" s="303">
        <f t="shared" ref="I161:Q161" si="93">IFERROR(MAX(0,-H250),"")</f>
        <v>21069.213374138017</v>
      </c>
      <c r="J161" s="303">
        <f t="shared" si="93"/>
        <v>0</v>
      </c>
      <c r="K161" s="303">
        <f t="shared" si="93"/>
        <v>17871.816770924896</v>
      </c>
      <c r="L161" s="303">
        <f t="shared" si="93"/>
        <v>3980.5812521004518</v>
      </c>
      <c r="M161" s="303">
        <f t="shared" si="93"/>
        <v>17663.213982141049</v>
      </c>
      <c r="N161" s="303">
        <f t="shared" si="93"/>
        <v>4944.0606098462667</v>
      </c>
      <c r="O161" s="303">
        <f t="shared" si="93"/>
        <v>18741.474613656454</v>
      </c>
      <c r="P161" s="303">
        <f t="shared" si="93"/>
        <v>4851.0334259146366</v>
      </c>
      <c r="Q161" s="303">
        <f t="shared" si="93"/>
        <v>18283.624859620697</v>
      </c>
    </row>
    <row r="162" spans="1:17" ht="3.75" hidden="1" customHeight="1" x14ac:dyDescent="0.35">
      <c r="B162" s="261"/>
      <c r="E162" s="280"/>
      <c r="F162" s="280"/>
      <c r="G162" s="268"/>
      <c r="H162" s="315"/>
      <c r="I162" s="315"/>
      <c r="J162" s="315"/>
      <c r="K162" s="315"/>
      <c r="L162" s="315"/>
      <c r="M162" s="315"/>
      <c r="N162" s="315"/>
      <c r="O162" s="315"/>
      <c r="P162" s="315"/>
      <c r="Q162" s="315"/>
    </row>
    <row r="163" spans="1:17" ht="15.5" hidden="1" x14ac:dyDescent="0.35">
      <c r="B163" s="114" t="s">
        <v>302</v>
      </c>
      <c r="E163" s="318">
        <f>+_xlfn.XLOOKUP($B163,Inputs!$B:$B,Inputs!O:O)</f>
        <v>4491</v>
      </c>
      <c r="F163" s="318">
        <f>+_xlfn.XLOOKUP($B163,Inputs!$B:$B,Inputs!P:P)</f>
        <v>6507.1</v>
      </c>
      <c r="G163" s="866">
        <f>+_xlfn.XLOOKUP($B163,Inputs!$B:$B,Inputs!Q:Q)</f>
        <v>-7977.5</v>
      </c>
      <c r="H163" s="303">
        <f>IFERROR(MAX(0,H164*G250),"")</f>
        <v>0</v>
      </c>
      <c r="I163" s="303">
        <f t="shared" ref="I163:Q163" si="94">IFERROR(MAX(0,I164*H250),"")</f>
        <v>0</v>
      </c>
      <c r="J163" s="303">
        <f t="shared" si="94"/>
        <v>0</v>
      </c>
      <c r="K163" s="303">
        <f t="shared" si="94"/>
        <v>0</v>
      </c>
      <c r="L163" s="303">
        <f t="shared" si="94"/>
        <v>0</v>
      </c>
      <c r="M163" s="303">
        <f t="shared" si="94"/>
        <v>0</v>
      </c>
      <c r="N163" s="303">
        <f t="shared" si="94"/>
        <v>0</v>
      </c>
      <c r="O163" s="303">
        <f t="shared" si="94"/>
        <v>0</v>
      </c>
      <c r="P163" s="303">
        <f t="shared" si="94"/>
        <v>0</v>
      </c>
      <c r="Q163" s="303">
        <f t="shared" si="94"/>
        <v>0</v>
      </c>
    </row>
    <row r="164" spans="1:17" ht="15.5" hidden="1" x14ac:dyDescent="0.35">
      <c r="B164" s="261" t="s">
        <v>529</v>
      </c>
      <c r="E164" s="280">
        <f>IFERROR(E163/E250,"")</f>
        <v>-0.95998460946517872</v>
      </c>
      <c r="F164" s="280">
        <f t="shared" ref="F164:G164" si="95">IFERROR(F163/F250,"")</f>
        <v>2.6834508639531434</v>
      </c>
      <c r="G164" s="268">
        <f t="shared" si="95"/>
        <v>-0.32669500548757519</v>
      </c>
      <c r="H164" s="291"/>
      <c r="I164" s="291"/>
      <c r="J164" s="291"/>
      <c r="K164" s="291"/>
      <c r="L164" s="291"/>
      <c r="M164" s="291"/>
      <c r="N164" s="291"/>
      <c r="O164" s="291"/>
      <c r="P164" s="291"/>
      <c r="Q164" s="291"/>
    </row>
    <row r="165" spans="1:17" ht="3.75" hidden="1" customHeight="1" x14ac:dyDescent="0.35">
      <c r="B165" s="261"/>
      <c r="E165" s="280"/>
      <c r="F165" s="280"/>
      <c r="G165" s="268"/>
      <c r="H165" s="315"/>
      <c r="I165" s="315"/>
      <c r="J165" s="315"/>
      <c r="K165" s="315"/>
      <c r="L165" s="315"/>
      <c r="M165" s="315"/>
      <c r="N165" s="315"/>
      <c r="O165" s="315"/>
      <c r="P165" s="315"/>
      <c r="Q165" s="315"/>
    </row>
    <row r="166" spans="1:17" ht="15.5" hidden="1" x14ac:dyDescent="0.35">
      <c r="B166" s="114" t="s">
        <v>530</v>
      </c>
      <c r="E166" s="318">
        <f>+_xlfn.XLOOKUP($B166,Inputs!$B:$B,Inputs!O:O)</f>
        <v>-21223</v>
      </c>
      <c r="F166" s="318">
        <f>+_xlfn.XLOOKUP($B166,Inputs!$B:$B,Inputs!P:P)</f>
        <v>-26445.600000000002</v>
      </c>
      <c r="G166" s="866">
        <f>+_xlfn.XLOOKUP($B166,Inputs!$B:$B,Inputs!Q:Q)</f>
        <v>-21520.400000000001</v>
      </c>
      <c r="H166" s="303">
        <f t="shared" ref="H166:Q166" si="96">IFERROR(AVERAGE(E166:G166)*(1+H37),"")</f>
        <v>-27792.595527117031</v>
      </c>
      <c r="I166" s="303">
        <f t="shared" si="96"/>
        <v>-29498.879858290682</v>
      </c>
      <c r="J166" s="303">
        <f t="shared" si="96"/>
        <v>-30125.486006269912</v>
      </c>
      <c r="K166" s="303">
        <f t="shared" si="96"/>
        <v>-32860.323825613967</v>
      </c>
      <c r="L166" s="303">
        <f t="shared" si="96"/>
        <v>-34209.299119609917</v>
      </c>
      <c r="M166" s="303">
        <f t="shared" si="96"/>
        <v>-35388.504595537663</v>
      </c>
      <c r="N166" s="303">
        <f t="shared" si="96"/>
        <v>-36720.442307091478</v>
      </c>
      <c r="O166" s="303">
        <f t="shared" si="96"/>
        <v>-37511.143968611017</v>
      </c>
      <c r="P166" s="303">
        <f t="shared" si="96"/>
        <v>-37803.71164569824</v>
      </c>
      <c r="Q166" s="303">
        <f t="shared" si="96"/>
        <v>-38438.828689007874</v>
      </c>
    </row>
    <row r="167" spans="1:17" ht="5.25" hidden="1" customHeight="1" x14ac:dyDescent="0.35">
      <c r="E167" s="318"/>
      <c r="F167" s="318"/>
      <c r="G167" s="866"/>
      <c r="H167" s="303"/>
      <c r="I167" s="303"/>
      <c r="J167" s="303"/>
      <c r="K167" s="303"/>
      <c r="L167" s="303"/>
      <c r="M167" s="303"/>
      <c r="N167" s="303"/>
      <c r="O167" s="303"/>
      <c r="P167" s="303"/>
      <c r="Q167" s="303"/>
    </row>
    <row r="168" spans="1:17" ht="15.5" hidden="1" x14ac:dyDescent="0.35">
      <c r="B168" s="137" t="s">
        <v>303</v>
      </c>
      <c r="C168" s="137"/>
      <c r="D168" s="137"/>
      <c r="E168" s="319">
        <f>+_xlfn.XLOOKUP($B168,Inputs!$B:$B,Inputs!O:O)</f>
        <v>2821.8</v>
      </c>
      <c r="F168" s="319">
        <f>+_xlfn.XLOOKUP($B168,Inputs!$B:$B,Inputs!P:P)</f>
        <v>5696.8</v>
      </c>
      <c r="G168" s="867">
        <f>+_xlfn.XLOOKUP($B168,Inputs!$B:$B,Inputs!Q:Q)</f>
        <v>-8703.9</v>
      </c>
      <c r="H168" s="861">
        <f>IFERROR(+H152+H155+H158+H161+H163+H166,"")</f>
        <v>-27792.595527117031</v>
      </c>
      <c r="I168" s="861">
        <f t="shared" ref="I168:Q168" si="97">IFERROR(+I152+I155+I158+I161+I163+I166,"")</f>
        <v>-8429.6664841526654</v>
      </c>
      <c r="J168" s="861">
        <f t="shared" si="97"/>
        <v>-30125.486006269912</v>
      </c>
      <c r="K168" s="861">
        <f t="shared" si="97"/>
        <v>-14988.507054689071</v>
      </c>
      <c r="L168" s="861">
        <f t="shared" si="97"/>
        <v>-30228.717867509466</v>
      </c>
      <c r="M168" s="861">
        <f t="shared" si="97"/>
        <v>-17725.290613396613</v>
      </c>
      <c r="N168" s="861">
        <f t="shared" si="97"/>
        <v>-31776.381697245211</v>
      </c>
      <c r="O168" s="861">
        <f t="shared" si="97"/>
        <v>-18769.669354954563</v>
      </c>
      <c r="P168" s="861">
        <f t="shared" si="97"/>
        <v>-32952.6782197836</v>
      </c>
      <c r="Q168" s="861">
        <f t="shared" si="97"/>
        <v>-20155.203829387177</v>
      </c>
    </row>
    <row r="169" spans="1:17" ht="3.75" hidden="1" customHeight="1" x14ac:dyDescent="0.35">
      <c r="B169" s="261"/>
      <c r="E169" s="280"/>
      <c r="F169" s="280"/>
      <c r="G169" s="268"/>
      <c r="H169" s="315"/>
      <c r="I169" s="315"/>
      <c r="J169" s="315"/>
      <c r="K169" s="315"/>
      <c r="L169" s="315"/>
      <c r="M169" s="315"/>
      <c r="N169" s="315"/>
      <c r="O169" s="315"/>
      <c r="P169" s="315"/>
      <c r="Q169" s="315"/>
    </row>
    <row r="170" spans="1:17" ht="15.5" hidden="1" x14ac:dyDescent="0.35">
      <c r="B170" s="185" t="s">
        <v>304</v>
      </c>
      <c r="E170" s="864">
        <f>+_xlfn.XLOOKUP($B170,Inputs!$B:$B,Inputs!O:O)</f>
        <v>-81</v>
      </c>
      <c r="F170" s="864">
        <f>+_xlfn.XLOOKUP($B170,Inputs!$B:$B,Inputs!P:P)</f>
        <v>2610.3000000000002</v>
      </c>
      <c r="G170" s="870">
        <f>+_xlfn.XLOOKUP($B170,Inputs!$B:$B,Inputs!Q:Q)</f>
        <v>3617.8</v>
      </c>
      <c r="H170" s="861">
        <f>IFERROR(+H136+H150+H168,"")</f>
        <v>-12654.229714336288</v>
      </c>
      <c r="I170" s="861">
        <f t="shared" ref="I170:Q170" si="98">IFERROR(+I136+I150+I168,"")</f>
        <v>7010.3277184124545</v>
      </c>
      <c r="J170" s="861">
        <f t="shared" si="98"/>
        <v>-8085.6831717261848</v>
      </c>
      <c r="K170" s="861">
        <f t="shared" si="98"/>
        <v>4160.1420811685457</v>
      </c>
      <c r="L170" s="861">
        <f t="shared" si="98"/>
        <v>-9754.1315704105145</v>
      </c>
      <c r="M170" s="861">
        <f t="shared" si="98"/>
        <v>4462.7425521161313</v>
      </c>
      <c r="N170" s="861">
        <f t="shared" si="98"/>
        <v>-9617.9627836125401</v>
      </c>
      <c r="O170" s="861">
        <f t="shared" si="98"/>
        <v>4477.2999463970082</v>
      </c>
      <c r="P170" s="861">
        <f t="shared" si="98"/>
        <v>-8676.2590817486198</v>
      </c>
      <c r="Q170" s="861">
        <f t="shared" si="98"/>
        <v>4808.5339050691073</v>
      </c>
    </row>
    <row r="171" spans="1:17" ht="15.5" hidden="1" x14ac:dyDescent="0.35">
      <c r="B171" s="261"/>
      <c r="E171" s="304"/>
      <c r="F171" s="280"/>
      <c r="G171" s="268"/>
      <c r="H171" s="315"/>
      <c r="I171" s="315"/>
      <c r="J171" s="315"/>
      <c r="K171" s="315"/>
      <c r="L171" s="315"/>
      <c r="M171" s="315"/>
      <c r="N171" s="315"/>
      <c r="O171" s="315"/>
      <c r="P171" s="315"/>
      <c r="Q171" s="315"/>
    </row>
    <row r="172" spans="1:17" ht="3.75" customHeight="1" x14ac:dyDescent="0.35">
      <c r="G172" s="135"/>
      <c r="H172" s="119"/>
      <c r="I172" s="119"/>
      <c r="J172" s="119"/>
      <c r="K172" s="119"/>
      <c r="L172" s="119"/>
      <c r="O172" s="119"/>
      <c r="P172" s="119"/>
      <c r="Q172" s="119"/>
    </row>
    <row r="173" spans="1:17" ht="15.5" x14ac:dyDescent="0.35">
      <c r="A173" s="114" t="s">
        <v>440</v>
      </c>
      <c r="B173" s="43" t="s">
        <v>531</v>
      </c>
      <c r="C173" s="43"/>
      <c r="D173" s="43"/>
      <c r="E173" s="125">
        <f t="shared" ref="E173:Q173" si="99">E34</f>
        <v>2022</v>
      </c>
      <c r="F173" s="125">
        <f t="shared" si="99"/>
        <v>2023</v>
      </c>
      <c r="G173" s="151">
        <f t="shared" si="99"/>
        <v>2024</v>
      </c>
      <c r="H173" s="90">
        <f t="shared" si="99"/>
        <v>2025</v>
      </c>
      <c r="I173" s="90">
        <f t="shared" si="99"/>
        <v>2026</v>
      </c>
      <c r="J173" s="90">
        <f t="shared" si="99"/>
        <v>2027</v>
      </c>
      <c r="K173" s="90">
        <f t="shared" si="99"/>
        <v>2028</v>
      </c>
      <c r="L173" s="90">
        <f t="shared" si="99"/>
        <v>2029</v>
      </c>
      <c r="M173" s="90">
        <f t="shared" si="99"/>
        <v>2030</v>
      </c>
      <c r="N173" s="90">
        <f t="shared" si="99"/>
        <v>2031</v>
      </c>
      <c r="O173" s="90">
        <f t="shared" si="99"/>
        <v>2032</v>
      </c>
      <c r="P173" s="90">
        <f t="shared" si="99"/>
        <v>2033</v>
      </c>
      <c r="Q173" s="90">
        <f t="shared" si="99"/>
        <v>2034</v>
      </c>
    </row>
    <row r="174" spans="1:17" ht="4.1500000000000004" customHeight="1" x14ac:dyDescent="0.35">
      <c r="B174" s="44"/>
      <c r="C174" s="44"/>
      <c r="D174" s="44"/>
      <c r="E174" s="44"/>
      <c r="F174" s="44"/>
      <c r="G174" s="153"/>
      <c r="H174" s="44"/>
      <c r="I174" s="44"/>
      <c r="J174" s="44"/>
      <c r="K174" s="44"/>
      <c r="L174" s="44"/>
      <c r="M174" s="44"/>
      <c r="N174" s="44"/>
      <c r="O174" s="44"/>
      <c r="P174" s="44"/>
      <c r="Q174" s="44"/>
    </row>
    <row r="175" spans="1:17" ht="15.5" x14ac:dyDescent="0.35">
      <c r="B175" s="114" t="s">
        <v>215</v>
      </c>
      <c r="E175" s="139">
        <f>$E$36</f>
        <v>44621.599999999999</v>
      </c>
      <c r="F175" s="139">
        <f>$F$36</f>
        <v>32765.7</v>
      </c>
      <c r="G175" s="163">
        <f>$G$36</f>
        <v>66193</v>
      </c>
      <c r="H175" s="139">
        <f ca="1">IFERROR(G175*(1+H176),"")</f>
        <v>79767.388272404176</v>
      </c>
      <c r="I175" s="139">
        <f t="shared" ref="I175:Q175" ca="1" si="100">IFERROR(H175*(1+I176),"")</f>
        <v>93179.470404055697</v>
      </c>
      <c r="J175" s="139">
        <f t="shared" ca="1" si="100"/>
        <v>106852.30435141102</v>
      </c>
      <c r="K175" s="139">
        <f t="shared" ca="1" si="100"/>
        <v>120498.39985062797</v>
      </c>
      <c r="L175" s="139">
        <f t="shared" ca="1" si="100"/>
        <v>133713.99583219097</v>
      </c>
      <c r="M175" s="139">
        <f t="shared" ca="1" si="100"/>
        <v>146054.82951894368</v>
      </c>
      <c r="N175" s="139">
        <f t="shared" ca="1" si="100"/>
        <v>157035.79803043281</v>
      </c>
      <c r="O175" s="139">
        <f t="shared" ca="1" si="100"/>
        <v>166215.84672060312</v>
      </c>
      <c r="P175" s="139">
        <f t="shared" ca="1" si="100"/>
        <v>171964.16889724942</v>
      </c>
      <c r="Q175" s="139">
        <f t="shared" ca="1" si="100"/>
        <v>177000.49943705305</v>
      </c>
    </row>
    <row r="176" spans="1:17" ht="15.5" x14ac:dyDescent="0.35">
      <c r="B176" s="261" t="s">
        <v>477</v>
      </c>
      <c r="C176" s="261"/>
      <c r="D176" s="261"/>
      <c r="E176" s="292">
        <f>$E$37</f>
        <v>3.7764722846285056E-2</v>
      </c>
      <c r="F176" s="292">
        <f>$F$37</f>
        <v>-0.2656986750811266</v>
      </c>
      <c r="G176" s="293">
        <f>$G$37</f>
        <v>1.0201918469619145</v>
      </c>
      <c r="H176" s="292">
        <f ca="1">+OFFSET($H$176,$C$7,0)</f>
        <v>0.20507286680471015</v>
      </c>
      <c r="I176" s="292">
        <f ca="1">+OFFSET($I$176,$C$7,0)</f>
        <v>0.16813991810599971</v>
      </c>
      <c r="J176" s="292">
        <f ca="1">+OFFSET($J$176,$C$7,0)</f>
        <v>0.14673654924272039</v>
      </c>
      <c r="K176" s="292">
        <f ca="1">+OFFSET($K$176,$C$7,0)</f>
        <v>0.12770988498608604</v>
      </c>
      <c r="L176" s="292">
        <f ca="1">+OFFSET($L$176,$C$7,0)</f>
        <v>0.10967445209185578</v>
      </c>
      <c r="M176" s="292">
        <f ca="1">+OFFSET($M$176,$C$7,0)</f>
        <v>9.2292759706622318E-2</v>
      </c>
      <c r="N176" s="292">
        <f ca="1">+OFFSET($N$176,$C$7,0)</f>
        <v>7.5183878189148734E-2</v>
      </c>
      <c r="O176" s="292">
        <f ca="1">+OFFSET($O$176,$C$7,0)</f>
        <v>5.8458318455459901E-2</v>
      </c>
      <c r="P176" s="292">
        <f ca="1">+OFFSET($P$176,$C$7,0)</f>
        <v>3.4583478591597938E-2</v>
      </c>
      <c r="Q176" s="292">
        <f ca="1">+OFFSET($Q$176,$C$7,0)</f>
        <v>2.9287092608303089E-2</v>
      </c>
    </row>
    <row r="177" spans="2:29" ht="15.5" x14ac:dyDescent="0.35">
      <c r="B177" s="260" t="s">
        <v>450</v>
      </c>
      <c r="G177" s="146"/>
      <c r="H177" s="556">
        <f>IFERROR(+H178+$F$7,"")</f>
        <v>0.18507286680471016</v>
      </c>
      <c r="I177" s="556">
        <f t="shared" ref="I177:Q177" si="101">IFERROR(+I178+$F$7,"")</f>
        <v>0.14813991810599972</v>
      </c>
      <c r="J177" s="556">
        <f t="shared" si="101"/>
        <v>0.1267365492427204</v>
      </c>
      <c r="K177" s="556">
        <f t="shared" si="101"/>
        <v>0.10770988498608604</v>
      </c>
      <c r="L177" s="556">
        <f t="shared" si="101"/>
        <v>8.9674452091855775E-2</v>
      </c>
      <c r="M177" s="556">
        <f t="shared" si="101"/>
        <v>7.2292759706622314E-2</v>
      </c>
      <c r="N177" s="556">
        <f t="shared" si="101"/>
        <v>5.518387818914873E-2</v>
      </c>
      <c r="O177" s="556">
        <f t="shared" si="101"/>
        <v>3.8458318455459897E-2</v>
      </c>
      <c r="P177" s="556">
        <f t="shared" si="101"/>
        <v>1.4583478591597938E-2</v>
      </c>
      <c r="Q177" s="556">
        <f t="shared" si="101"/>
        <v>9.2870926083030887E-3</v>
      </c>
    </row>
    <row r="178" spans="2:29" ht="15.5" x14ac:dyDescent="0.35">
      <c r="B178" s="260" t="s">
        <v>451</v>
      </c>
      <c r="G178" s="146"/>
      <c r="H178" s="557">
        <f>$H$37</f>
        <v>0.20507286680471015</v>
      </c>
      <c r="I178" s="557">
        <f>$I$37</f>
        <v>0.16813991810599971</v>
      </c>
      <c r="J178" s="557">
        <f>$J$37</f>
        <v>0.14673654924272039</v>
      </c>
      <c r="K178" s="557">
        <f>$K$37</f>
        <v>0.12770988498608604</v>
      </c>
      <c r="L178" s="557">
        <f>$L$37</f>
        <v>0.10967445209185578</v>
      </c>
      <c r="M178" s="557">
        <f>$M$37</f>
        <v>9.2292759706622318E-2</v>
      </c>
      <c r="N178" s="557">
        <f>$N$37</f>
        <v>7.5183878189148734E-2</v>
      </c>
      <c r="O178" s="558">
        <f>$O$37</f>
        <v>5.8458318455459901E-2</v>
      </c>
      <c r="P178" s="557">
        <f>$P$37</f>
        <v>3.4583478591597938E-2</v>
      </c>
      <c r="Q178" s="557">
        <f>$Q$37</f>
        <v>2.9287092608303089E-2</v>
      </c>
    </row>
    <row r="179" spans="2:29" ht="15.5" x14ac:dyDescent="0.35">
      <c r="B179" s="260" t="s">
        <v>452</v>
      </c>
      <c r="G179" s="146"/>
      <c r="H179" s="559">
        <f>IFERROR(+H178+$L$7,"")</f>
        <v>0.22507286680471014</v>
      </c>
      <c r="I179" s="559">
        <f t="shared" ref="I179:Q179" si="102">IFERROR(+I178+$L$7,"")</f>
        <v>0.1881399181059997</v>
      </c>
      <c r="J179" s="559">
        <f t="shared" si="102"/>
        <v>0.16673654924272038</v>
      </c>
      <c r="K179" s="559">
        <f t="shared" si="102"/>
        <v>0.14770988498608603</v>
      </c>
      <c r="L179" s="559">
        <f t="shared" si="102"/>
        <v>0.12967445209185577</v>
      </c>
      <c r="M179" s="559">
        <f t="shared" si="102"/>
        <v>0.11229275970662232</v>
      </c>
      <c r="N179" s="559">
        <f t="shared" si="102"/>
        <v>9.5183878189148738E-2</v>
      </c>
      <c r="O179" s="559">
        <f t="shared" si="102"/>
        <v>7.8458318455459905E-2</v>
      </c>
      <c r="P179" s="559">
        <f t="shared" si="102"/>
        <v>5.4583478591597942E-2</v>
      </c>
      <c r="Q179" s="559">
        <f t="shared" si="102"/>
        <v>4.9287092608303093E-2</v>
      </c>
    </row>
    <row r="180" spans="2:29" ht="3.75" customHeight="1" x14ac:dyDescent="0.35">
      <c r="G180" s="146"/>
    </row>
    <row r="181" spans="2:29" ht="15.5" x14ac:dyDescent="0.35">
      <c r="B181" s="114" t="s">
        <v>460</v>
      </c>
      <c r="E181" s="139">
        <f t="shared" ref="E181:G182" si="103">+E63</f>
        <v>6809.3999999999978</v>
      </c>
      <c r="F181" s="139">
        <f t="shared" si="103"/>
        <v>-7730.399999999996</v>
      </c>
      <c r="G181" s="163">
        <f t="shared" si="103"/>
        <v>23467.399999999998</v>
      </c>
      <c r="H181" s="164">
        <f ca="1">IFERROR(H182*H175,"")</f>
        <v>18575.183804077373</v>
      </c>
      <c r="I181" s="164">
        <f t="shared" ref="I181:Q181" ca="1" si="104">IFERROR(I182*I175,"")</f>
        <v>22949.731226756812</v>
      </c>
      <c r="J181" s="164">
        <f t="shared" ca="1" si="104"/>
        <v>27044.877887413375</v>
      </c>
      <c r="K181" s="164">
        <f t="shared" ca="1" si="104"/>
        <v>31224.818330706043</v>
      </c>
      <c r="L181" s="164">
        <f t="shared" ca="1" si="104"/>
        <v>35375.240149790705</v>
      </c>
      <c r="M181" s="164">
        <f t="shared" ca="1" si="104"/>
        <v>39177.765063119063</v>
      </c>
      <c r="N181" s="164">
        <f t="shared" ca="1" si="104"/>
        <v>42585.576657637241</v>
      </c>
      <c r="O181" s="164">
        <f t="shared" ca="1" si="104"/>
        <v>45435.599958825493</v>
      </c>
      <c r="P181" s="164">
        <f t="shared" ca="1" si="104"/>
        <v>47199.131592902653</v>
      </c>
      <c r="Q181" s="164">
        <f t="shared" ca="1" si="104"/>
        <v>48672.418828275644</v>
      </c>
    </row>
    <row r="182" spans="2:29" ht="15.5" x14ac:dyDescent="0.35">
      <c r="B182" s="261" t="s">
        <v>478</v>
      </c>
      <c r="C182" s="261"/>
      <c r="D182" s="261"/>
      <c r="E182" s="292">
        <f t="shared" si="103"/>
        <v>0.15260322355092595</v>
      </c>
      <c r="F182" s="292">
        <f t="shared" si="103"/>
        <v>-0.23592964594072446</v>
      </c>
      <c r="G182" s="293">
        <f t="shared" si="103"/>
        <v>0.35452993518952153</v>
      </c>
      <c r="H182" s="292">
        <f ca="1">OFFSET(H182,$C$8,0)</f>
        <v>0.23286689217708192</v>
      </c>
      <c r="I182" s="292">
        <f ca="1">+OFFSET(I182,$C$8,0)</f>
        <v>0.24629600412236202</v>
      </c>
      <c r="J182" s="292">
        <f ca="1">+OFFSET(J182,$C$8,0)</f>
        <v>0.25310523766028858</v>
      </c>
      <c r="K182" s="292">
        <f ca="1">+OFFSET(K182,$C$8,0)</f>
        <v>0.25913056413539848</v>
      </c>
      <c r="L182" s="292">
        <f ca="1">+OFFSET(L182,$C$8,0)</f>
        <v>0.26455899346681777</v>
      </c>
      <c r="M182" s="292">
        <f t="shared" ref="M182:Q182" ca="1" si="105">+OFFSET(M182,$C$8,0)</f>
        <v>0.26824012045447365</v>
      </c>
      <c r="N182" s="292">
        <f t="shared" ca="1" si="105"/>
        <v>0.27118387776387365</v>
      </c>
      <c r="O182" s="292">
        <f t="shared" ca="1" si="105"/>
        <v>0.2733529976549075</v>
      </c>
      <c r="P182" s="292">
        <f t="shared" ca="1" si="105"/>
        <v>0.27447073361605162</v>
      </c>
      <c r="Q182" s="292">
        <f t="shared" ca="1" si="105"/>
        <v>0.27498464119071647</v>
      </c>
    </row>
    <row r="183" spans="2:29" ht="15.5" x14ac:dyDescent="0.35">
      <c r="B183" s="260" t="s">
        <v>450</v>
      </c>
      <c r="G183" s="146"/>
      <c r="H183" s="559">
        <f>IFERROR(H184+$F$8,"")</f>
        <v>0.22286689217708192</v>
      </c>
      <c r="I183" s="559">
        <f t="shared" ref="I183:Q183" si="106">IFERROR(I184+$F$8,"")</f>
        <v>0.23629600412236201</v>
      </c>
      <c r="J183" s="559">
        <f t="shared" si="106"/>
        <v>0.24310523766028858</v>
      </c>
      <c r="K183" s="559">
        <f t="shared" si="106"/>
        <v>0.24913056413539847</v>
      </c>
      <c r="L183" s="559">
        <f t="shared" si="106"/>
        <v>0.25455899346681776</v>
      </c>
      <c r="M183" s="559">
        <f t="shared" si="106"/>
        <v>0.25824012045447364</v>
      </c>
      <c r="N183" s="559">
        <f t="shared" si="106"/>
        <v>0.26118387776387364</v>
      </c>
      <c r="O183" s="559">
        <f t="shared" si="106"/>
        <v>0.26335299765490749</v>
      </c>
      <c r="P183" s="559">
        <f t="shared" si="106"/>
        <v>0.26447073361605161</v>
      </c>
      <c r="Q183" s="559">
        <f t="shared" si="106"/>
        <v>0.26498464119071646</v>
      </c>
    </row>
    <row r="184" spans="2:29" ht="15.5" x14ac:dyDescent="0.35">
      <c r="B184" s="260" t="s">
        <v>451</v>
      </c>
      <c r="G184" s="146"/>
      <c r="H184" s="557">
        <f t="shared" ref="H184:Q184" si="107">IFERROR(VALUE(H64),"")</f>
        <v>0.23286689217708192</v>
      </c>
      <c r="I184" s="557">
        <f t="shared" si="107"/>
        <v>0.24629600412236202</v>
      </c>
      <c r="J184" s="557">
        <f t="shared" si="107"/>
        <v>0.25310523766028858</v>
      </c>
      <c r="K184" s="557">
        <f t="shared" si="107"/>
        <v>0.25913056413539848</v>
      </c>
      <c r="L184" s="557">
        <f t="shared" si="107"/>
        <v>0.26455899346681777</v>
      </c>
      <c r="M184" s="557">
        <f t="shared" si="107"/>
        <v>0.26824012045447365</v>
      </c>
      <c r="N184" s="557">
        <f t="shared" si="107"/>
        <v>0.27118387776387365</v>
      </c>
      <c r="O184" s="557">
        <f t="shared" si="107"/>
        <v>0.2733529976549075</v>
      </c>
      <c r="P184" s="557">
        <f t="shared" si="107"/>
        <v>0.27447073361605162</v>
      </c>
      <c r="Q184" s="557">
        <f t="shared" si="107"/>
        <v>0.27498464119071647</v>
      </c>
    </row>
    <row r="185" spans="2:29" ht="15.5" x14ac:dyDescent="0.35">
      <c r="B185" s="260" t="s">
        <v>452</v>
      </c>
      <c r="G185" s="146"/>
      <c r="H185" s="559">
        <f>+IFERROR(H184+$L$8,"")</f>
        <v>0.24286689217708193</v>
      </c>
      <c r="I185" s="559">
        <f t="shared" ref="I185:Q185" si="108">+IFERROR(I184+$L$8,"")</f>
        <v>0.25629600412236203</v>
      </c>
      <c r="J185" s="559">
        <f t="shared" si="108"/>
        <v>0.26310523766028859</v>
      </c>
      <c r="K185" s="559">
        <f t="shared" si="108"/>
        <v>0.26913056413539849</v>
      </c>
      <c r="L185" s="559">
        <f t="shared" si="108"/>
        <v>0.27455899346681778</v>
      </c>
      <c r="M185" s="559">
        <f t="shared" si="108"/>
        <v>0.27824012045447366</v>
      </c>
      <c r="N185" s="559">
        <f t="shared" si="108"/>
        <v>0.28118387776387366</v>
      </c>
      <c r="O185" s="559">
        <f t="shared" si="108"/>
        <v>0.28335299765490751</v>
      </c>
      <c r="P185" s="559">
        <f t="shared" si="108"/>
        <v>0.28447073361605163</v>
      </c>
      <c r="Q185" s="559">
        <f t="shared" si="108"/>
        <v>0.28498464119071648</v>
      </c>
    </row>
    <row r="186" spans="2:29" ht="3.75" customHeight="1" x14ac:dyDescent="0.35">
      <c r="G186" s="146"/>
    </row>
    <row r="187" spans="2:29" ht="15.5" x14ac:dyDescent="0.35">
      <c r="B187" s="166" t="s">
        <v>456</v>
      </c>
      <c r="C187" s="167"/>
      <c r="D187" s="167"/>
      <c r="E187" s="168">
        <f>+IFERROR(E181*(1-E83),"")</f>
        <v>3813.4885530128886</v>
      </c>
      <c r="F187" s="168">
        <f t="shared" ref="F187:G187" si="109">+IFERROR(F181*(1-F83),"")</f>
        <v>-6059.1790150884772</v>
      </c>
      <c r="G187" s="313">
        <f t="shared" si="109"/>
        <v>19450.564758535511</v>
      </c>
      <c r="H187" s="168">
        <f ca="1">+IFERROR(H181*(1-H83),"")</f>
        <v>13452.632336922185</v>
      </c>
      <c r="I187" s="168">
        <f t="shared" ref="I187:Q187" ca="1" si="110">+IFERROR(I181*(1-I83),"")</f>
        <v>17876.856057938774</v>
      </c>
      <c r="J187" s="168">
        <f t="shared" ca="1" si="110"/>
        <v>21023.034365768159</v>
      </c>
      <c r="K187" s="168">
        <f t="shared" ca="1" si="110"/>
        <v>23736.295265413853</v>
      </c>
      <c r="L187" s="168">
        <f t="shared" ca="1" si="110"/>
        <v>27315.227035412492</v>
      </c>
      <c r="M187" s="168">
        <f t="shared" ca="1" si="110"/>
        <v>30162.563188684118</v>
      </c>
      <c r="N187" s="168">
        <f t="shared" ca="1" si="110"/>
        <v>32680.462496475942</v>
      </c>
      <c r="O187" s="168">
        <f t="shared" ca="1" si="110"/>
        <v>34977.132442114125</v>
      </c>
      <c r="P187" s="168">
        <f t="shared" ca="1" si="110"/>
        <v>36297.932760386786</v>
      </c>
      <c r="Q187" s="312">
        <f t="shared" ca="1" si="110"/>
        <v>37417.128918461822</v>
      </c>
    </row>
    <row r="188" spans="2:29" ht="3.75" customHeight="1" x14ac:dyDescent="0.35">
      <c r="G188" s="146"/>
    </row>
    <row r="189" spans="2:29" ht="15.5" x14ac:dyDescent="0.35">
      <c r="B189" s="114" t="s">
        <v>532</v>
      </c>
      <c r="E189" s="139">
        <f t="shared" ref="E189:Q189" si="111">+E127</f>
        <v>679.4</v>
      </c>
      <c r="F189" s="139">
        <f t="shared" si="111"/>
        <v>587.1</v>
      </c>
      <c r="G189" s="163">
        <f t="shared" si="111"/>
        <v>559.6</v>
      </c>
      <c r="H189" s="169">
        <f t="shared" si="111"/>
        <v>674.8408054106377</v>
      </c>
      <c r="I189" s="169">
        <f t="shared" si="111"/>
        <v>788.30848316696915</v>
      </c>
      <c r="J189" s="169">
        <f t="shared" si="111"/>
        <v>903.98214972565347</v>
      </c>
      <c r="K189" s="169">
        <f t="shared" si="111"/>
        <v>1019.4296060965914</v>
      </c>
      <c r="L189" s="169">
        <f t="shared" si="111"/>
        <v>1131.2349895914515</v>
      </c>
      <c r="M189" s="169">
        <f t="shared" si="111"/>
        <v>1235.6397886575387</v>
      </c>
      <c r="N189" s="169">
        <f t="shared" si="111"/>
        <v>1328.5399800136324</v>
      </c>
      <c r="O189" s="169">
        <f t="shared" si="111"/>
        <v>1406.2041932460797</v>
      </c>
      <c r="P189" s="169">
        <f t="shared" si="111"/>
        <v>1454.8356258586209</v>
      </c>
      <c r="Q189" s="169">
        <f t="shared" si="111"/>
        <v>1497.4435315630008</v>
      </c>
      <c r="R189" s="115"/>
      <c r="S189" s="115"/>
      <c r="T189" s="115"/>
      <c r="U189" s="115"/>
      <c r="V189" s="115"/>
      <c r="W189" s="115"/>
      <c r="X189" s="115"/>
      <c r="Y189" s="115"/>
      <c r="Z189" s="115"/>
      <c r="AA189" s="115"/>
      <c r="AB189" s="115"/>
      <c r="AC189" s="115"/>
    </row>
    <row r="190" spans="2:29" ht="3.75" customHeight="1" x14ac:dyDescent="0.35">
      <c r="G190" s="146"/>
      <c r="R190" s="115"/>
      <c r="S190" s="115"/>
      <c r="T190" s="115"/>
      <c r="U190" s="115"/>
      <c r="V190" s="115"/>
      <c r="W190" s="115"/>
      <c r="X190" s="115"/>
      <c r="Y190" s="115"/>
      <c r="Z190" s="115"/>
      <c r="AA190" s="115"/>
      <c r="AB190" s="115"/>
      <c r="AC190" s="115"/>
    </row>
    <row r="191" spans="2:29" ht="15.5" x14ac:dyDescent="0.35">
      <c r="B191" s="114" t="s">
        <v>513</v>
      </c>
      <c r="E191" s="139">
        <f t="shared" ref="E191:Q191" si="112">+E129</f>
        <v>0</v>
      </c>
      <c r="F191" s="139">
        <f t="shared" si="112"/>
        <v>0</v>
      </c>
      <c r="G191" s="163">
        <f t="shared" si="112"/>
        <v>0</v>
      </c>
      <c r="H191" s="139">
        <f t="shared" si="112"/>
        <v>0</v>
      </c>
      <c r="I191" s="139">
        <f t="shared" si="112"/>
        <v>0</v>
      </c>
      <c r="J191" s="139">
        <f t="shared" si="112"/>
        <v>0</v>
      </c>
      <c r="K191" s="139">
        <f t="shared" si="112"/>
        <v>0</v>
      </c>
      <c r="L191" s="139">
        <f t="shared" si="112"/>
        <v>0</v>
      </c>
      <c r="M191" s="139">
        <f t="shared" si="112"/>
        <v>0</v>
      </c>
      <c r="N191" s="139">
        <f t="shared" si="112"/>
        <v>0</v>
      </c>
      <c r="O191" s="139">
        <f t="shared" si="112"/>
        <v>0</v>
      </c>
      <c r="P191" s="139">
        <f t="shared" si="112"/>
        <v>0</v>
      </c>
      <c r="Q191" s="139">
        <f t="shared" si="112"/>
        <v>0</v>
      </c>
      <c r="R191" s="115"/>
      <c r="S191" s="115"/>
      <c r="T191" s="115"/>
      <c r="U191" s="115"/>
      <c r="V191" s="115"/>
      <c r="W191" s="115"/>
      <c r="X191" s="115"/>
      <c r="Y191" s="115"/>
      <c r="Z191" s="115"/>
      <c r="AA191" s="115"/>
      <c r="AB191" s="115"/>
      <c r="AC191" s="115"/>
    </row>
    <row r="192" spans="2:29" ht="3.75" customHeight="1" x14ac:dyDescent="0.35">
      <c r="G192" s="135"/>
      <c r="R192" s="115"/>
      <c r="S192" s="115"/>
      <c r="T192" s="115"/>
      <c r="U192" s="115"/>
      <c r="V192" s="115"/>
      <c r="W192" s="115"/>
      <c r="X192" s="115"/>
      <c r="Y192" s="115"/>
      <c r="Z192" s="115"/>
      <c r="AA192" s="115"/>
      <c r="AB192" s="115"/>
      <c r="AC192" s="115"/>
    </row>
    <row r="193" spans="2:49" ht="15.5" x14ac:dyDescent="0.35">
      <c r="B193" s="114" t="s">
        <v>533</v>
      </c>
      <c r="E193" s="139">
        <f t="shared" ref="E193:Q193" si="113">+E132</f>
        <v>-3088.8</v>
      </c>
      <c r="F193" s="139">
        <f t="shared" si="113"/>
        <v>965</v>
      </c>
      <c r="G193" s="170">
        <f t="shared" si="113"/>
        <v>-6034.6</v>
      </c>
      <c r="H193" s="162">
        <f t="shared" si="113"/>
        <v>-6746.9939220801571</v>
      </c>
      <c r="I193" s="162">
        <f t="shared" si="113"/>
        <v>-3606.0710835211903</v>
      </c>
      <c r="J193" s="162">
        <f t="shared" si="113"/>
        <v>-2744.7086021642317</v>
      </c>
      <c r="K193" s="162">
        <f t="shared" si="113"/>
        <v>-4583.9115886109139</v>
      </c>
      <c r="L193" s="162">
        <f t="shared" si="113"/>
        <v>-3728.7823101161921</v>
      </c>
      <c r="M193" s="162">
        <f t="shared" si="113"/>
        <v>-3466.6010314811465</v>
      </c>
      <c r="N193" s="162">
        <f t="shared" si="113"/>
        <v>-3467.7147493511256</v>
      </c>
      <c r="O193" s="162">
        <f t="shared" si="113"/>
        <v>-2772.5595074455632</v>
      </c>
      <c r="P193" s="162">
        <f t="shared" si="113"/>
        <v>-1891.0021351106188</v>
      </c>
      <c r="Q193" s="162">
        <f t="shared" si="113"/>
        <v>-1495.7027920440742</v>
      </c>
      <c r="R193" s="115"/>
      <c r="S193" s="115"/>
      <c r="T193" s="115"/>
      <c r="U193" s="115"/>
      <c r="V193" s="115"/>
      <c r="W193" s="115"/>
      <c r="X193" s="115"/>
      <c r="Y193" s="115"/>
      <c r="Z193" s="115"/>
      <c r="AA193" s="115"/>
      <c r="AB193" s="115"/>
      <c r="AC193" s="115"/>
    </row>
    <row r="194" spans="2:49" ht="3.75" customHeight="1" x14ac:dyDescent="0.35">
      <c r="G194" s="135"/>
      <c r="R194" s="115"/>
      <c r="S194" s="115"/>
      <c r="T194" s="115"/>
      <c r="U194" s="115"/>
      <c r="V194" s="115"/>
      <c r="W194" s="115"/>
      <c r="X194" s="115"/>
      <c r="Y194" s="115"/>
      <c r="Z194" s="115"/>
      <c r="AA194" s="115"/>
      <c r="AB194" s="115"/>
      <c r="AC194" s="115"/>
    </row>
    <row r="195" spans="2:49" ht="13.5" customHeight="1" x14ac:dyDescent="0.35">
      <c r="B195" s="114" t="s">
        <v>517</v>
      </c>
      <c r="E195" s="139">
        <f t="shared" ref="E195:Q195" si="114">+E138</f>
        <v>-19424.2</v>
      </c>
      <c r="F195" s="139">
        <f t="shared" si="114"/>
        <v>-7239.4999999999991</v>
      </c>
      <c r="G195" s="163">
        <f t="shared" si="114"/>
        <v>-16595.8</v>
      </c>
      <c r="H195" s="139">
        <f t="shared" si="114"/>
        <v>-27178.34071991171</v>
      </c>
      <c r="I195" s="139">
        <f t="shared" si="114"/>
        <v>-31608.232167296595</v>
      </c>
      <c r="J195" s="139">
        <f t="shared" si="114"/>
        <v>-36638.734124844799</v>
      </c>
      <c r="K195" s="139">
        <f t="shared" si="114"/>
        <v>-41027.39021256964</v>
      </c>
      <c r="L195" s="139">
        <f t="shared" si="114"/>
        <v>-45482.14258589808</v>
      </c>
      <c r="M195" s="139">
        <f t="shared" si="114"/>
        <v>-49704.530892107301</v>
      </c>
      <c r="N195" s="139">
        <f t="shared" si="114"/>
        <v>-53255.394638418482</v>
      </c>
      <c r="O195" s="139">
        <f t="shared" si="114"/>
        <v>-56255.927460283892</v>
      </c>
      <c r="P195" s="139">
        <f t="shared" si="114"/>
        <v>-58046.976358281077</v>
      </c>
      <c r="Q195" s="139">
        <f t="shared" si="114"/>
        <v>-59536.876363310417</v>
      </c>
      <c r="R195" s="115"/>
      <c r="S195" s="115"/>
      <c r="T195" s="119"/>
      <c r="U195" s="115"/>
      <c r="V195" s="115"/>
      <c r="W195" s="115"/>
      <c r="X195" s="115"/>
      <c r="Y195" s="115"/>
      <c r="Z195" s="115"/>
      <c r="AA195" s="115"/>
      <c r="AB195" s="115"/>
      <c r="AC195" s="115"/>
    </row>
    <row r="196" spans="2:49" ht="3.75" customHeight="1" x14ac:dyDescent="0.35">
      <c r="B196" s="140"/>
      <c r="E196" s="142"/>
      <c r="F196" s="142"/>
      <c r="G196" s="150"/>
      <c r="H196" s="165"/>
      <c r="I196" s="165"/>
      <c r="J196" s="165"/>
      <c r="K196" s="165"/>
      <c r="L196" s="165"/>
      <c r="M196" s="165"/>
      <c r="N196" s="165"/>
      <c r="O196" s="165"/>
      <c r="P196" s="165"/>
      <c r="Q196" s="165"/>
      <c r="R196" s="115"/>
      <c r="S196" s="115"/>
      <c r="T196" s="119"/>
      <c r="U196" s="115"/>
      <c r="V196" s="115"/>
      <c r="W196" s="115"/>
      <c r="X196" s="115"/>
      <c r="Y196" s="115"/>
      <c r="Z196" s="115"/>
      <c r="AA196" s="115"/>
      <c r="AB196" s="115"/>
      <c r="AC196" s="115"/>
    </row>
    <row r="197" spans="2:49" ht="15.5" x14ac:dyDescent="0.35">
      <c r="B197" s="171" t="s">
        <v>25</v>
      </c>
      <c r="C197" s="172"/>
      <c r="D197" s="172"/>
      <c r="E197" s="173">
        <f t="shared" ref="E197:Q197" si="115">IFERROR(E187+E189+E195+E193+E191,"")</f>
        <v>-18020.111446987114</v>
      </c>
      <c r="F197" s="173">
        <f t="shared" si="115"/>
        <v>-11746.579015088475</v>
      </c>
      <c r="G197" s="174">
        <f t="shared" si="115"/>
        <v>-2620.2352414644902</v>
      </c>
      <c r="H197" s="173">
        <f t="shared" ca="1" si="115"/>
        <v>-19797.861499659044</v>
      </c>
      <c r="I197" s="173">
        <f t="shared" ca="1" si="115"/>
        <v>-16549.138709712042</v>
      </c>
      <c r="J197" s="173">
        <f t="shared" ca="1" si="115"/>
        <v>-17456.42621151522</v>
      </c>
      <c r="K197" s="173">
        <f t="shared" ca="1" si="115"/>
        <v>-20855.576929670111</v>
      </c>
      <c r="L197" s="173">
        <f t="shared" ca="1" si="115"/>
        <v>-20764.462871010328</v>
      </c>
      <c r="M197" s="173">
        <f t="shared" ca="1" si="115"/>
        <v>-21772.92894624679</v>
      </c>
      <c r="N197" s="173">
        <f t="shared" ca="1" si="115"/>
        <v>-22714.106911280036</v>
      </c>
      <c r="O197" s="173">
        <f t="shared" ca="1" si="115"/>
        <v>-22645.150332369252</v>
      </c>
      <c r="P197" s="173">
        <f t="shared" ca="1" si="115"/>
        <v>-22185.210107146289</v>
      </c>
      <c r="Q197" s="314">
        <f t="shared" ca="1" si="115"/>
        <v>-22118.006705329666</v>
      </c>
      <c r="R197" s="115"/>
      <c r="S197" s="115" t="s">
        <v>534</v>
      </c>
      <c r="T197" s="119"/>
      <c r="U197" s="119">
        <f ca="1">+J198/(1+$C$12)^(J201-2)</f>
        <v>6701.1623024585215</v>
      </c>
      <c r="V197" s="119">
        <f t="shared" ref="V197:Z197" ca="1" si="116">+K198/(1+$C$12)^(K201-2)</f>
        <v>6258.0922603366507</v>
      </c>
      <c r="W197" s="119">
        <f t="shared" ca="1" si="116"/>
        <v>8714.537042974418</v>
      </c>
      <c r="X197" s="119">
        <f t="shared" ca="1" si="116"/>
        <v>9783.2092927415288</v>
      </c>
      <c r="Y197" s="119">
        <f t="shared" ca="1" si="116"/>
        <v>10489.435747429225</v>
      </c>
      <c r="Z197" s="119">
        <f t="shared" ca="1" si="116"/>
        <v>11410.3323667983</v>
      </c>
      <c r="AA197" s="119">
        <f t="shared" ref="AA197" ca="1" si="117">+P198/(1+$C$12)^(P201-2)</f>
        <v>12046.889970880437</v>
      </c>
      <c r="AB197" s="119">
        <f t="shared" ref="AB197" ca="1" si="118">+Q198/(1+$C$12)^(Q201-2)</f>
        <v>11813.982812073195</v>
      </c>
      <c r="AC197" s="119"/>
      <c r="AD197" s="119"/>
      <c r="AE197" s="119"/>
      <c r="AF197" s="119"/>
      <c r="AG197" s="119"/>
      <c r="AH197" s="119"/>
      <c r="AI197" s="119"/>
      <c r="AJ197" s="119"/>
      <c r="AK197" s="119"/>
    </row>
    <row r="198" spans="2:49" ht="15.5" x14ac:dyDescent="0.35">
      <c r="B198" s="850" t="s">
        <v>535</v>
      </c>
      <c r="E198" s="156">
        <f>+E197+Inputs!G125*DCF!E39</f>
        <v>-8166.7825156111467</v>
      </c>
      <c r="F198" s="156">
        <f>+F197+Inputs!H125*DCF!F39</f>
        <v>-270.11300143231529</v>
      </c>
      <c r="G198" s="193">
        <f>+G197+Inputs!I125*DCF!G39</f>
        <v>10413.86500049118</v>
      </c>
      <c r="H198" s="156">
        <f ca="1">+H197+0.4*DCF!G39</f>
        <v>-6051.9414996590422</v>
      </c>
      <c r="I198" s="156">
        <f ca="1">+I197+0.4*DCF!H39</f>
        <v>4190.3822411130459</v>
      </c>
      <c r="J198" s="156">
        <f ca="1">+J197+0.4*DCF!I39</f>
        <v>6770.2360935392644</v>
      </c>
      <c r="K198" s="156">
        <f ca="1">+K197+0.4*DCF!J39</f>
        <v>6926.0222016967564</v>
      </c>
      <c r="L198" s="156">
        <f ca="1">+L197+0.4*DCF!K39</f>
        <v>10565.121090152956</v>
      </c>
      <c r="M198" s="156">
        <f ca="1">+M197+0.4*DCF!L39</f>
        <v>12992.709970122862</v>
      </c>
      <c r="N198" s="156">
        <f ca="1">+N197+0.4*DCF!M39</f>
        <v>15260.148763645328</v>
      </c>
      <c r="O198" s="156">
        <f ca="1">+O197+0.4*DCF!N39</f>
        <v>18184.157155543289</v>
      </c>
      <c r="P198" s="156">
        <f ca="1">+P197+0.4*DCF!O39</f>
        <v>21030.91004021054</v>
      </c>
      <c r="Q198" s="851">
        <f ca="1">+Q197+0.4*DCF!P39</f>
        <v>22592.677207955203</v>
      </c>
      <c r="R198" s="115"/>
      <c r="S198" s="115"/>
      <c r="T198" s="119"/>
      <c r="U198" s="119"/>
      <c r="V198" s="119"/>
      <c r="W198" s="119"/>
      <c r="X198" s="119"/>
      <c r="Y198" s="119"/>
      <c r="Z198" s="119"/>
      <c r="AA198" s="119"/>
      <c r="AB198" s="119"/>
      <c r="AC198" s="119"/>
      <c r="AD198" s="119"/>
      <c r="AE198" s="119"/>
      <c r="AF198" s="119"/>
      <c r="AG198" s="119"/>
      <c r="AH198" s="119"/>
      <c r="AI198" s="119"/>
      <c r="AJ198" s="119"/>
      <c r="AK198" s="119"/>
    </row>
    <row r="199" spans="2:49" ht="15.5" x14ac:dyDescent="0.35">
      <c r="B199" s="175" t="s">
        <v>536</v>
      </c>
      <c r="C199" s="176"/>
      <c r="D199" s="176"/>
      <c r="E199" s="176"/>
      <c r="F199" s="176"/>
      <c r="G199" s="177"/>
      <c r="H199" s="178">
        <f ca="1">IFERROR(H198/(1+$C$12)^H201,"")</f>
        <v>-5990.1961576939002</v>
      </c>
      <c r="I199" s="178">
        <f t="shared" ref="I199:Q199" ca="1" si="119">IFERROR(I198/(1+$C$12)^I201,"")</f>
        <v>3786.2712401553254</v>
      </c>
      <c r="J199" s="178">
        <f t="shared" ca="1" si="119"/>
        <v>5584.3631817736386</v>
      </c>
      <c r="K199" s="178">
        <f t="shared" ca="1" si="119"/>
        <v>5215.1340960574917</v>
      </c>
      <c r="L199" s="178">
        <f t="shared" ca="1" si="119"/>
        <v>7262.1938721189608</v>
      </c>
      <c r="M199" s="178">
        <f t="shared" ca="1" si="119"/>
        <v>8152.7638502245745</v>
      </c>
      <c r="N199" s="178">
        <f t="shared" ca="1" si="119"/>
        <v>8741.292352228711</v>
      </c>
      <c r="O199" s="178">
        <f t="shared" ca="1" si="119"/>
        <v>9508.714620681716</v>
      </c>
      <c r="P199" s="178">
        <f t="shared" ca="1" si="119"/>
        <v>10039.185110257851</v>
      </c>
      <c r="Q199" s="179">
        <f t="shared" ca="1" si="119"/>
        <v>9845.0936819786875</v>
      </c>
      <c r="R199" s="115"/>
      <c r="S199" s="115" t="s">
        <v>537</v>
      </c>
      <c r="T199" s="900">
        <f ca="1">+I198/(1+$C$12)^(I201-1)</f>
        <v>4147.6295832334608</v>
      </c>
      <c r="U199" s="900">
        <f t="shared" ref="U199:AB199" ca="1" si="120">+J198/(1+$C$12)^(J201-1)</f>
        <v>6117.3298126665395</v>
      </c>
      <c r="V199" s="900">
        <f t="shared" ca="1" si="120"/>
        <v>5712.8618330181207</v>
      </c>
      <c r="W199" s="900">
        <f t="shared" ca="1" si="120"/>
        <v>7955.291164491875</v>
      </c>
      <c r="X199" s="900">
        <f t="shared" ca="1" si="120"/>
        <v>8930.8563453368952</v>
      </c>
      <c r="Y199" s="900">
        <f t="shared" ca="1" si="120"/>
        <v>9575.5534815590436</v>
      </c>
      <c r="Z199" s="900">
        <f t="shared" ca="1" si="120"/>
        <v>10416.217845408803</v>
      </c>
      <c r="AA199" s="900">
        <f t="shared" ca="1" si="120"/>
        <v>10997.315964387744</v>
      </c>
      <c r="AB199" s="900">
        <f t="shared" ca="1" si="120"/>
        <v>10784.700623668075</v>
      </c>
      <c r="AC199" s="900"/>
      <c r="AD199" s="119"/>
      <c r="AE199" s="119"/>
      <c r="AF199" s="119"/>
      <c r="AG199" s="119"/>
      <c r="AH199" s="119"/>
      <c r="AI199" s="119"/>
      <c r="AJ199" s="119"/>
      <c r="AK199" s="119"/>
    </row>
    <row r="200" spans="2:49" ht="3.75" customHeight="1" x14ac:dyDescent="0.35">
      <c r="G200" s="135"/>
      <c r="R200" s="115"/>
      <c r="S200" s="115"/>
      <c r="T200" s="119"/>
      <c r="U200" s="115"/>
      <c r="V200" s="115"/>
      <c r="W200" s="115"/>
      <c r="X200" s="115"/>
      <c r="Y200" s="115"/>
      <c r="Z200" s="115"/>
      <c r="AA200" s="115"/>
      <c r="AB200" s="115"/>
      <c r="AC200" s="115"/>
    </row>
    <row r="201" spans="2:49" ht="15.5" hidden="1" x14ac:dyDescent="0.35">
      <c r="B201" s="114" t="s">
        <v>538</v>
      </c>
      <c r="G201" s="135"/>
      <c r="H201" s="180">
        <f ca="1">+H202/2</f>
        <v>0.1125</v>
      </c>
      <c r="I201" s="180">
        <f ca="1">+H201+1</f>
        <v>1.1125</v>
      </c>
      <c r="J201" s="180">
        <f t="shared" ref="J201:Q201" ca="1" si="121">+I201+1</f>
        <v>2.1124999999999998</v>
      </c>
      <c r="K201" s="180">
        <f ca="1">+J201+1</f>
        <v>3.1124999999999998</v>
      </c>
      <c r="L201" s="180">
        <f t="shared" ca="1" si="121"/>
        <v>4.1124999999999998</v>
      </c>
      <c r="M201" s="180">
        <f t="shared" ca="1" si="121"/>
        <v>5.1124999999999998</v>
      </c>
      <c r="N201" s="180">
        <f t="shared" ca="1" si="121"/>
        <v>6.1124999999999998</v>
      </c>
      <c r="O201" s="180">
        <f t="shared" ca="1" si="121"/>
        <v>7.1124999999999998</v>
      </c>
      <c r="P201" s="180">
        <f t="shared" ca="1" si="121"/>
        <v>8.1125000000000007</v>
      </c>
      <c r="Q201" s="180">
        <f t="shared" ca="1" si="121"/>
        <v>9.1125000000000007</v>
      </c>
      <c r="R201" s="115"/>
      <c r="S201" s="115"/>
      <c r="T201" s="119"/>
      <c r="U201" s="115"/>
      <c r="V201" s="115"/>
      <c r="W201" s="115"/>
      <c r="X201" s="115"/>
      <c r="Y201" s="115"/>
      <c r="Z201" s="115"/>
      <c r="AA201" s="115"/>
      <c r="AB201" s="115"/>
      <c r="AC201" s="115"/>
      <c r="AU201">
        <v>198245.30101037648</v>
      </c>
      <c r="AV201">
        <v>280789.51400508574</v>
      </c>
      <c r="AW201">
        <v>376569.50328179338</v>
      </c>
    </row>
    <row r="202" spans="2:49" ht="15.5" hidden="1" x14ac:dyDescent="0.35">
      <c r="B202" s="114" t="s">
        <v>539</v>
      </c>
      <c r="G202" s="135"/>
      <c r="H202" s="180">
        <f ca="1">YEARFRAC(P202,P203)</f>
        <v>0.22500000000000001</v>
      </c>
      <c r="P202" s="181">
        <f ca="1">TODAY()</f>
        <v>45940</v>
      </c>
      <c r="R202" s="115"/>
      <c r="S202" s="115"/>
      <c r="T202" s="119"/>
      <c r="U202" s="115"/>
      <c r="V202" s="115"/>
      <c r="W202" s="115"/>
      <c r="X202" s="115"/>
      <c r="Y202" s="115"/>
      <c r="Z202" s="115"/>
      <c r="AA202" s="115"/>
      <c r="AB202" s="115"/>
      <c r="AC202" s="115"/>
      <c r="AU202">
        <v>217957.07906766137</v>
      </c>
      <c r="AV202">
        <v>303637.91947838193</v>
      </c>
      <c r="AW202">
        <v>403055.22555548878</v>
      </c>
    </row>
    <row r="203" spans="2:49" s="115" customFormat="1" ht="3.75" hidden="1" customHeight="1" thickBot="1" x14ac:dyDescent="0.4">
      <c r="G203" s="182"/>
      <c r="P203" s="181">
        <v>46022</v>
      </c>
      <c r="T203" s="119"/>
      <c r="AU203" s="583">
        <v>237668.8571249462</v>
      </c>
      <c r="AV203" s="583">
        <v>326486.32495167799</v>
      </c>
      <c r="AW203" s="583">
        <v>429540.94782918412</v>
      </c>
    </row>
    <row r="204" spans="2:49" ht="15.5" hidden="1" x14ac:dyDescent="0.35">
      <c r="B204" s="114" t="s">
        <v>540</v>
      </c>
      <c r="G204" s="135"/>
      <c r="P204" s="183"/>
      <c r="Q204" s="184">
        <f ca="1">IFERROR(+(Q198*(1+$C$13))/($C$12-$C$13),"")</f>
        <v>305471.94824929745</v>
      </c>
      <c r="R204" s="115">
        <v>2025</v>
      </c>
      <c r="S204" s="115">
        <v>2026</v>
      </c>
      <c r="T204" s="586"/>
      <c r="U204" s="587"/>
      <c r="V204" s="587"/>
      <c r="W204" s="115"/>
      <c r="X204" s="115"/>
      <c r="Y204" s="115"/>
      <c r="Z204" s="115"/>
      <c r="AA204" s="115"/>
      <c r="AB204" s="115"/>
      <c r="AC204" s="115"/>
    </row>
    <row r="205" spans="2:49" ht="15.5" hidden="1" x14ac:dyDescent="0.35">
      <c r="B205" s="114" t="s">
        <v>541</v>
      </c>
      <c r="G205" s="135"/>
      <c r="Q205" s="156">
        <f ca="1">IFERROR(Q204/(1+$C$12)^$Q$201,"")</f>
        <v>133113.92536834592</v>
      </c>
      <c r="R205" s="640">
        <f ca="1">+Q204/(1+$C$12)^$P$201</f>
        <v>145818.1994313311</v>
      </c>
      <c r="S205" s="115">
        <f ca="1">+Q204/(1+$C$12)^$O$201</f>
        <v>159734.95805609919</v>
      </c>
      <c r="T205" s="587"/>
      <c r="U205" s="122"/>
      <c r="V205" s="122"/>
      <c r="W205" s="115"/>
      <c r="X205" s="115"/>
      <c r="Y205" s="115"/>
      <c r="Z205" s="115"/>
      <c r="AA205" s="115"/>
      <c r="AB205" s="115"/>
      <c r="AC205" s="115"/>
    </row>
    <row r="206" spans="2:49" ht="15.5" x14ac:dyDescent="0.35">
      <c r="B206" s="114" t="s">
        <v>542</v>
      </c>
      <c r="G206" s="135"/>
      <c r="Q206" s="156">
        <f ca="1">+SUM(H199:Q199,Q205)</f>
        <v>195258.74121612898</v>
      </c>
      <c r="R206" s="640">
        <f ca="1">+SUM(T199:AC199,R205)</f>
        <v>220455.95608510164</v>
      </c>
      <c r="S206" s="115">
        <f ca="1">+SUM(S205,U197:AC197)</f>
        <v>236952.59985179146</v>
      </c>
      <c r="T206" s="587"/>
      <c r="U206" s="122"/>
      <c r="V206" s="122"/>
      <c r="W206" s="115"/>
      <c r="X206" s="115"/>
      <c r="Y206" s="115"/>
      <c r="Z206" s="115"/>
      <c r="AA206" s="115"/>
      <c r="AB206" s="115"/>
      <c r="AC206" s="115"/>
    </row>
    <row r="207" spans="2:49" ht="15.5" hidden="1" x14ac:dyDescent="0.35">
      <c r="B207" s="114" t="s">
        <v>543</v>
      </c>
      <c r="G207" s="135"/>
      <c r="Q207" s="316">
        <f>+G92</f>
        <v>13928</v>
      </c>
      <c r="R207" s="640">
        <f>+H92</f>
        <v>1273.7702856637115</v>
      </c>
      <c r="S207" s="640">
        <f>+I92</f>
        <v>8284.098004076166</v>
      </c>
      <c r="T207" s="119"/>
      <c r="U207" s="119"/>
      <c r="V207" s="119"/>
      <c r="W207" s="115"/>
      <c r="X207" s="115"/>
      <c r="Y207" s="115"/>
      <c r="Z207" s="115"/>
      <c r="AA207" s="115"/>
      <c r="AB207" s="115"/>
      <c r="AC207" s="115"/>
    </row>
    <row r="208" spans="2:49" ht="15.5" hidden="1" x14ac:dyDescent="0.35">
      <c r="B208" s="114" t="s">
        <v>544</v>
      </c>
      <c r="G208" s="135"/>
      <c r="Q208" s="316">
        <f>+Inputs!Q102</f>
        <v>12.3</v>
      </c>
      <c r="R208" s="640">
        <f>+Q208</f>
        <v>12.3</v>
      </c>
      <c r="S208" s="640">
        <f>+Q208</f>
        <v>12.3</v>
      </c>
      <c r="T208" s="119"/>
      <c r="U208" s="119"/>
      <c r="V208" s="119"/>
      <c r="W208" s="115"/>
      <c r="X208" s="115"/>
      <c r="Y208" s="115"/>
      <c r="Z208" s="115"/>
      <c r="AA208" s="115"/>
      <c r="AB208" s="115"/>
      <c r="AC208" s="115"/>
    </row>
    <row r="209" spans="1:29" ht="15.5" hidden="1" x14ac:dyDescent="0.35">
      <c r="B209" s="114" t="s">
        <v>545</v>
      </c>
      <c r="G209" s="135"/>
      <c r="M209" s="186"/>
      <c r="Q209" s="316">
        <f>+Inputs!Q101</f>
        <v>0</v>
      </c>
      <c r="R209" s="640">
        <f>+Q209</f>
        <v>0</v>
      </c>
      <c r="S209" s="640">
        <f>+Q209</f>
        <v>0</v>
      </c>
      <c r="T209" s="119"/>
      <c r="U209" s="119"/>
      <c r="V209" s="119"/>
      <c r="W209" s="115"/>
      <c r="X209" s="115"/>
      <c r="Y209" s="115"/>
      <c r="Z209" s="115"/>
      <c r="AA209" s="115"/>
      <c r="AB209" s="115"/>
      <c r="AC209" s="115"/>
    </row>
    <row r="210" spans="1:29" ht="15.5" hidden="1" x14ac:dyDescent="0.35">
      <c r="B210" s="114" t="s">
        <v>546</v>
      </c>
      <c r="G210" s="135"/>
      <c r="Q210" s="316">
        <f>+Inputs!Q100</f>
        <v>21483.4</v>
      </c>
      <c r="R210" s="640">
        <f>+H120</f>
        <v>18715</v>
      </c>
      <c r="S210" s="640">
        <f>+I120</f>
        <v>39784.213374138017</v>
      </c>
      <c r="T210" s="119"/>
      <c r="U210" s="119"/>
      <c r="V210" s="119"/>
      <c r="W210" s="115"/>
      <c r="X210" s="115"/>
      <c r="Y210" s="115"/>
      <c r="Z210" s="115"/>
      <c r="AA210" s="115"/>
      <c r="AB210" s="115"/>
      <c r="AC210" s="115"/>
    </row>
    <row r="211" spans="1:29" ht="15.5" x14ac:dyDescent="0.35">
      <c r="B211" s="114" t="s">
        <v>212</v>
      </c>
      <c r="G211" s="135"/>
      <c r="Q211" s="156">
        <f ca="1">Q206+Q207-Q208-Q209-Q210</f>
        <v>187691.041216129</v>
      </c>
      <c r="R211" s="640">
        <f ca="1">R206+R207-R208-R209-R210</f>
        <v>203002.42637076537</v>
      </c>
      <c r="S211" s="640">
        <f ca="1">S206+S207-S208-S209-S210</f>
        <v>205440.18448172961</v>
      </c>
      <c r="T211" s="119"/>
      <c r="U211" s="119"/>
      <c r="V211" s="119"/>
      <c r="W211" s="115"/>
      <c r="X211" s="115"/>
      <c r="Y211" s="115"/>
      <c r="Z211" s="115"/>
      <c r="AA211" s="115"/>
      <c r="AB211" s="115"/>
      <c r="AC211" s="115"/>
    </row>
    <row r="212" spans="1:29" ht="3.75" customHeight="1" x14ac:dyDescent="0.35">
      <c r="G212" s="135"/>
      <c r="Q212" s="187"/>
      <c r="R212" s="115"/>
      <c r="S212" s="115"/>
      <c r="T212" s="119"/>
      <c r="U212" s="119"/>
      <c r="V212" s="119"/>
      <c r="W212" s="115"/>
      <c r="X212" s="115"/>
      <c r="Y212" s="115"/>
      <c r="Z212" s="115"/>
      <c r="AA212" s="115"/>
      <c r="AB212" s="115"/>
      <c r="AC212" s="115"/>
    </row>
    <row r="213" spans="1:29" ht="15.5" x14ac:dyDescent="0.35">
      <c r="B213" s="114" t="s">
        <v>547</v>
      </c>
      <c r="G213" s="135"/>
      <c r="O213" s="140"/>
      <c r="Q213" s="854" cm="1">
        <f t="array" aca="1" ref="Q213" ca="1">IFERROR(_FV(R4,"Shares outstanding",TRUE)/1000000000,"")</f>
        <v>0.72800240000000005</v>
      </c>
      <c r="R213" s="115"/>
      <c r="S213" s="115"/>
      <c r="T213" s="119"/>
      <c r="U213" s="119"/>
      <c r="V213" s="119"/>
      <c r="W213" s="115"/>
      <c r="X213" s="115"/>
      <c r="Y213" s="115"/>
      <c r="Z213" s="115"/>
      <c r="AA213" s="115"/>
      <c r="AB213" s="115"/>
      <c r="AC213" s="115"/>
    </row>
    <row r="214" spans="1:29" ht="15.5" x14ac:dyDescent="0.35">
      <c r="B214" s="137" t="s">
        <v>548</v>
      </c>
      <c r="G214" s="135"/>
      <c r="N214" s="188"/>
      <c r="Q214" s="853">
        <f ca="1">IFERROR(Q211/Q$213,"")</f>
        <v>257816.51436331664</v>
      </c>
      <c r="R214" s="119"/>
      <c r="S214" s="119"/>
      <c r="T214" s="119"/>
      <c r="U214" s="119"/>
      <c r="V214" s="119"/>
      <c r="W214" s="115"/>
      <c r="X214" s="115"/>
      <c r="Y214" s="115"/>
      <c r="Z214" s="115"/>
      <c r="AA214" s="115"/>
      <c r="AB214" s="115"/>
      <c r="AC214" s="115"/>
    </row>
    <row r="215" spans="1:29" ht="3.75" customHeight="1" x14ac:dyDescent="0.35">
      <c r="G215" s="135"/>
      <c r="R215" s="119"/>
      <c r="S215" s="119"/>
      <c r="T215" s="119"/>
      <c r="U215" s="119"/>
      <c r="V215" s="119"/>
      <c r="W215" s="115"/>
      <c r="X215" s="115"/>
      <c r="Y215" s="115"/>
      <c r="Z215" s="115"/>
      <c r="AA215" s="115"/>
      <c r="AB215" s="115"/>
      <c r="AC215" s="115"/>
    </row>
    <row r="216" spans="1:29" ht="15.5" x14ac:dyDescent="0.35">
      <c r="B216" s="114" t="s">
        <v>549</v>
      </c>
      <c r="G216" s="135"/>
      <c r="Q216" s="853">
        <v>181000</v>
      </c>
      <c r="R216" s="159"/>
      <c r="S216" s="119"/>
      <c r="T216" s="119"/>
      <c r="U216" s="115"/>
      <c r="V216" s="115"/>
      <c r="W216" s="115"/>
      <c r="X216" s="115"/>
      <c r="Y216" s="115"/>
      <c r="Z216" s="115"/>
      <c r="AA216" s="115"/>
      <c r="AB216" s="115"/>
      <c r="AC216" s="115"/>
    </row>
    <row r="217" spans="1:29" ht="15.5" x14ac:dyDescent="0.35">
      <c r="B217" s="137" t="s">
        <v>550</v>
      </c>
      <c r="C217" s="137"/>
      <c r="D217" s="137"/>
      <c r="E217" s="137"/>
      <c r="F217" s="137"/>
      <c r="G217" s="190"/>
      <c r="H217" s="137"/>
      <c r="I217" s="137"/>
      <c r="J217" s="137"/>
      <c r="K217" s="137"/>
      <c r="M217" s="137"/>
      <c r="N217" s="137"/>
      <c r="O217" s="137"/>
      <c r="P217" s="137"/>
      <c r="Q217" s="191">
        <f ca="1">IFERROR(Q214/Q216-1,"")</f>
        <v>0.42440063184152832</v>
      </c>
      <c r="R217" s="119"/>
      <c r="S217" s="119"/>
      <c r="T217" s="119"/>
      <c r="U217" s="115"/>
      <c r="V217" s="115"/>
      <c r="W217" s="115"/>
      <c r="X217" s="115"/>
      <c r="Y217" s="115"/>
      <c r="Z217" s="115"/>
      <c r="AA217" s="115"/>
      <c r="AB217" s="115"/>
      <c r="AC217" s="115"/>
    </row>
    <row r="218" spans="1:29" ht="5.25" customHeight="1" x14ac:dyDescent="0.35">
      <c r="B218" s="137"/>
      <c r="C218" s="137"/>
      <c r="D218" s="137"/>
      <c r="E218" s="137"/>
      <c r="F218" s="137"/>
      <c r="G218" s="190"/>
      <c r="H218" s="137"/>
      <c r="I218" s="137"/>
      <c r="J218" s="137"/>
      <c r="K218" s="137"/>
      <c r="L218" s="137"/>
      <c r="M218" s="137"/>
      <c r="N218" s="137"/>
      <c r="O218" s="137"/>
      <c r="P218" s="137"/>
      <c r="Q218" s="191"/>
      <c r="R218" s="119"/>
      <c r="S218" s="119"/>
      <c r="T218" s="119"/>
      <c r="U218" s="115"/>
      <c r="V218" s="115"/>
      <c r="W218" s="115"/>
      <c r="X218" s="115"/>
      <c r="Y218" s="115"/>
      <c r="Z218" s="115"/>
      <c r="AA218" s="115"/>
      <c r="AB218" s="115"/>
      <c r="AC218" s="115"/>
    </row>
    <row r="219" spans="1:29" ht="15.5" hidden="1" x14ac:dyDescent="0.35">
      <c r="A219" s="114" t="s">
        <v>440</v>
      </c>
      <c r="B219" s="43" t="s">
        <v>551</v>
      </c>
      <c r="C219" s="43"/>
      <c r="D219" s="43"/>
      <c r="E219" s="125">
        <f>E173</f>
        <v>2022</v>
      </c>
      <c r="F219" s="125">
        <f t="shared" ref="F219:Q219" si="122">F173</f>
        <v>2023</v>
      </c>
      <c r="G219" s="125">
        <f t="shared" si="122"/>
        <v>2024</v>
      </c>
      <c r="H219" s="125">
        <f t="shared" si="122"/>
        <v>2025</v>
      </c>
      <c r="I219" s="125">
        <f t="shared" si="122"/>
        <v>2026</v>
      </c>
      <c r="J219" s="125">
        <f t="shared" si="122"/>
        <v>2027</v>
      </c>
      <c r="K219" s="125">
        <f t="shared" si="122"/>
        <v>2028</v>
      </c>
      <c r="L219" s="125">
        <f t="shared" si="122"/>
        <v>2029</v>
      </c>
      <c r="M219" s="125">
        <f t="shared" si="122"/>
        <v>2030</v>
      </c>
      <c r="N219" s="125">
        <f t="shared" si="122"/>
        <v>2031</v>
      </c>
      <c r="O219" s="125">
        <f t="shared" si="122"/>
        <v>2032</v>
      </c>
      <c r="P219" s="125">
        <f t="shared" si="122"/>
        <v>2033</v>
      </c>
      <c r="Q219" s="125">
        <f t="shared" si="122"/>
        <v>2034</v>
      </c>
      <c r="R219" s="119"/>
      <c r="S219" s="119"/>
      <c r="T219" s="119"/>
      <c r="U219" s="115"/>
      <c r="V219" s="115"/>
      <c r="W219" s="115"/>
      <c r="X219" s="115"/>
      <c r="Y219" s="115"/>
      <c r="Z219" s="115"/>
      <c r="AA219" s="115"/>
      <c r="AB219" s="115"/>
      <c r="AC219" s="115"/>
    </row>
    <row r="220" spans="1:29" ht="3.75" hidden="1" customHeight="1" x14ac:dyDescent="0.35">
      <c r="B220" s="44"/>
      <c r="C220" s="44"/>
      <c r="D220" s="44"/>
      <c r="E220" s="44"/>
      <c r="F220" s="44"/>
      <c r="G220" s="153"/>
      <c r="H220" s="44"/>
      <c r="I220" s="44"/>
      <c r="J220" s="44"/>
      <c r="K220" s="44"/>
      <c r="L220" s="44"/>
      <c r="M220" s="44"/>
      <c r="N220" s="44"/>
      <c r="O220" s="44"/>
      <c r="P220" s="44"/>
      <c r="Q220" s="44"/>
      <c r="R220" s="119"/>
      <c r="S220" s="119"/>
      <c r="T220" s="119"/>
      <c r="U220" s="115"/>
      <c r="V220" s="115"/>
      <c r="W220" s="115"/>
      <c r="X220" s="115"/>
      <c r="Y220" s="115"/>
      <c r="Z220" s="115"/>
      <c r="AA220" s="115"/>
      <c r="AB220" s="115"/>
      <c r="AC220" s="115"/>
    </row>
    <row r="221" spans="1:29" ht="15.5" hidden="1" x14ac:dyDescent="0.35">
      <c r="B221" s="171" t="s">
        <v>552</v>
      </c>
      <c r="C221" s="172"/>
      <c r="D221" s="172"/>
      <c r="E221" s="173"/>
      <c r="F221" s="173"/>
      <c r="G221" s="174"/>
      <c r="H221" s="173">
        <f ca="1">IFERROR(H197/(1+WACC!$G$16)^H201,"")</f>
        <v>-19625.132900738507</v>
      </c>
      <c r="I221" s="173">
        <f ca="1">IFERROR(I197/(1+WACC!$G$16)^I201,"")</f>
        <v>-15175.447137421857</v>
      </c>
      <c r="J221" s="173">
        <f ca="1">IFERROR(J197/(1+WACC!$G$16)^J201,"")</f>
        <v>-14807.891121582647</v>
      </c>
      <c r="K221" s="173">
        <f ca="1">IFERROR(K197/(1+WACC!$G$16)^K201,"")</f>
        <v>-16365.59724997062</v>
      </c>
      <c r="L221" s="173">
        <f ca="1">IFERROR(L197/(1+WACC!$G$16)^L201,"")</f>
        <v>-15073.084287125281</v>
      </c>
      <c r="M221" s="173">
        <f ca="1">IFERROR(M197/(1+WACC!$G$16)^M201,"")</f>
        <v>-14620.763661652098</v>
      </c>
      <c r="N221" s="173">
        <f ca="1">IFERROR(N197/(1+WACC!$G$16)^N201,"")</f>
        <v>-14109.793008541397</v>
      </c>
      <c r="O221" s="173">
        <f ca="1">IFERROR(O197/(1+WACC!$G$16)^O201,"")</f>
        <v>-13012.836125103546</v>
      </c>
      <c r="P221" s="173">
        <f ca="1">IFERROR(P197/(1+WACC!$G$16)^P201,"")</f>
        <v>-11793.21113857912</v>
      </c>
      <c r="Q221" s="584">
        <f ca="1">IFERROR(Q197/(1+WACC!$G$16)^Q201,"")</f>
        <v>-10876.427984831969</v>
      </c>
      <c r="R221" s="119"/>
      <c r="S221" s="119"/>
      <c r="T221" s="119"/>
      <c r="U221" s="115"/>
      <c r="V221" s="115"/>
      <c r="W221" s="115"/>
      <c r="X221" s="115"/>
      <c r="Y221" s="115"/>
      <c r="Z221" s="115"/>
      <c r="AA221" s="115"/>
      <c r="AB221" s="115"/>
      <c r="AC221" s="115"/>
    </row>
    <row r="222" spans="1:29" ht="15.5" hidden="1" x14ac:dyDescent="0.35">
      <c r="B222" s="175" t="s">
        <v>553</v>
      </c>
      <c r="C222" s="176"/>
      <c r="D222" s="176"/>
      <c r="E222" s="176"/>
      <c r="F222" s="176"/>
      <c r="G222" s="177"/>
      <c r="H222" s="178">
        <f ca="1">IFERROR((H69*H83)/(1+WACC!$G$20)^H201,"")</f>
        <v>0</v>
      </c>
      <c r="I222" s="178">
        <f ca="1">IFERROR((I69*I83)/(1+WACC!$G$20)^I201,"")</f>
        <v>0</v>
      </c>
      <c r="J222" s="178">
        <f ca="1">IFERROR((J69*J83)/(1+WACC!$G$20)^J201,"")</f>
        <v>0</v>
      </c>
      <c r="K222" s="178">
        <f ca="1">IFERROR((K69*K83)/(1+WACC!$G$20)^K201,"")</f>
        <v>0</v>
      </c>
      <c r="L222" s="178">
        <f ca="1">IFERROR((L69*L83)/(1+WACC!$G$20)^L201,"")</f>
        <v>0</v>
      </c>
      <c r="M222" s="178">
        <f ca="1">IFERROR((M69*M83)/(1+WACC!$G$20)^M201,"")</f>
        <v>0</v>
      </c>
      <c r="N222" s="178">
        <f ca="1">IFERROR((N69*N83)/(1+WACC!$G$20)^N201,"")</f>
        <v>0</v>
      </c>
      <c r="O222" s="178">
        <f ca="1">IFERROR((O69*O83)/(1+WACC!$G$20)^O201,"")</f>
        <v>0</v>
      </c>
      <c r="P222" s="178">
        <f ca="1">IFERROR((P69*P83)/(1+WACC!$G$20)^P201,"")</f>
        <v>0</v>
      </c>
      <c r="Q222" s="585">
        <f ca="1">IFERROR((Q69*Q83)/(1+WACC!$G$20)^Q201,"")</f>
        <v>0</v>
      </c>
      <c r="R222" s="119"/>
      <c r="S222" s="119"/>
      <c r="T222" s="119"/>
      <c r="U222" s="115"/>
      <c r="V222" s="115"/>
      <c r="W222" s="115"/>
      <c r="X222" s="115"/>
      <c r="Y222" s="115"/>
      <c r="Z222" s="115"/>
      <c r="AA222" s="115"/>
      <c r="AB222" s="115"/>
      <c r="AC222" s="115"/>
    </row>
    <row r="223" spans="1:29" ht="3.75" hidden="1" customHeight="1" x14ac:dyDescent="0.35">
      <c r="B223" s="137"/>
      <c r="C223" s="137"/>
      <c r="D223" s="137"/>
      <c r="E223" s="137"/>
      <c r="F223" s="137"/>
      <c r="G223" s="190"/>
      <c r="H223" s="137"/>
      <c r="I223" s="137"/>
      <c r="J223" s="137"/>
      <c r="K223" s="137"/>
      <c r="L223" s="137"/>
      <c r="M223" s="137"/>
      <c r="N223" s="137"/>
      <c r="O223" s="137"/>
      <c r="P223" s="137"/>
      <c r="Q223" s="191"/>
      <c r="R223" s="119"/>
      <c r="S223" s="119"/>
      <c r="T223" s="119"/>
      <c r="U223" s="115"/>
      <c r="V223" s="115"/>
      <c r="W223" s="115"/>
      <c r="X223" s="115"/>
      <c r="Y223" s="115"/>
      <c r="Z223" s="115"/>
      <c r="AA223" s="115"/>
      <c r="AB223" s="115"/>
      <c r="AC223" s="115"/>
    </row>
    <row r="224" spans="1:29" ht="15.5" hidden="1" x14ac:dyDescent="0.35">
      <c r="B224" s="114" t="s">
        <v>554</v>
      </c>
      <c r="C224" s="137"/>
      <c r="D224" s="137"/>
      <c r="E224" s="137"/>
      <c r="F224" s="137"/>
      <c r="G224" s="190"/>
      <c r="H224" s="137"/>
      <c r="I224" s="137"/>
      <c r="J224" s="137"/>
      <c r="K224" s="137"/>
      <c r="L224" s="137"/>
      <c r="M224" s="137"/>
      <c r="N224" s="137"/>
      <c r="O224" s="137"/>
      <c r="P224" s="137"/>
      <c r="Q224" s="156">
        <f ca="1">IFERROR((Q197*(1+$C$13))/(WACC!$G$16-DCF!$C$13),"")</f>
        <v>-369803.89217299368</v>
      </c>
      <c r="R224" s="119"/>
      <c r="S224" s="119"/>
      <c r="T224" s="119"/>
      <c r="U224" s="115"/>
      <c r="V224" s="115"/>
      <c r="W224" s="115"/>
      <c r="X224" s="115"/>
      <c r="Y224" s="115"/>
      <c r="Z224" s="115"/>
      <c r="AA224" s="115"/>
      <c r="AB224" s="115"/>
      <c r="AC224" s="115"/>
    </row>
    <row r="225" spans="1:29" ht="15.5" hidden="1" x14ac:dyDescent="0.35">
      <c r="B225" s="114" t="s">
        <v>555</v>
      </c>
      <c r="C225" s="137"/>
      <c r="D225" s="137"/>
      <c r="E225" s="137"/>
      <c r="F225" s="137"/>
      <c r="G225" s="190"/>
      <c r="H225" s="137"/>
      <c r="I225" s="137"/>
      <c r="J225" s="137"/>
      <c r="K225" s="137"/>
      <c r="L225" s="137"/>
      <c r="M225" s="137"/>
      <c r="N225" s="137"/>
      <c r="O225" s="137"/>
      <c r="P225" s="137"/>
      <c r="Q225" s="156">
        <f ca="1">IFERROR(Q224/(1+WACC!$G$16)^$Q$201,"")</f>
        <v>-181849.36171309397</v>
      </c>
      <c r="R225" s="119"/>
      <c r="S225" s="119"/>
      <c r="T225" s="119"/>
      <c r="U225" s="115"/>
      <c r="V225" s="115"/>
      <c r="W225" s="115"/>
      <c r="X225" s="115"/>
      <c r="Y225" s="115"/>
      <c r="Z225" s="115"/>
      <c r="AA225" s="115"/>
      <c r="AB225" s="115"/>
      <c r="AC225" s="115"/>
    </row>
    <row r="226" spans="1:29" ht="15.5" hidden="1" x14ac:dyDescent="0.35">
      <c r="B226" s="114" t="s">
        <v>556</v>
      </c>
      <c r="C226" s="137"/>
      <c r="D226" s="137"/>
      <c r="E226" s="137"/>
      <c r="F226" s="137"/>
      <c r="G226" s="190"/>
      <c r="H226" s="137"/>
      <c r="I226" s="137"/>
      <c r="J226" s="137"/>
      <c r="K226" s="137"/>
      <c r="L226" s="137"/>
      <c r="M226" s="137"/>
      <c r="N226" s="137"/>
      <c r="O226" s="137"/>
      <c r="P226" s="137"/>
      <c r="Q226" s="156">
        <f ca="1">IFERROR((Q222*(1+$C$13))/(WACC!$G$16-$C$13),"")</f>
        <v>0</v>
      </c>
      <c r="R226" s="119"/>
      <c r="S226" s="119"/>
      <c r="T226" s="119"/>
      <c r="U226" s="115"/>
      <c r="V226" s="115"/>
      <c r="W226" s="115"/>
      <c r="X226" s="115"/>
      <c r="Y226" s="115"/>
      <c r="Z226" s="115"/>
      <c r="AA226" s="115"/>
      <c r="AB226" s="115"/>
      <c r="AC226" s="115"/>
    </row>
    <row r="227" spans="1:29" ht="15.5" hidden="1" x14ac:dyDescent="0.35">
      <c r="B227" s="114" t="s">
        <v>557</v>
      </c>
      <c r="C227" s="137"/>
      <c r="D227" s="137"/>
      <c r="E227" s="137"/>
      <c r="F227" s="137"/>
      <c r="G227" s="190"/>
      <c r="H227" s="137"/>
      <c r="I227" s="137"/>
      <c r="J227" s="137"/>
      <c r="K227" s="137"/>
      <c r="L227" s="137"/>
      <c r="M227" s="137"/>
      <c r="N227" s="137"/>
      <c r="O227" s="137"/>
      <c r="P227" s="137"/>
      <c r="Q227" s="156">
        <f ca="1">IFERROR(Q226/(1+WACC!$G$18)^$Q$201,"")</f>
        <v>0</v>
      </c>
      <c r="R227" s="119"/>
      <c r="S227" s="119"/>
      <c r="T227" s="119"/>
      <c r="U227" s="115"/>
      <c r="V227" s="115"/>
      <c r="W227" s="115"/>
      <c r="X227" s="115"/>
      <c r="Y227" s="115"/>
      <c r="Z227" s="115"/>
      <c r="AA227" s="115"/>
      <c r="AB227" s="115"/>
      <c r="AC227" s="115"/>
    </row>
    <row r="228" spans="1:29" ht="15.5" hidden="1" x14ac:dyDescent="0.35">
      <c r="B228" s="114" t="s">
        <v>558</v>
      </c>
      <c r="G228" s="135"/>
      <c r="Q228" s="156">
        <f ca="1">+SUM(H221:Q222,Q225,Q227)</f>
        <v>-327309.54632864101</v>
      </c>
      <c r="R228" s="119"/>
      <c r="S228" s="119"/>
      <c r="T228" s="119"/>
      <c r="U228" s="115"/>
      <c r="V228" s="115"/>
      <c r="W228" s="115"/>
      <c r="X228" s="115"/>
      <c r="Y228" s="115"/>
      <c r="Z228" s="115"/>
      <c r="AA228" s="115"/>
      <c r="AB228" s="115"/>
      <c r="AC228" s="115"/>
    </row>
    <row r="229" spans="1:29" ht="15.5" hidden="1" x14ac:dyDescent="0.35">
      <c r="B229" s="114" t="s">
        <v>212</v>
      </c>
      <c r="G229" s="135"/>
      <c r="Q229" s="156">
        <f ca="1">+Q228-Q207+Q208+Q209+Q210</f>
        <v>-319741.846328641</v>
      </c>
      <c r="R229" s="119"/>
      <c r="S229" s="119"/>
      <c r="T229" s="119"/>
      <c r="U229" s="115"/>
      <c r="V229" s="115"/>
      <c r="W229" s="115"/>
      <c r="X229" s="115"/>
      <c r="Y229" s="115"/>
      <c r="Z229" s="115"/>
      <c r="AA229" s="115"/>
      <c r="AB229" s="115"/>
      <c r="AC229" s="115"/>
    </row>
    <row r="230" spans="1:29" ht="15.5" hidden="1" x14ac:dyDescent="0.35">
      <c r="B230" s="137" t="s">
        <v>548</v>
      </c>
      <c r="C230" s="137"/>
      <c r="D230" s="137"/>
      <c r="E230" s="137"/>
      <c r="F230" s="137"/>
      <c r="G230" s="190"/>
      <c r="H230" s="137"/>
      <c r="I230" s="137"/>
      <c r="J230" s="137"/>
      <c r="K230" s="137"/>
      <c r="L230" s="137"/>
      <c r="M230" s="137"/>
      <c r="N230" s="137"/>
      <c r="O230" s="137"/>
      <c r="P230" s="137"/>
      <c r="Q230" s="362">
        <f ca="1">IFERROR(Q229/Q213,"")</f>
        <v>-439204.38494246855</v>
      </c>
      <c r="R230" s="119"/>
      <c r="S230" s="119"/>
      <c r="T230" s="119"/>
      <c r="U230" s="115"/>
      <c r="V230" s="115"/>
      <c r="W230" s="115"/>
      <c r="X230" s="115"/>
      <c r="Y230" s="115"/>
      <c r="Z230" s="115"/>
      <c r="AA230" s="115"/>
      <c r="AB230" s="115"/>
      <c r="AC230" s="115"/>
    </row>
    <row r="231" spans="1:29" ht="3.75" hidden="1" customHeight="1" x14ac:dyDescent="0.35">
      <c r="B231" s="137"/>
      <c r="C231" s="137"/>
      <c r="D231" s="137"/>
      <c r="E231" s="137"/>
      <c r="F231" s="137"/>
      <c r="G231" s="190"/>
      <c r="H231" s="137"/>
      <c r="I231" s="137"/>
      <c r="J231" s="137"/>
      <c r="K231" s="137"/>
      <c r="L231" s="137"/>
      <c r="M231" s="137"/>
      <c r="N231" s="137"/>
      <c r="O231" s="137"/>
      <c r="P231" s="137"/>
      <c r="Q231" s="362"/>
      <c r="R231" s="119"/>
      <c r="S231" s="119"/>
      <c r="T231" s="119"/>
      <c r="U231" s="115"/>
      <c r="V231" s="115"/>
      <c r="W231" s="115"/>
      <c r="X231" s="115"/>
      <c r="Y231" s="115"/>
      <c r="Z231" s="115"/>
      <c r="AA231" s="115"/>
      <c r="AB231" s="115"/>
      <c r="AC231" s="115"/>
    </row>
    <row r="232" spans="1:29" ht="15.5" hidden="1" x14ac:dyDescent="0.35">
      <c r="B232" s="363" t="s">
        <v>550</v>
      </c>
      <c r="C232" s="137"/>
      <c r="D232" s="137"/>
      <c r="E232" s="137"/>
      <c r="F232" s="137"/>
      <c r="G232" s="190"/>
      <c r="H232" s="137"/>
      <c r="I232" s="137"/>
      <c r="J232" s="137"/>
      <c r="K232" s="137"/>
      <c r="L232" s="137"/>
      <c r="M232" s="137"/>
      <c r="N232" s="137"/>
      <c r="O232" s="137"/>
      <c r="P232" s="137"/>
      <c r="Q232" s="191">
        <f ca="1">IFERROR(Q230/Q216-1,"")</f>
        <v>-3.4265435632180581</v>
      </c>
      <c r="R232" s="119"/>
      <c r="S232" s="119"/>
      <c r="T232" s="119"/>
      <c r="U232" s="115"/>
      <c r="V232" s="115"/>
      <c r="W232" s="115"/>
      <c r="X232" s="115"/>
      <c r="Y232" s="115"/>
      <c r="Z232" s="115"/>
      <c r="AA232" s="115"/>
      <c r="AB232" s="115"/>
      <c r="AC232" s="115"/>
    </row>
    <row r="233" spans="1:29" ht="3.75" hidden="1" customHeight="1" x14ac:dyDescent="0.35">
      <c r="G233" s="135"/>
      <c r="R233" s="119"/>
      <c r="S233" s="119"/>
      <c r="T233" s="119"/>
    </row>
    <row r="234" spans="1:29" ht="15.5" hidden="1" x14ac:dyDescent="0.35">
      <c r="A234" s="114" t="s">
        <v>440</v>
      </c>
      <c r="B234" s="43" t="s">
        <v>559</v>
      </c>
      <c r="C234" s="43"/>
      <c r="D234" s="43"/>
      <c r="E234" s="125">
        <f>E34</f>
        <v>2022</v>
      </c>
      <c r="F234" s="125">
        <f>F34</f>
        <v>2023</v>
      </c>
      <c r="G234" s="126">
        <f>G34</f>
        <v>2024</v>
      </c>
      <c r="H234" s="90">
        <f t="shared" ref="H234:Q234" si="123">1+G234</f>
        <v>2025</v>
      </c>
      <c r="I234" s="90">
        <f t="shared" si="123"/>
        <v>2026</v>
      </c>
      <c r="J234" s="90">
        <f t="shared" si="123"/>
        <v>2027</v>
      </c>
      <c r="K234" s="90">
        <f t="shared" si="123"/>
        <v>2028</v>
      </c>
      <c r="L234" s="90">
        <f t="shared" si="123"/>
        <v>2029</v>
      </c>
      <c r="M234" s="90">
        <f t="shared" si="123"/>
        <v>2030</v>
      </c>
      <c r="N234" s="90">
        <f t="shared" si="123"/>
        <v>2031</v>
      </c>
      <c r="O234" s="90">
        <f t="shared" si="123"/>
        <v>2032</v>
      </c>
      <c r="P234" s="90">
        <f t="shared" si="123"/>
        <v>2033</v>
      </c>
      <c r="Q234" s="90">
        <f t="shared" si="123"/>
        <v>2034</v>
      </c>
      <c r="R234" s="119"/>
      <c r="S234" s="119"/>
      <c r="T234" s="119"/>
    </row>
    <row r="235" spans="1:29" ht="3.75" hidden="1" customHeight="1" x14ac:dyDescent="0.35">
      <c r="B235" s="44"/>
      <c r="C235" s="44"/>
      <c r="D235" s="44"/>
      <c r="E235" s="44"/>
      <c r="F235" s="44"/>
      <c r="G235" s="192"/>
      <c r="H235" s="44"/>
      <c r="I235" s="44"/>
      <c r="J235" s="44"/>
      <c r="K235" s="44"/>
      <c r="L235" s="44"/>
      <c r="M235" s="44"/>
      <c r="N235" s="44"/>
      <c r="O235" s="44"/>
      <c r="P235" s="44"/>
      <c r="Q235" s="44"/>
      <c r="R235" s="119"/>
      <c r="S235" s="119"/>
      <c r="T235" s="119"/>
    </row>
    <row r="236" spans="1:29" ht="15.5" hidden="1" x14ac:dyDescent="0.35">
      <c r="B236" s="114" t="s">
        <v>460</v>
      </c>
      <c r="E236" s="139">
        <f>+E63</f>
        <v>6809.3999999999978</v>
      </c>
      <c r="F236" s="139">
        <f>+F63</f>
        <v>-7730.399999999996</v>
      </c>
      <c r="G236" s="170">
        <f>+G63</f>
        <v>23467.399999999998</v>
      </c>
      <c r="H236" s="164">
        <f>+H63</f>
        <v>18575.183804077373</v>
      </c>
      <c r="I236" s="164">
        <f t="shared" ref="I236:Q236" si="124">+I63</f>
        <v>22949.731226756812</v>
      </c>
      <c r="J236" s="164">
        <f t="shared" si="124"/>
        <v>27044.877887413379</v>
      </c>
      <c r="K236" s="164">
        <f t="shared" si="124"/>
        <v>31224.818330706046</v>
      </c>
      <c r="L236" s="164">
        <f t="shared" si="124"/>
        <v>35375.240149790705</v>
      </c>
      <c r="M236" s="164">
        <f t="shared" si="124"/>
        <v>39177.765063119063</v>
      </c>
      <c r="N236" s="164">
        <f t="shared" si="124"/>
        <v>42585.576657637248</v>
      </c>
      <c r="O236" s="164">
        <f t="shared" si="124"/>
        <v>45435.599958825507</v>
      </c>
      <c r="P236" s="164">
        <f t="shared" si="124"/>
        <v>47199.131592902668</v>
      </c>
      <c r="Q236" s="164">
        <f t="shared" si="124"/>
        <v>48672.418828275651</v>
      </c>
      <c r="R236" s="119"/>
      <c r="S236" s="119"/>
      <c r="T236" s="119"/>
    </row>
    <row r="237" spans="1:29" ht="3.75" hidden="1" customHeight="1" x14ac:dyDescent="0.35">
      <c r="G237" s="135"/>
      <c r="R237" s="119"/>
      <c r="S237" s="119"/>
      <c r="T237" s="119"/>
    </row>
    <row r="238" spans="1:29" ht="15" hidden="1" customHeight="1" x14ac:dyDescent="0.35">
      <c r="B238" s="114" t="s">
        <v>281</v>
      </c>
      <c r="E238" s="156">
        <f>+E85</f>
        <v>2241.699999999998</v>
      </c>
      <c r="F238" s="156">
        <f t="shared" ref="F238:Q238" si="125">+F85</f>
        <v>-9137.5999999999949</v>
      </c>
      <c r="G238" s="193">
        <f t="shared" si="125"/>
        <v>19797.099999999995</v>
      </c>
      <c r="H238" s="156">
        <f t="shared" si="125"/>
        <v>12181.280462443214</v>
      </c>
      <c r="I238" s="156">
        <f t="shared" si="125"/>
        <v>16911.796534710931</v>
      </c>
      <c r="J238" s="156">
        <f t="shared" si="125"/>
        <v>20607.643806358483</v>
      </c>
      <c r="K238" s="156">
        <f t="shared" si="125"/>
        <v>22739.474172058617</v>
      </c>
      <c r="L238" s="156">
        <f t="shared" si="125"/>
        <v>26435.894672181319</v>
      </c>
      <c r="M238" s="156">
        <f t="shared" si="125"/>
        <v>29328.217542943592</v>
      </c>
      <c r="N238" s="156">
        <f t="shared" si="125"/>
        <v>31709.034184253258</v>
      </c>
      <c r="O238" s="156">
        <f t="shared" si="125"/>
        <v>34029.774734912287</v>
      </c>
      <c r="P238" s="156">
        <f t="shared" si="125"/>
        <v>35348.484581997742</v>
      </c>
      <c r="Q238" s="156">
        <f t="shared" si="125"/>
        <v>36433.050105666072</v>
      </c>
      <c r="R238" s="119"/>
      <c r="S238" s="119"/>
      <c r="T238" s="119"/>
    </row>
    <row r="239" spans="1:29" ht="3.75" hidden="1" customHeight="1" x14ac:dyDescent="0.35">
      <c r="G239" s="135"/>
      <c r="R239" s="119"/>
      <c r="S239" s="119"/>
      <c r="T239" s="119"/>
    </row>
    <row r="240" spans="1:29" ht="15" hidden="1" customHeight="1" x14ac:dyDescent="0.35">
      <c r="B240" s="114" t="s">
        <v>482</v>
      </c>
      <c r="E240" s="194">
        <f t="shared" ref="E240:Q240" si="126">+E127</f>
        <v>679.4</v>
      </c>
      <c r="F240" s="194">
        <f t="shared" si="126"/>
        <v>587.1</v>
      </c>
      <c r="G240" s="195">
        <f t="shared" si="126"/>
        <v>559.6</v>
      </c>
      <c r="H240" s="194">
        <f t="shared" si="126"/>
        <v>674.8408054106377</v>
      </c>
      <c r="I240" s="194">
        <f t="shared" si="126"/>
        <v>788.30848316696915</v>
      </c>
      <c r="J240" s="194">
        <f t="shared" si="126"/>
        <v>903.98214972565347</v>
      </c>
      <c r="K240" s="194">
        <f t="shared" si="126"/>
        <v>1019.4296060965914</v>
      </c>
      <c r="L240" s="194">
        <f t="shared" si="126"/>
        <v>1131.2349895914515</v>
      </c>
      <c r="M240" s="194">
        <f t="shared" si="126"/>
        <v>1235.6397886575387</v>
      </c>
      <c r="N240" s="194">
        <f t="shared" si="126"/>
        <v>1328.5399800136324</v>
      </c>
      <c r="O240" s="194">
        <f t="shared" si="126"/>
        <v>1406.2041932460797</v>
      </c>
      <c r="P240" s="194">
        <f t="shared" si="126"/>
        <v>1454.8356258586209</v>
      </c>
      <c r="Q240" s="194">
        <f t="shared" si="126"/>
        <v>1497.4435315630008</v>
      </c>
      <c r="R240" s="119"/>
      <c r="S240" s="119"/>
      <c r="T240" s="119"/>
    </row>
    <row r="241" spans="2:20" ht="4.1500000000000004" hidden="1" customHeight="1" x14ac:dyDescent="0.35">
      <c r="B241" s="140"/>
      <c r="E241" s="196"/>
      <c r="F241" s="196"/>
      <c r="G241" s="197"/>
      <c r="H241" s="198"/>
      <c r="I241" s="198"/>
      <c r="J241" s="198"/>
      <c r="K241" s="198"/>
      <c r="L241" s="198"/>
      <c r="M241" s="198"/>
      <c r="N241" s="198"/>
      <c r="O241" s="198"/>
      <c r="P241" s="198"/>
      <c r="Q241" s="198"/>
      <c r="R241" s="119"/>
      <c r="S241" s="119"/>
      <c r="T241" s="119"/>
    </row>
    <row r="242" spans="2:20" ht="13.5" hidden="1" customHeight="1" x14ac:dyDescent="0.35">
      <c r="B242" s="114" t="s">
        <v>513</v>
      </c>
      <c r="E242" s="156">
        <f>+E129</f>
        <v>0</v>
      </c>
      <c r="F242" s="156">
        <f t="shared" ref="F242:Q242" si="127">+F129</f>
        <v>0</v>
      </c>
      <c r="G242" s="193">
        <f t="shared" si="127"/>
        <v>0</v>
      </c>
      <c r="H242" s="156">
        <f t="shared" si="127"/>
        <v>0</v>
      </c>
      <c r="I242" s="156">
        <f t="shared" si="127"/>
        <v>0</v>
      </c>
      <c r="J242" s="156">
        <f t="shared" si="127"/>
        <v>0</v>
      </c>
      <c r="K242" s="156">
        <f t="shared" si="127"/>
        <v>0</v>
      </c>
      <c r="L242" s="156">
        <f t="shared" si="127"/>
        <v>0</v>
      </c>
      <c r="M242" s="156">
        <f t="shared" si="127"/>
        <v>0</v>
      </c>
      <c r="N242" s="156">
        <f t="shared" si="127"/>
        <v>0</v>
      </c>
      <c r="O242" s="156">
        <f t="shared" si="127"/>
        <v>0</v>
      </c>
      <c r="P242" s="156">
        <f t="shared" si="127"/>
        <v>0</v>
      </c>
      <c r="Q242" s="156">
        <f t="shared" si="127"/>
        <v>0</v>
      </c>
      <c r="R242" s="119"/>
      <c r="S242" s="119"/>
      <c r="T242" s="119"/>
    </row>
    <row r="243" spans="2:20" ht="4.1500000000000004" hidden="1" customHeight="1" x14ac:dyDescent="0.35">
      <c r="B243" s="140"/>
      <c r="E243" s="196"/>
      <c r="F243" s="196"/>
      <c r="G243" s="197"/>
      <c r="H243" s="198"/>
      <c r="I243" s="198"/>
      <c r="J243" s="198"/>
      <c r="K243" s="198"/>
      <c r="L243" s="198"/>
      <c r="M243" s="198"/>
      <c r="N243" s="198"/>
      <c r="O243" s="198"/>
      <c r="P243" s="198"/>
      <c r="Q243" s="198"/>
      <c r="R243" s="119"/>
      <c r="S243" s="119"/>
      <c r="T243" s="119"/>
    </row>
    <row r="244" spans="2:20" ht="15" hidden="1" customHeight="1" x14ac:dyDescent="0.35">
      <c r="B244" s="114" t="s">
        <v>533</v>
      </c>
      <c r="E244" s="156">
        <f t="shared" ref="E244:Q244" si="128">E193</f>
        <v>-3088.8</v>
      </c>
      <c r="F244" s="156">
        <f t="shared" si="128"/>
        <v>965</v>
      </c>
      <c r="G244" s="193">
        <f t="shared" si="128"/>
        <v>-6034.6</v>
      </c>
      <c r="H244" s="156">
        <f t="shared" si="128"/>
        <v>-6746.9939220801571</v>
      </c>
      <c r="I244" s="156">
        <f t="shared" si="128"/>
        <v>-3606.0710835211903</v>
      </c>
      <c r="J244" s="156">
        <f t="shared" si="128"/>
        <v>-2744.7086021642317</v>
      </c>
      <c r="K244" s="156">
        <f t="shared" si="128"/>
        <v>-4583.9115886109139</v>
      </c>
      <c r="L244" s="156">
        <f t="shared" si="128"/>
        <v>-3728.7823101161921</v>
      </c>
      <c r="M244" s="156">
        <f t="shared" si="128"/>
        <v>-3466.6010314811465</v>
      </c>
      <c r="N244" s="156">
        <f t="shared" si="128"/>
        <v>-3467.7147493511256</v>
      </c>
      <c r="O244" s="156">
        <f t="shared" si="128"/>
        <v>-2772.5595074455632</v>
      </c>
      <c r="P244" s="156">
        <f t="shared" si="128"/>
        <v>-1891.0021351106188</v>
      </c>
      <c r="Q244" s="156">
        <f t="shared" si="128"/>
        <v>-1495.7027920440742</v>
      </c>
      <c r="R244" s="119"/>
      <c r="S244" s="119"/>
      <c r="T244" s="119"/>
    </row>
    <row r="245" spans="2:20" ht="3.75" hidden="1" customHeight="1" x14ac:dyDescent="0.35">
      <c r="E245" s="156"/>
      <c r="F245" s="156"/>
      <c r="G245" s="193"/>
      <c r="H245" s="156"/>
      <c r="I245" s="156"/>
      <c r="J245" s="156"/>
      <c r="K245" s="156"/>
      <c r="L245" s="156"/>
      <c r="M245" s="156"/>
      <c r="N245" s="156"/>
      <c r="O245" s="156"/>
      <c r="P245" s="156"/>
      <c r="Q245" s="156"/>
      <c r="R245" s="119"/>
      <c r="S245" s="119"/>
      <c r="T245" s="119"/>
    </row>
    <row r="246" spans="2:20" ht="15" hidden="1" customHeight="1" x14ac:dyDescent="0.35">
      <c r="B246" s="114" t="s">
        <v>26</v>
      </c>
      <c r="E246" s="139">
        <f>E138</f>
        <v>-19424.2</v>
      </c>
      <c r="F246" s="139">
        <f t="shared" ref="F246:G246" si="129">F138</f>
        <v>-7239.4999999999991</v>
      </c>
      <c r="G246" s="170">
        <f t="shared" si="129"/>
        <v>-16595.8</v>
      </c>
      <c r="H246" s="139">
        <f t="shared" ref="H246:Q246" si="130">H195</f>
        <v>-27178.34071991171</v>
      </c>
      <c r="I246" s="139">
        <f t="shared" si="130"/>
        <v>-31608.232167296595</v>
      </c>
      <c r="J246" s="139">
        <f t="shared" si="130"/>
        <v>-36638.734124844799</v>
      </c>
      <c r="K246" s="139">
        <f t="shared" si="130"/>
        <v>-41027.39021256964</v>
      </c>
      <c r="L246" s="139">
        <f t="shared" si="130"/>
        <v>-45482.14258589808</v>
      </c>
      <c r="M246" s="139">
        <f t="shared" si="130"/>
        <v>-49704.530892107301</v>
      </c>
      <c r="N246" s="139">
        <f t="shared" si="130"/>
        <v>-53255.394638418482</v>
      </c>
      <c r="O246" s="139">
        <f t="shared" si="130"/>
        <v>-56255.927460283892</v>
      </c>
      <c r="P246" s="139">
        <f t="shared" si="130"/>
        <v>-58046.976358281077</v>
      </c>
      <c r="Q246" s="139">
        <f t="shared" si="130"/>
        <v>-59536.876363310417</v>
      </c>
      <c r="R246" s="119"/>
      <c r="S246" s="119"/>
      <c r="T246" s="119"/>
    </row>
    <row r="247" spans="2:20" ht="3.75" hidden="1" customHeight="1" x14ac:dyDescent="0.35">
      <c r="G247" s="135"/>
      <c r="R247" s="119"/>
      <c r="S247" s="119"/>
      <c r="T247" s="119"/>
    </row>
    <row r="248" spans="2:20" ht="15" hidden="1" customHeight="1" x14ac:dyDescent="0.35">
      <c r="B248" s="114" t="s">
        <v>560</v>
      </c>
      <c r="E248" s="194">
        <f>+E161-E163</f>
        <v>14913.7</v>
      </c>
      <c r="F248" s="194">
        <f t="shared" ref="F248:G248" si="131">+F161-F163</f>
        <v>17249.900000000001</v>
      </c>
      <c r="G248" s="195">
        <f t="shared" si="131"/>
        <v>26692.5</v>
      </c>
      <c r="H248" s="194">
        <f>IFERROR(H161-H163,"")</f>
        <v>0</v>
      </c>
      <c r="I248" s="194">
        <f t="shared" ref="I248:Q248" si="132">IFERROR(I161-I163,"")</f>
        <v>21069.213374138017</v>
      </c>
      <c r="J248" s="194">
        <f t="shared" si="132"/>
        <v>0</v>
      </c>
      <c r="K248" s="194">
        <f t="shared" si="132"/>
        <v>17871.816770924896</v>
      </c>
      <c r="L248" s="194">
        <f t="shared" si="132"/>
        <v>3980.5812521004518</v>
      </c>
      <c r="M248" s="194">
        <f t="shared" si="132"/>
        <v>17663.213982141049</v>
      </c>
      <c r="N248" s="194">
        <f t="shared" si="132"/>
        <v>4944.0606098462667</v>
      </c>
      <c r="O248" s="194">
        <f t="shared" si="132"/>
        <v>18741.474613656454</v>
      </c>
      <c r="P248" s="194">
        <f t="shared" si="132"/>
        <v>4851.0334259146366</v>
      </c>
      <c r="Q248" s="194">
        <f t="shared" si="132"/>
        <v>18283.624859620697</v>
      </c>
      <c r="R248" s="119"/>
      <c r="S248" s="119"/>
      <c r="T248" s="119"/>
    </row>
    <row r="249" spans="2:20" ht="4.1500000000000004" hidden="1" customHeight="1" x14ac:dyDescent="0.35">
      <c r="G249" s="135"/>
      <c r="R249" s="119"/>
      <c r="S249" s="119"/>
      <c r="T249" s="119"/>
    </row>
    <row r="250" spans="2:20" ht="15" hidden="1" customHeight="1" x14ac:dyDescent="0.35">
      <c r="B250" s="171" t="s">
        <v>453</v>
      </c>
      <c r="C250" s="172"/>
      <c r="D250" s="172"/>
      <c r="E250" s="173">
        <f t="shared" ref="E250:G250" si="133">+E238+E240+E242+E244+E246+E248</f>
        <v>-4678.2000000000007</v>
      </c>
      <c r="F250" s="173">
        <f t="shared" si="133"/>
        <v>2424.9000000000087</v>
      </c>
      <c r="G250" s="174">
        <f t="shared" si="133"/>
        <v>24418.799999999996</v>
      </c>
      <c r="H250" s="173">
        <f>IFERROR(+H238+H240+H242+H244+H246+H248,"")</f>
        <v>-21069.213374138017</v>
      </c>
      <c r="I250" s="173">
        <f t="shared" ref="I250:Q250" si="134">IFERROR(+I238+I240+I242+I244+I246+I248,"")</f>
        <v>3555.0151411981315</v>
      </c>
      <c r="J250" s="173">
        <f t="shared" si="134"/>
        <v>-17871.816770924896</v>
      </c>
      <c r="K250" s="173">
        <f t="shared" si="134"/>
        <v>-3980.5812521004518</v>
      </c>
      <c r="L250" s="173">
        <f t="shared" si="134"/>
        <v>-17663.213982141049</v>
      </c>
      <c r="M250" s="173">
        <f t="shared" si="134"/>
        <v>-4944.0606098462667</v>
      </c>
      <c r="N250" s="173">
        <f t="shared" si="134"/>
        <v>-18741.474613656454</v>
      </c>
      <c r="O250" s="173">
        <f t="shared" si="134"/>
        <v>-4851.0334259146366</v>
      </c>
      <c r="P250" s="173">
        <f t="shared" si="134"/>
        <v>-18283.624859620697</v>
      </c>
      <c r="Q250" s="314">
        <f t="shared" si="134"/>
        <v>-4818.4606585047186</v>
      </c>
      <c r="R250" s="119"/>
      <c r="S250" s="119"/>
      <c r="T250" s="119"/>
    </row>
    <row r="251" spans="2:20" ht="15" hidden="1" customHeight="1" x14ac:dyDescent="0.35">
      <c r="B251" s="175" t="s">
        <v>561</v>
      </c>
      <c r="C251" s="176"/>
      <c r="D251" s="176"/>
      <c r="E251" s="176"/>
      <c r="F251" s="176"/>
      <c r="G251" s="177"/>
      <c r="H251" s="178">
        <f t="shared" ref="H251:Q251" ca="1" si="135">IFERROR(H250/(1+$C$12)^H$201,"")</f>
        <v>-20854.253301441349</v>
      </c>
      <c r="I251" s="178">
        <f t="shared" ca="1" si="135"/>
        <v>3212.1775086226758</v>
      </c>
      <c r="J251" s="178">
        <f t="shared" ca="1" si="135"/>
        <v>-14741.393680819769</v>
      </c>
      <c r="K251" s="178">
        <f t="shared" ca="1" si="135"/>
        <v>-2997.2853689193521</v>
      </c>
      <c r="L251" s="178">
        <f t="shared" ca="1" si="135"/>
        <v>-12141.24128331913</v>
      </c>
      <c r="M251" s="178">
        <f t="shared" ca="1" si="135"/>
        <v>-3102.3365183986134</v>
      </c>
      <c r="N251" s="178">
        <f t="shared" ca="1" si="135"/>
        <v>-10735.459479931664</v>
      </c>
      <c r="O251" s="178">
        <f t="shared" ca="1" si="135"/>
        <v>-2536.6637599889395</v>
      </c>
      <c r="P251" s="178">
        <f t="shared" ca="1" si="135"/>
        <v>-8727.7580523760753</v>
      </c>
      <c r="Q251" s="179">
        <f t="shared" ca="1" si="135"/>
        <v>-2099.7155914396903</v>
      </c>
      <c r="R251" s="119"/>
      <c r="S251" s="119"/>
      <c r="T251" s="119"/>
    </row>
    <row r="252" spans="2:20" ht="3.75" hidden="1" customHeight="1" x14ac:dyDescent="0.35">
      <c r="G252" s="135"/>
      <c r="R252" s="119"/>
      <c r="S252" s="119"/>
      <c r="T252" s="119"/>
    </row>
    <row r="253" spans="2:20" ht="15" hidden="1" customHeight="1" x14ac:dyDescent="0.35">
      <c r="B253" s="114" t="s">
        <v>540</v>
      </c>
      <c r="G253" s="135"/>
      <c r="Q253" s="156">
        <f ca="1">IFERROR((Q250*(1+$C$13))/(WACC!$G$11-$C$13),"")</f>
        <v>-80562.662338289229</v>
      </c>
      <c r="R253" s="119"/>
      <c r="S253" s="119"/>
      <c r="T253" s="119"/>
    </row>
    <row r="254" spans="2:20" ht="15" hidden="1" customHeight="1" x14ac:dyDescent="0.35">
      <c r="B254" s="114" t="s">
        <v>541</v>
      </c>
      <c r="G254" s="135"/>
      <c r="Q254" s="199">
        <f ca="1">IFERROR(Q253/(1+WACC!$G$11)^$Q$201,"")</f>
        <v>-39616.318362793318</v>
      </c>
      <c r="R254" s="119"/>
      <c r="S254" s="119"/>
      <c r="T254" s="119"/>
    </row>
    <row r="255" spans="2:20" ht="15" hidden="1" customHeight="1" x14ac:dyDescent="0.35">
      <c r="B255" s="114" t="s">
        <v>212</v>
      </c>
      <c r="G255" s="135"/>
      <c r="Q255" s="156">
        <f ca="1">+SUM(Q254,H251:Q251)</f>
        <v>-114340.24789080523</v>
      </c>
      <c r="R255" s="119"/>
      <c r="S255" s="119"/>
      <c r="T255" s="119"/>
    </row>
    <row r="256" spans="2:20" ht="3.75" hidden="1" customHeight="1" x14ac:dyDescent="0.35">
      <c r="G256" s="135"/>
      <c r="R256" s="119"/>
      <c r="S256" s="119"/>
      <c r="T256" s="119"/>
    </row>
    <row r="257" spans="1:20" ht="15" hidden="1" customHeight="1" x14ac:dyDescent="0.35">
      <c r="B257" s="137" t="s">
        <v>548</v>
      </c>
      <c r="G257" s="135"/>
      <c r="N257" s="188"/>
      <c r="Q257" s="189">
        <f ca="1">IFERROR(Q255/Q213,"")</f>
        <v>-157060.26228870291</v>
      </c>
      <c r="R257" s="119"/>
      <c r="S257" s="119"/>
      <c r="T257" s="119"/>
    </row>
    <row r="258" spans="1:20" ht="3.75" hidden="1" customHeight="1" x14ac:dyDescent="0.35">
      <c r="G258" s="135"/>
      <c r="R258" s="119"/>
      <c r="S258" s="119"/>
      <c r="T258" s="119"/>
    </row>
    <row r="259" spans="1:20" ht="15" hidden="1" customHeight="1" x14ac:dyDescent="0.35">
      <c r="B259" s="137" t="s">
        <v>550</v>
      </c>
      <c r="C259" s="137"/>
      <c r="D259" s="137"/>
      <c r="E259" s="137"/>
      <c r="F259" s="137"/>
      <c r="G259" s="190"/>
      <c r="H259" s="137"/>
      <c r="I259" s="137"/>
      <c r="J259" s="137"/>
      <c r="K259" s="137"/>
      <c r="L259" s="137"/>
      <c r="M259" s="137"/>
      <c r="N259" s="137"/>
      <c r="O259" s="137"/>
      <c r="P259" s="137"/>
      <c r="Q259" s="191">
        <f ca="1">IFERROR(Q257/Q216-1,"")</f>
        <v>-1.8677362557386901</v>
      </c>
      <c r="R259" s="119"/>
      <c r="S259" s="119"/>
      <c r="T259" s="119"/>
    </row>
    <row r="260" spans="1:20" s="196" customFormat="1" ht="3.75" hidden="1" customHeight="1" x14ac:dyDescent="0.35">
      <c r="G260" s="197"/>
      <c r="R260" s="587"/>
      <c r="S260" s="587"/>
      <c r="T260" s="587"/>
    </row>
    <row r="261" spans="1:20" ht="15" hidden="1" customHeight="1" x14ac:dyDescent="0.35">
      <c r="A261" s="114" t="s">
        <v>440</v>
      </c>
      <c r="B261" s="43" t="s">
        <v>562</v>
      </c>
      <c r="C261" s="43"/>
      <c r="D261" s="43"/>
      <c r="E261" s="125">
        <f>+E234</f>
        <v>2022</v>
      </c>
      <c r="F261" s="125">
        <f>+F234</f>
        <v>2023</v>
      </c>
      <c r="G261" s="126">
        <f>+G234</f>
        <v>2024</v>
      </c>
      <c r="H261" s="90">
        <f t="shared" ref="H261:Q261" si="136">1+G261</f>
        <v>2025</v>
      </c>
      <c r="I261" s="90">
        <f t="shared" si="136"/>
        <v>2026</v>
      </c>
      <c r="J261" s="90">
        <f t="shared" si="136"/>
        <v>2027</v>
      </c>
      <c r="K261" s="90">
        <f t="shared" si="136"/>
        <v>2028</v>
      </c>
      <c r="L261" s="90">
        <f t="shared" si="136"/>
        <v>2029</v>
      </c>
      <c r="M261" s="90">
        <f t="shared" si="136"/>
        <v>2030</v>
      </c>
      <c r="N261" s="90">
        <f t="shared" si="136"/>
        <v>2031</v>
      </c>
      <c r="O261" s="90">
        <f t="shared" si="136"/>
        <v>2032</v>
      </c>
      <c r="P261" s="90">
        <f t="shared" si="136"/>
        <v>2033</v>
      </c>
      <c r="Q261" s="90">
        <f t="shared" si="136"/>
        <v>2034</v>
      </c>
      <c r="R261" s="119"/>
      <c r="S261" s="119"/>
      <c r="T261" s="119"/>
    </row>
    <row r="262" spans="1:20" ht="3.75" hidden="1" customHeight="1" x14ac:dyDescent="0.35">
      <c r="B262" s="44"/>
      <c r="C262" s="44"/>
      <c r="D262" s="44"/>
      <c r="E262" s="44"/>
      <c r="F262" s="44"/>
      <c r="G262" s="192"/>
      <c r="H262" s="44"/>
      <c r="I262" s="44"/>
      <c r="J262" s="44"/>
      <c r="K262" s="44"/>
      <c r="L262" s="44"/>
      <c r="M262" s="44"/>
      <c r="N262" s="44"/>
      <c r="O262" s="44"/>
      <c r="P262" s="44"/>
      <c r="Q262" s="44"/>
      <c r="R262" s="119"/>
      <c r="S262" s="119"/>
      <c r="T262" s="119"/>
    </row>
    <row r="263" spans="1:20" ht="15" hidden="1" customHeight="1" x14ac:dyDescent="0.35">
      <c r="B263" s="114" t="s">
        <v>455</v>
      </c>
      <c r="E263" s="156">
        <f t="shared" ref="E263:G263" si="137">+E155+E152</f>
        <v>-1669.2</v>
      </c>
      <c r="F263" s="156">
        <f t="shared" si="137"/>
        <v>-801</v>
      </c>
      <c r="G263" s="193">
        <f t="shared" si="137"/>
        <v>-732.5</v>
      </c>
      <c r="H263" s="156">
        <f>IFERROR(H155+H152,"")</f>
        <v>0</v>
      </c>
      <c r="I263" s="156">
        <f t="shared" ref="I263:Q263" si="138">IFERROR(I155+I152,"")</f>
        <v>0</v>
      </c>
      <c r="J263" s="156">
        <f t="shared" si="138"/>
        <v>0</v>
      </c>
      <c r="K263" s="156">
        <f t="shared" si="138"/>
        <v>0</v>
      </c>
      <c r="L263" s="156">
        <f t="shared" si="138"/>
        <v>0</v>
      </c>
      <c r="M263" s="156">
        <f t="shared" si="138"/>
        <v>0</v>
      </c>
      <c r="N263" s="156">
        <f t="shared" si="138"/>
        <v>0</v>
      </c>
      <c r="O263" s="156">
        <f t="shared" si="138"/>
        <v>0</v>
      </c>
      <c r="P263" s="156">
        <f t="shared" si="138"/>
        <v>0</v>
      </c>
      <c r="Q263" s="156">
        <f t="shared" si="138"/>
        <v>0</v>
      </c>
      <c r="R263" s="119"/>
      <c r="S263" s="119"/>
      <c r="T263" s="119"/>
    </row>
    <row r="264" spans="1:20" ht="15" hidden="1" customHeight="1" x14ac:dyDescent="0.35">
      <c r="B264" s="140" t="s">
        <v>563</v>
      </c>
      <c r="E264" s="196">
        <f t="shared" ref="E264:Q264" si="139">IFERROR(_xlfn.XLOOKUP("Repurchase payout",$B:$B,E:E)+_xlfn.XLOOKUP("Dividend payout",$B:$B,E:E),"")</f>
        <v>0.7446134629968334</v>
      </c>
      <c r="F264" s="196">
        <f t="shared" si="139"/>
        <v>-8.7659779373139596E-2</v>
      </c>
      <c r="G264" s="197">
        <f t="shared" si="139"/>
        <v>3.7000368740876199E-2</v>
      </c>
      <c r="H264" s="196">
        <f t="shared" si="139"/>
        <v>0</v>
      </c>
      <c r="I264" s="196">
        <f t="shared" si="139"/>
        <v>0</v>
      </c>
      <c r="J264" s="196">
        <f t="shared" si="139"/>
        <v>0</v>
      </c>
      <c r="K264" s="196">
        <f t="shared" si="139"/>
        <v>0</v>
      </c>
      <c r="L264" s="196">
        <f t="shared" si="139"/>
        <v>0</v>
      </c>
      <c r="M264" s="196">
        <f t="shared" si="139"/>
        <v>0</v>
      </c>
      <c r="N264" s="196">
        <f t="shared" si="139"/>
        <v>0</v>
      </c>
      <c r="O264" s="196">
        <f t="shared" si="139"/>
        <v>0</v>
      </c>
      <c r="P264" s="196">
        <f t="shared" si="139"/>
        <v>0</v>
      </c>
      <c r="Q264" s="196">
        <f t="shared" si="139"/>
        <v>0</v>
      </c>
      <c r="R264" s="119"/>
      <c r="S264" s="119"/>
      <c r="T264" s="119"/>
    </row>
    <row r="265" spans="1:20" ht="15" hidden="1" customHeight="1" x14ac:dyDescent="0.35">
      <c r="B265" s="114" t="s">
        <v>564</v>
      </c>
      <c r="E265" s="196">
        <f>IFERROR(1-E264,"")</f>
        <v>0.2553865370031666</v>
      </c>
      <c r="F265" s="196">
        <f t="shared" ref="F265:Q265" si="140">IFERROR(1-F264,"")</f>
        <v>1.0876597793731395</v>
      </c>
      <c r="G265" s="197">
        <f t="shared" si="140"/>
        <v>0.9629996312591238</v>
      </c>
      <c r="H265" s="196">
        <f t="shared" si="140"/>
        <v>1</v>
      </c>
      <c r="I265" s="196">
        <f t="shared" si="140"/>
        <v>1</v>
      </c>
      <c r="J265" s="196">
        <f t="shared" si="140"/>
        <v>1</v>
      </c>
      <c r="K265" s="196">
        <f t="shared" si="140"/>
        <v>1</v>
      </c>
      <c r="L265" s="196">
        <f t="shared" si="140"/>
        <v>1</v>
      </c>
      <c r="M265" s="196">
        <f t="shared" si="140"/>
        <v>1</v>
      </c>
      <c r="N265" s="196">
        <f t="shared" si="140"/>
        <v>1</v>
      </c>
      <c r="O265" s="196">
        <f t="shared" si="140"/>
        <v>1</v>
      </c>
      <c r="P265" s="196">
        <f t="shared" si="140"/>
        <v>1</v>
      </c>
      <c r="Q265" s="196">
        <f t="shared" si="140"/>
        <v>1</v>
      </c>
      <c r="R265" s="119"/>
      <c r="S265" s="119"/>
      <c r="T265" s="119"/>
    </row>
    <row r="266" spans="1:20" ht="3.75" hidden="1" customHeight="1" x14ac:dyDescent="0.35">
      <c r="G266" s="135"/>
      <c r="R266" s="119"/>
      <c r="S266" s="119"/>
      <c r="T266" s="119"/>
    </row>
    <row r="267" spans="1:20" ht="15" hidden="1" customHeight="1" x14ac:dyDescent="0.35">
      <c r="B267" s="200" t="s">
        <v>565</v>
      </c>
      <c r="C267" s="201"/>
      <c r="D267" s="201"/>
      <c r="E267" s="201"/>
      <c r="F267" s="201"/>
      <c r="G267" s="202"/>
      <c r="H267" s="203">
        <f ca="1">IFERROR(-H263/(1+WACC!$G$11)^H$201,"")</f>
        <v>0</v>
      </c>
      <c r="I267" s="203">
        <f ca="1">IFERROR(-I263/(1+WACC!$G$11)^I$201,"")</f>
        <v>0</v>
      </c>
      <c r="J267" s="203">
        <f ca="1">IFERROR(-J263/(1+WACC!$G$11)^J$201,"")</f>
        <v>0</v>
      </c>
      <c r="K267" s="203">
        <f ca="1">IFERROR(-K263/(1+WACC!$G$11)^K$201,"")</f>
        <v>0</v>
      </c>
      <c r="L267" s="203">
        <f ca="1">IFERROR(-L263/(1+WACC!$G$11)^L$201,"")</f>
        <v>0</v>
      </c>
      <c r="M267" s="203">
        <f ca="1">IFERROR(-M263/(1+WACC!$G$11)^M$201,"")</f>
        <v>0</v>
      </c>
      <c r="N267" s="203">
        <f ca="1">IFERROR(-N263/(1+WACC!$G$11)^N$201,"")</f>
        <v>0</v>
      </c>
      <c r="O267" s="203">
        <f ca="1">IFERROR(-O263/(1+WACC!$G$11)^O$201,"")</f>
        <v>0</v>
      </c>
      <c r="P267" s="203">
        <f ca="1">IFERROR(-P263/(1+WACC!$G$11)^P$201,"")</f>
        <v>0</v>
      </c>
      <c r="Q267" s="453">
        <f ca="1">IFERROR(-Q263/(1+WACC!$G$11)^Q$201,"")</f>
        <v>0</v>
      </c>
      <c r="R267" s="119"/>
      <c r="S267" s="119"/>
      <c r="T267" s="119"/>
    </row>
    <row r="268" spans="1:20" ht="3.75" hidden="1" customHeight="1" x14ac:dyDescent="0.35">
      <c r="G268" s="135"/>
      <c r="R268" s="119"/>
      <c r="S268" s="119"/>
      <c r="T268" s="119"/>
    </row>
    <row r="269" spans="1:20" ht="13.5" hidden="1" customHeight="1" x14ac:dyDescent="0.35">
      <c r="B269" s="114" t="s">
        <v>540</v>
      </c>
      <c r="G269" s="135"/>
      <c r="Q269" s="156">
        <f ca="1">IFERROR(+(Q267*(1+$C$13))/(WACC!$G$11-$C$13),"")</f>
        <v>0</v>
      </c>
      <c r="R269" s="119"/>
      <c r="S269" s="119"/>
      <c r="T269" s="119"/>
    </row>
    <row r="270" spans="1:20" ht="15" hidden="1" customHeight="1" x14ac:dyDescent="0.35">
      <c r="B270" s="114" t="s">
        <v>541</v>
      </c>
      <c r="G270" s="135"/>
      <c r="Q270" s="199">
        <f ca="1">IFERROR(Q269/(1+$C$12)^$Q$201,"")</f>
        <v>0</v>
      </c>
      <c r="R270" s="119"/>
      <c r="S270" s="119"/>
      <c r="T270" s="119"/>
    </row>
    <row r="271" spans="1:20" ht="15" hidden="1" customHeight="1" x14ac:dyDescent="0.35">
      <c r="B271" s="114" t="s">
        <v>212</v>
      </c>
      <c r="G271" s="135"/>
      <c r="Q271" s="156">
        <f ca="1">+SUM(Q270,H267:Q267)</f>
        <v>0</v>
      </c>
      <c r="R271" s="119"/>
      <c r="S271" s="119"/>
      <c r="T271" s="119"/>
    </row>
    <row r="272" spans="1:20" ht="3.75" hidden="1" customHeight="1" x14ac:dyDescent="0.35">
      <c r="G272" s="135"/>
      <c r="N272" s="188"/>
      <c r="R272" s="119"/>
      <c r="S272" s="119"/>
      <c r="T272" s="119"/>
    </row>
    <row r="273" spans="1:49" ht="15" hidden="1" customHeight="1" x14ac:dyDescent="0.35">
      <c r="B273" s="137" t="s">
        <v>548</v>
      </c>
      <c r="G273" s="135"/>
      <c r="Q273" s="189">
        <f ca="1">IFERROR(Q270/Q$213,"")</f>
        <v>0</v>
      </c>
      <c r="R273" s="119"/>
      <c r="S273" s="119"/>
      <c r="T273" s="119"/>
    </row>
    <row r="274" spans="1:49" ht="3.75" hidden="1" customHeight="1" x14ac:dyDescent="0.35">
      <c r="B274" s="137"/>
      <c r="G274" s="135"/>
      <c r="R274" s="119"/>
      <c r="S274" s="119"/>
      <c r="T274" s="119"/>
    </row>
    <row r="275" spans="1:49" ht="15" hidden="1" customHeight="1" x14ac:dyDescent="0.35">
      <c r="B275" s="137" t="s">
        <v>550</v>
      </c>
      <c r="C275" s="137"/>
      <c r="D275" s="137"/>
      <c r="E275" s="137"/>
      <c r="F275" s="137"/>
      <c r="G275" s="190"/>
      <c r="H275" s="137"/>
      <c r="I275" s="137"/>
      <c r="J275" s="137"/>
      <c r="K275" s="137"/>
      <c r="L275" s="137"/>
      <c r="M275" s="137"/>
      <c r="N275" s="137"/>
      <c r="O275" s="137"/>
      <c r="P275" s="137"/>
      <c r="Q275" s="204">
        <f ca="1">IFERROR(Q273/Q216-1,"")</f>
        <v>-1</v>
      </c>
      <c r="R275" s="119"/>
      <c r="S275" s="119"/>
      <c r="T275" s="119"/>
    </row>
    <row r="276" spans="1:49" ht="15" customHeight="1" x14ac:dyDescent="0.35">
      <c r="R276" s="119"/>
      <c r="S276" s="119"/>
      <c r="T276" s="119"/>
    </row>
    <row r="277" spans="1:49" ht="15" customHeight="1" x14ac:dyDescent="0.35">
      <c r="A277" s="114" t="s">
        <v>440</v>
      </c>
      <c r="B277" s="57" t="s">
        <v>127</v>
      </c>
      <c r="C277" s="58"/>
      <c r="D277" s="57"/>
      <c r="E277" s="58"/>
      <c r="F277" s="58"/>
      <c r="G277" s="58"/>
      <c r="H277" s="58"/>
      <c r="I277" s="58"/>
      <c r="J277" s="85"/>
      <c r="K277" s="86"/>
      <c r="L277" s="86"/>
      <c r="M277" s="86"/>
      <c r="N277" s="86"/>
      <c r="O277" s="86"/>
      <c r="R277" s="119"/>
      <c r="S277" s="119"/>
      <c r="T277" s="119"/>
    </row>
    <row r="278" spans="1:49" ht="3.75" customHeight="1" x14ac:dyDescent="0.35">
      <c r="B278" s="59"/>
      <c r="C278" s="59"/>
      <c r="D278" s="59"/>
      <c r="E278" s="59"/>
      <c r="F278" s="59"/>
      <c r="G278" s="59"/>
      <c r="H278" s="59"/>
      <c r="I278" s="59"/>
      <c r="J278" s="87"/>
      <c r="K278" s="87"/>
      <c r="L278" s="87"/>
      <c r="M278" s="87"/>
      <c r="N278" s="87"/>
      <c r="O278" s="87"/>
      <c r="R278" s="119"/>
      <c r="S278" s="119"/>
      <c r="T278" s="119"/>
    </row>
    <row r="279" spans="1:49" ht="39.75" customHeight="1" x14ac:dyDescent="0.35">
      <c r="B279" s="979" t="s">
        <v>566</v>
      </c>
      <c r="C279" s="979"/>
      <c r="D279" s="942" t="s">
        <v>567</v>
      </c>
      <c r="E279" s="942"/>
      <c r="F279" s="942"/>
      <c r="G279" s="942"/>
      <c r="H279" s="942"/>
      <c r="I279" s="942"/>
      <c r="J279" s="942"/>
      <c r="K279" s="942"/>
      <c r="L279" s="942"/>
      <c r="M279" s="942"/>
      <c r="N279" s="942"/>
      <c r="O279" s="942"/>
      <c r="R279" s="119"/>
      <c r="S279" s="119"/>
      <c r="T279" s="119"/>
    </row>
    <row r="280" spans="1:49" ht="39.75" customHeight="1" x14ac:dyDescent="0.35">
      <c r="B280" s="979" t="s">
        <v>568</v>
      </c>
      <c r="C280" s="979"/>
      <c r="D280" s="980" t="s">
        <v>569</v>
      </c>
      <c r="E280" s="980"/>
      <c r="F280" s="980"/>
      <c r="G280" s="980"/>
      <c r="H280" s="980"/>
      <c r="I280" s="980"/>
      <c r="J280" s="980"/>
      <c r="K280" s="980"/>
      <c r="L280" s="980"/>
      <c r="M280" s="980"/>
      <c r="N280" s="980"/>
      <c r="O280"/>
      <c r="R280" s="119"/>
      <c r="S280" s="119"/>
      <c r="T280" s="119"/>
    </row>
    <row r="281" spans="1:49" ht="39.75" customHeight="1" x14ac:dyDescent="0.35">
      <c r="B281" s="979" t="s">
        <v>570</v>
      </c>
      <c r="C281" s="979"/>
      <c r="D281" s="937" t="s">
        <v>571</v>
      </c>
      <c r="E281" s="937"/>
      <c r="F281" s="937"/>
      <c r="G281" s="937"/>
      <c r="H281" s="937"/>
      <c r="I281" s="937"/>
      <c r="J281" s="937"/>
      <c r="K281" s="937"/>
      <c r="L281" s="937"/>
      <c r="M281" s="937"/>
      <c r="N281" s="937"/>
      <c r="O281"/>
    </row>
    <row r="282" spans="1:49" ht="39.75" customHeight="1" x14ac:dyDescent="0.35">
      <c r="B282" s="979" t="s">
        <v>572</v>
      </c>
      <c r="C282" s="979"/>
      <c r="D282" s="981"/>
      <c r="E282" s="981"/>
      <c r="F282" s="981"/>
      <c r="G282" s="981"/>
      <c r="H282" s="981"/>
      <c r="I282" s="981"/>
      <c r="J282" s="981"/>
      <c r="K282" s="981"/>
      <c r="L282" s="981"/>
      <c r="M282" s="981"/>
      <c r="N282" s="981"/>
      <c r="O282" s="981"/>
      <c r="AS282" s="115">
        <v>230092.05684272622</v>
      </c>
      <c r="AT282" s="115">
        <v>249710.22129259852</v>
      </c>
      <c r="AU282" s="115">
        <v>272067.34917609446</v>
      </c>
      <c r="AV282" s="115">
        <v>297753.21900330577</v>
      </c>
      <c r="AW282" s="115">
        <v>327538.5026272331</v>
      </c>
    </row>
    <row r="283" spans="1:49" ht="39.75" customHeight="1" x14ac:dyDescent="0.35">
      <c r="B283" s="979" t="s">
        <v>573</v>
      </c>
      <c r="C283" s="979"/>
      <c r="D283" s="980" t="s">
        <v>574</v>
      </c>
      <c r="E283" s="980"/>
      <c r="F283" s="980"/>
      <c r="G283" s="980"/>
      <c r="H283" s="980"/>
      <c r="I283" s="980"/>
      <c r="J283" s="980"/>
      <c r="K283" s="980"/>
      <c r="L283" s="980"/>
      <c r="M283" s="980"/>
      <c r="N283" s="980"/>
      <c r="O283"/>
      <c r="AS283" s="115">
        <v>240685.54614112782</v>
      </c>
      <c r="AT283" s="115">
        <v>262177.88755014003</v>
      </c>
      <c r="AU283" s="115">
        <v>286865.71415522747</v>
      </c>
      <c r="AV283" s="115">
        <v>315488.61312832829</v>
      </c>
      <c r="AW283" s="115">
        <v>349031.74097581347</v>
      </c>
    </row>
    <row r="284" spans="1:49" ht="39.75" customHeight="1" x14ac:dyDescent="0.35">
      <c r="B284" s="979" t="s">
        <v>570</v>
      </c>
      <c r="C284" s="979"/>
      <c r="D284" s="937" t="s">
        <v>571</v>
      </c>
      <c r="E284" s="937"/>
      <c r="F284" s="937"/>
      <c r="G284" s="937"/>
      <c r="H284" s="937"/>
      <c r="I284" s="937"/>
      <c r="J284" s="937"/>
      <c r="K284" s="937"/>
      <c r="L284" s="937"/>
      <c r="M284" s="937"/>
      <c r="N284" s="937"/>
      <c r="O284"/>
      <c r="AS284" s="115">
        <v>252685.87332776343</v>
      </c>
      <c r="AT284" s="115">
        <v>276419.04829666333</v>
      </c>
      <c r="AU284" s="115">
        <v>303930.29122917424</v>
      </c>
      <c r="AV284" s="115">
        <v>336165.20030891016</v>
      </c>
      <c r="AW284" s="115">
        <v>374411.64087024925</v>
      </c>
    </row>
    <row r="285" spans="1:49" ht="39.75" customHeight="1" x14ac:dyDescent="0.35">
      <c r="B285" s="979" t="s">
        <v>575</v>
      </c>
      <c r="C285" s="979"/>
      <c r="D285" s="942" t="s">
        <v>576</v>
      </c>
      <c r="E285" s="942"/>
      <c r="F285" s="942"/>
      <c r="G285" s="942"/>
      <c r="H285" s="942"/>
      <c r="I285" s="942"/>
      <c r="J285" s="942"/>
      <c r="K285" s="942"/>
      <c r="L285" s="942"/>
      <c r="M285" s="942"/>
      <c r="N285" s="942"/>
      <c r="O285" s="942"/>
      <c r="AS285" s="115">
        <v>266393.21718390624</v>
      </c>
      <c r="AT285" s="115">
        <v>292841.09124020388</v>
      </c>
      <c r="AU285" s="115">
        <v>323824.81474987819</v>
      </c>
      <c r="AV285" s="115">
        <v>360580.7725131053</v>
      </c>
      <c r="AW285" s="115">
        <v>404837.24650910561</v>
      </c>
    </row>
    <row r="286" spans="1:49" ht="39.75" customHeight="1" x14ac:dyDescent="0.35">
      <c r="B286" s="979"/>
      <c r="C286" s="979"/>
      <c r="D286" s="942"/>
      <c r="E286" s="942"/>
      <c r="F286" s="942"/>
      <c r="G286" s="942"/>
      <c r="H286" s="942"/>
      <c r="I286" s="942"/>
      <c r="J286" s="942"/>
      <c r="K286" s="942"/>
      <c r="L286" s="942"/>
      <c r="M286" s="942"/>
      <c r="N286" s="942"/>
      <c r="O286" s="942"/>
      <c r="AS286" s="115">
        <v>282199.69486181671</v>
      </c>
      <c r="AT286" s="115">
        <v>311986.52438997006</v>
      </c>
      <c r="AU286" s="115">
        <v>347316.90129421768</v>
      </c>
      <c r="AV286" s="115">
        <v>389850.33521515242</v>
      </c>
      <c r="AW286" s="115">
        <v>441979.32138391252</v>
      </c>
    </row>
    <row r="287" spans="1:49" ht="15" customHeight="1" x14ac:dyDescent="0.35">
      <c r="D287" s="937"/>
      <c r="E287" s="937"/>
      <c r="F287" s="937"/>
      <c r="G287" s="937"/>
      <c r="H287" s="937"/>
      <c r="I287" s="937"/>
      <c r="J287" s="937"/>
      <c r="K287" s="937"/>
      <c r="L287" s="937"/>
      <c r="M287" s="937"/>
      <c r="N287" s="937"/>
      <c r="O287"/>
    </row>
    <row r="288" spans="1:49" s="35" customFormat="1" ht="20.25" customHeight="1" x14ac:dyDescent="0.4">
      <c r="A288" s="114"/>
      <c r="B288" s="941"/>
      <c r="C288" s="941"/>
      <c r="D288" s="937"/>
      <c r="E288" s="937"/>
      <c r="F288" s="937"/>
      <c r="G288" s="937"/>
      <c r="H288" s="937"/>
      <c r="I288" s="937"/>
      <c r="J288" s="937"/>
      <c r="K288" s="937"/>
      <c r="L288" s="937"/>
      <c r="M288" s="937"/>
      <c r="N288" s="937"/>
      <c r="O288"/>
      <c r="P288" s="114"/>
      <c r="Q288" s="114"/>
      <c r="R288" s="114"/>
      <c r="S288" s="114"/>
      <c r="T288" s="114"/>
      <c r="U288" s="114"/>
      <c r="V288" s="114"/>
      <c r="W288" s="114"/>
      <c r="X288" s="114"/>
      <c r="Y288" s="114"/>
      <c r="Z288" s="114"/>
      <c r="AA288" s="114"/>
      <c r="AB288" s="114"/>
      <c r="AC288" s="114"/>
      <c r="AD288" s="114"/>
      <c r="AE288" s="114"/>
      <c r="AF288" s="114"/>
      <c r="AG288" s="114"/>
      <c r="AH288" s="114"/>
      <c r="AI288" s="114"/>
      <c r="AJ288" s="114"/>
      <c r="AK288" s="114"/>
      <c r="AN288" s="671" t="s">
        <v>577</v>
      </c>
    </row>
    <row r="290" spans="40:49" ht="15" customHeight="1" x14ac:dyDescent="0.35">
      <c r="AN290" s="593" t="str">
        <f ca="1">IFERROR(Peers!C6&amp;" Fair Value - Blended Discount Rate and Terminal Growth Rate","")</f>
        <v>000660 Fair Value - Blended Discount Rate and Terminal Growth Rate</v>
      </c>
      <c r="AO290"/>
      <c r="AP290"/>
      <c r="AQ290"/>
      <c r="AR290"/>
      <c r="AS290"/>
      <c r="AT290"/>
      <c r="AW290" s="114">
        <v>1</v>
      </c>
    </row>
    <row r="291" spans="40:49" ht="15" customHeight="1" thickBot="1" x14ac:dyDescent="0.4">
      <c r="AN291" t="s">
        <v>578</v>
      </c>
      <c r="AO291"/>
      <c r="AP291"/>
      <c r="AQ291"/>
      <c r="AR291"/>
      <c r="AS291"/>
      <c r="AT291"/>
      <c r="AW291" s="114">
        <v>2</v>
      </c>
    </row>
    <row r="292" spans="40:49" ht="15" customHeight="1" x14ac:dyDescent="0.35">
      <c r="AN292" s="591"/>
      <c r="AO292" s="592"/>
      <c r="AP292" s="672"/>
      <c r="AQ292" s="591"/>
      <c r="AR292" s="673" t="s">
        <v>462</v>
      </c>
      <c r="AS292" s="591"/>
      <c r="AT292" s="591"/>
      <c r="AW292" s="114">
        <v>3</v>
      </c>
    </row>
    <row r="293" spans="40:49" ht="15" customHeight="1" thickBot="1" x14ac:dyDescent="0.4">
      <c r="AN293" s="583"/>
      <c r="AO293" s="899">
        <v>303637.91947838193</v>
      </c>
      <c r="AP293" s="594">
        <v>9.5299999999999996E-2</v>
      </c>
      <c r="AQ293" s="594">
        <v>9.0300000000000005E-2</v>
      </c>
      <c r="AR293" s="594">
        <v>8.5300000000000001E-2</v>
      </c>
      <c r="AS293" s="594">
        <v>8.0299999999999996E-2</v>
      </c>
      <c r="AT293" s="594">
        <v>7.5300000000000006E-2</v>
      </c>
      <c r="AW293" s="114">
        <v>4</v>
      </c>
    </row>
    <row r="294" spans="40:49" ht="15" customHeight="1" x14ac:dyDescent="0.35">
      <c r="AN294"/>
      <c r="AO294" s="588">
        <v>0.01</v>
      </c>
      <c r="AP294" s="896">
        <f>ROUND(AS282,-4)</f>
        <v>230000</v>
      </c>
      <c r="AQ294" s="896">
        <f t="shared" ref="AQ294:AT294" si="141">ROUND(AT282,-4)</f>
        <v>250000</v>
      </c>
      <c r="AR294" s="896">
        <f t="shared" si="141"/>
        <v>270000</v>
      </c>
      <c r="AS294" s="896">
        <f t="shared" si="141"/>
        <v>300000</v>
      </c>
      <c r="AT294" s="896">
        <f t="shared" si="141"/>
        <v>330000</v>
      </c>
      <c r="AW294" s="114">
        <v>5</v>
      </c>
    </row>
    <row r="295" spans="40:49" ht="15" customHeight="1" x14ac:dyDescent="0.4">
      <c r="AN295" s="670"/>
      <c r="AO295" s="588">
        <v>1.4999999999999999E-2</v>
      </c>
      <c r="AP295" s="896">
        <f>ROUND(AS283,-4)</f>
        <v>240000</v>
      </c>
      <c r="AQ295" s="896">
        <f t="shared" ref="AQ295:AT295" si="142">ROUND(AT283,-4)</f>
        <v>260000</v>
      </c>
      <c r="AR295" s="896">
        <f t="shared" si="142"/>
        <v>290000</v>
      </c>
      <c r="AS295" s="896">
        <f t="shared" si="142"/>
        <v>320000</v>
      </c>
      <c r="AT295" s="896">
        <f t="shared" si="142"/>
        <v>350000</v>
      </c>
      <c r="AW295" s="114">
        <v>6</v>
      </c>
    </row>
    <row r="296" spans="40:49" ht="15" customHeight="1" x14ac:dyDescent="0.35">
      <c r="AN296" s="18" t="s">
        <v>464</v>
      </c>
      <c r="AO296" s="588">
        <v>0.02</v>
      </c>
      <c r="AP296" s="896">
        <f t="shared" ref="AP296:AT296" si="143">ROUND(AS284,-4)</f>
        <v>250000</v>
      </c>
      <c r="AQ296" s="896">
        <f t="shared" si="143"/>
        <v>280000</v>
      </c>
      <c r="AR296" s="896">
        <f t="shared" si="143"/>
        <v>300000</v>
      </c>
      <c r="AS296" s="896">
        <f t="shared" si="143"/>
        <v>340000</v>
      </c>
      <c r="AT296" s="896">
        <f t="shared" si="143"/>
        <v>370000</v>
      </c>
      <c r="AW296" s="114">
        <v>7</v>
      </c>
    </row>
    <row r="297" spans="40:49" ht="15" customHeight="1" x14ac:dyDescent="0.35">
      <c r="AN297"/>
      <c r="AO297" s="588">
        <v>2.5000000000000001E-2</v>
      </c>
      <c r="AP297" s="896">
        <f t="shared" ref="AP297:AT297" si="144">ROUND(AS285,-4)</f>
        <v>270000</v>
      </c>
      <c r="AQ297" s="896">
        <f t="shared" si="144"/>
        <v>290000</v>
      </c>
      <c r="AR297" s="896">
        <f t="shared" si="144"/>
        <v>320000</v>
      </c>
      <c r="AS297" s="896">
        <f t="shared" si="144"/>
        <v>360000</v>
      </c>
      <c r="AT297" s="896">
        <f t="shared" si="144"/>
        <v>400000</v>
      </c>
      <c r="AW297" s="114">
        <v>8</v>
      </c>
    </row>
    <row r="298" spans="40:49" ht="15" customHeight="1" thickBot="1" x14ac:dyDescent="0.4">
      <c r="AN298" s="583"/>
      <c r="AO298" s="589">
        <v>0.03</v>
      </c>
      <c r="AP298" s="897">
        <f t="shared" ref="AP298:AT298" si="145">ROUND(AS286,-4)</f>
        <v>280000</v>
      </c>
      <c r="AQ298" s="897">
        <f t="shared" si="145"/>
        <v>310000</v>
      </c>
      <c r="AR298" s="897">
        <f t="shared" si="145"/>
        <v>350000</v>
      </c>
      <c r="AS298" s="897">
        <f t="shared" si="145"/>
        <v>390000</v>
      </c>
      <c r="AT298" s="897">
        <f t="shared" si="145"/>
        <v>440000</v>
      </c>
      <c r="AW298" s="114">
        <v>9</v>
      </c>
    </row>
    <row r="299" spans="40:49" ht="15" customHeight="1" x14ac:dyDescent="0.35">
      <c r="AN299"/>
      <c r="AO299" s="681"/>
      <c r="AP299"/>
      <c r="AQ299"/>
      <c r="AR299"/>
      <c r="AS299"/>
      <c r="AT299"/>
      <c r="AW299" s="114">
        <v>10</v>
      </c>
    </row>
    <row r="300" spans="40:49" ht="15" customHeight="1" x14ac:dyDescent="0.35">
      <c r="AN300" s="593" t="str">
        <f ca="1">Peers!C6&amp;" Stock Price - Blended Revenue Growth and Operating Margin"</f>
        <v>000660 Stock Price - Blended Revenue Growth and Operating Margin</v>
      </c>
      <c r="AO300"/>
      <c r="AP300"/>
      <c r="AQ300"/>
      <c r="AR300"/>
      <c r="AS300"/>
      <c r="AT300"/>
      <c r="AW300" s="114">
        <v>11</v>
      </c>
    </row>
    <row r="301" spans="40:49" ht="15" customHeight="1" thickBot="1" x14ac:dyDescent="0.4">
      <c r="AN301" t="s">
        <v>578</v>
      </c>
      <c r="AO301"/>
      <c r="AP301"/>
      <c r="AQ301"/>
      <c r="AR301"/>
      <c r="AS301"/>
      <c r="AT301"/>
      <c r="AW301" s="114">
        <v>12</v>
      </c>
    </row>
    <row r="302" spans="40:49" ht="15" customHeight="1" x14ac:dyDescent="0.35">
      <c r="AN302" s="591"/>
      <c r="AO302" s="592"/>
      <c r="AP302" s="591"/>
      <c r="AQ302" s="595" t="s">
        <v>215</v>
      </c>
      <c r="AR302" s="591"/>
      <c r="AS302"/>
      <c r="AT302"/>
      <c r="AW302" s="114">
        <v>13</v>
      </c>
    </row>
    <row r="303" spans="40:49" ht="15" customHeight="1" thickBot="1" x14ac:dyDescent="0.4">
      <c r="AN303" s="583"/>
      <c r="AO303" s="899">
        <v>303637.91947838193</v>
      </c>
      <c r="AP303" s="674">
        <v>1</v>
      </c>
      <c r="AQ303" s="674">
        <v>2</v>
      </c>
      <c r="AR303" s="674">
        <v>3</v>
      </c>
      <c r="AS303"/>
      <c r="AT303"/>
      <c r="AW303" s="114">
        <v>14</v>
      </c>
    </row>
    <row r="304" spans="40:49" ht="15" customHeight="1" x14ac:dyDescent="0.35">
      <c r="AN304"/>
      <c r="AO304" s="675">
        <v>1</v>
      </c>
      <c r="AP304" s="21">
        <f>ROUND(AU201,-4)</f>
        <v>200000</v>
      </c>
      <c r="AQ304" s="21">
        <f t="shared" ref="AQ304:AR304" si="146">ROUND(AV201,-4)</f>
        <v>280000</v>
      </c>
      <c r="AR304" s="21">
        <f t="shared" si="146"/>
        <v>380000</v>
      </c>
      <c r="AS304"/>
      <c r="AT304"/>
      <c r="AW304" s="114">
        <v>15</v>
      </c>
    </row>
    <row r="305" spans="40:49" ht="15" customHeight="1" x14ac:dyDescent="0.35">
      <c r="AN305" s="18" t="s">
        <v>460</v>
      </c>
      <c r="AO305" s="675">
        <v>2</v>
      </c>
      <c r="AP305" s="21">
        <f t="shared" ref="AP305:AR305" si="147">ROUND(AU202,-4)</f>
        <v>220000</v>
      </c>
      <c r="AQ305" s="21">
        <f t="shared" si="147"/>
        <v>300000</v>
      </c>
      <c r="AR305" s="21">
        <f t="shared" si="147"/>
        <v>400000</v>
      </c>
      <c r="AS305"/>
      <c r="AT305"/>
      <c r="AW305" s="114">
        <v>16</v>
      </c>
    </row>
    <row r="306" spans="40:49" ht="15" customHeight="1" thickBot="1" x14ac:dyDescent="0.4">
      <c r="AN306" s="583"/>
      <c r="AO306" s="676">
        <v>3</v>
      </c>
      <c r="AP306" s="898">
        <f t="shared" ref="AP306:AR306" si="148">ROUND(AU203,-4)</f>
        <v>240000</v>
      </c>
      <c r="AQ306" s="898">
        <f t="shared" si="148"/>
        <v>330000</v>
      </c>
      <c r="AR306" s="898">
        <f t="shared" si="148"/>
        <v>430000</v>
      </c>
      <c r="AS306"/>
      <c r="AT306"/>
      <c r="AW306" s="114">
        <v>17</v>
      </c>
    </row>
    <row r="307" spans="40:49" ht="15" customHeight="1" x14ac:dyDescent="0.35">
      <c r="AN307"/>
      <c r="AO307" s="677"/>
      <c r="AP307"/>
      <c r="AQ307"/>
      <c r="AR307"/>
      <c r="AS307"/>
      <c r="AT307"/>
      <c r="AW307" s="114">
        <v>18</v>
      </c>
    </row>
    <row r="308" spans="40:49" ht="15" customHeight="1" x14ac:dyDescent="0.35">
      <c r="AN308" s="599" t="s">
        <v>579</v>
      </c>
      <c r="AO308" s="31"/>
      <c r="AP308" s="31"/>
      <c r="AQ308" s="31"/>
      <c r="AR308" s="31"/>
      <c r="AS308" s="31"/>
      <c r="AT308" s="31"/>
      <c r="AW308" s="114">
        <v>19</v>
      </c>
    </row>
    <row r="309" spans="40:49" ht="15" customHeight="1" x14ac:dyDescent="0.35">
      <c r="AW309" s="114">
        <v>20</v>
      </c>
    </row>
    <row r="310" spans="40:49" ht="15" customHeight="1" x14ac:dyDescent="0.35">
      <c r="AW310" s="114">
        <v>21</v>
      </c>
    </row>
    <row r="311" spans="40:49" ht="15" customHeight="1" x14ac:dyDescent="0.35">
      <c r="AR311" s="121"/>
      <c r="AS311" s="121"/>
      <c r="AW311" s="114">
        <v>22</v>
      </c>
    </row>
    <row r="312" spans="40:49" ht="15" customHeight="1" x14ac:dyDescent="0.35">
      <c r="AR312" s="121"/>
      <c r="AS312" s="121"/>
      <c r="AW312" s="114">
        <v>23</v>
      </c>
    </row>
    <row r="313" spans="40:49" ht="15" customHeight="1" x14ac:dyDescent="0.35">
      <c r="AR313" s="165"/>
      <c r="AS313" s="165"/>
      <c r="AW313" s="114">
        <v>24</v>
      </c>
    </row>
    <row r="314" spans="40:49" ht="15" customHeight="1" x14ac:dyDescent="0.35">
      <c r="AW314" s="114">
        <v>25</v>
      </c>
    </row>
    <row r="315" spans="40:49" ht="15" customHeight="1" x14ac:dyDescent="0.35">
      <c r="AN315" s="137"/>
      <c r="AW315" s="114">
        <v>26</v>
      </c>
    </row>
    <row r="316" spans="40:49" ht="15" customHeight="1" x14ac:dyDescent="0.35">
      <c r="AW316" s="114">
        <v>27</v>
      </c>
    </row>
    <row r="317" spans="40:49" ht="15" customHeight="1" x14ac:dyDescent="0.35">
      <c r="AW317" s="114">
        <v>28</v>
      </c>
    </row>
    <row r="318" spans="40:49" ht="15" customHeight="1" x14ac:dyDescent="0.35">
      <c r="AW318" s="114">
        <v>29</v>
      </c>
    </row>
    <row r="319" spans="40:49" ht="15" customHeight="1" x14ac:dyDescent="0.35">
      <c r="AW319" s="114">
        <v>30</v>
      </c>
    </row>
    <row r="320" spans="40:49" ht="15" customHeight="1" x14ac:dyDescent="0.35">
      <c r="AW320" s="114">
        <v>31</v>
      </c>
    </row>
    <row r="321" spans="49:49" ht="15" customHeight="1" x14ac:dyDescent="0.35">
      <c r="AW321" s="114">
        <v>32</v>
      </c>
    </row>
    <row r="322" spans="49:49" ht="15" customHeight="1" x14ac:dyDescent="0.35">
      <c r="AW322" s="114">
        <v>33</v>
      </c>
    </row>
    <row r="323" spans="49:49" ht="15" customHeight="1" x14ac:dyDescent="0.35">
      <c r="AW323" s="114">
        <v>34</v>
      </c>
    </row>
    <row r="324" spans="49:49" ht="15" customHeight="1" x14ac:dyDescent="0.35">
      <c r="AW324" s="114">
        <v>35</v>
      </c>
    </row>
    <row r="325" spans="49:49" ht="15" customHeight="1" x14ac:dyDescent="0.35">
      <c r="AW325" s="114">
        <v>36</v>
      </c>
    </row>
    <row r="326" spans="49:49" ht="15" customHeight="1" x14ac:dyDescent="0.35">
      <c r="AW326" s="114">
        <v>37</v>
      </c>
    </row>
    <row r="327" spans="49:49" ht="15" customHeight="1" x14ac:dyDescent="0.35">
      <c r="AW327" s="114">
        <v>38</v>
      </c>
    </row>
    <row r="328" spans="49:49" ht="15" customHeight="1" x14ac:dyDescent="0.35">
      <c r="AW328" s="114">
        <v>39</v>
      </c>
    </row>
    <row r="329" spans="49:49" ht="15" customHeight="1" x14ac:dyDescent="0.35">
      <c r="AW329" s="114">
        <v>40</v>
      </c>
    </row>
    <row r="330" spans="49:49" ht="15" customHeight="1" x14ac:dyDescent="0.35">
      <c r="AW330" s="114">
        <v>41</v>
      </c>
    </row>
    <row r="331" spans="49:49" ht="15" customHeight="1" x14ac:dyDescent="0.35">
      <c r="AW331" s="114">
        <v>42</v>
      </c>
    </row>
    <row r="332" spans="49:49" ht="15" customHeight="1" x14ac:dyDescent="0.35">
      <c r="AW332" s="114">
        <v>43</v>
      </c>
    </row>
    <row r="333" spans="49:49" ht="15" customHeight="1" x14ac:dyDescent="0.35">
      <c r="AW333" s="114">
        <v>44</v>
      </c>
    </row>
    <row r="334" spans="49:49" ht="15" customHeight="1" x14ac:dyDescent="0.35">
      <c r="AW334" s="114">
        <v>45</v>
      </c>
    </row>
    <row r="335" spans="49:49" ht="15" customHeight="1" x14ac:dyDescent="0.35">
      <c r="AW335" s="114">
        <v>46</v>
      </c>
    </row>
    <row r="336" spans="49:49" ht="15" customHeight="1" x14ac:dyDescent="0.35">
      <c r="AW336" s="114">
        <v>47</v>
      </c>
    </row>
    <row r="337" spans="49:49" ht="15" customHeight="1" x14ac:dyDescent="0.35">
      <c r="AW337" s="114">
        <v>48</v>
      </c>
    </row>
    <row r="338" spans="49:49" ht="15" customHeight="1" x14ac:dyDescent="0.35">
      <c r="AW338" s="114">
        <v>49</v>
      </c>
    </row>
    <row r="339" spans="49:49" ht="15" customHeight="1" x14ac:dyDescent="0.35">
      <c r="AW339" s="114">
        <v>50</v>
      </c>
    </row>
    <row r="340" spans="49:49" ht="15" customHeight="1" x14ac:dyDescent="0.35">
      <c r="AW340" s="114">
        <v>51</v>
      </c>
    </row>
    <row r="341" spans="49:49" ht="15" customHeight="1" x14ac:dyDescent="0.35">
      <c r="AW341" s="114">
        <v>52</v>
      </c>
    </row>
    <row r="342" spans="49:49" ht="15" customHeight="1" x14ac:dyDescent="0.35">
      <c r="AW342" s="114">
        <v>53</v>
      </c>
    </row>
    <row r="343" spans="49:49" ht="15" customHeight="1" x14ac:dyDescent="0.35">
      <c r="AW343" s="114">
        <v>54</v>
      </c>
    </row>
    <row r="344" spans="49:49" ht="15" customHeight="1" x14ac:dyDescent="0.35">
      <c r="AW344" s="114">
        <v>55</v>
      </c>
    </row>
    <row r="345" spans="49:49" ht="15" customHeight="1" x14ac:dyDescent="0.35">
      <c r="AW345" s="114">
        <v>56</v>
      </c>
    </row>
    <row r="346" spans="49:49" ht="15" customHeight="1" x14ac:dyDescent="0.35">
      <c r="AW346" s="114">
        <v>57</v>
      </c>
    </row>
    <row r="347" spans="49:49" ht="15" customHeight="1" x14ac:dyDescent="0.35">
      <c r="AW347" s="114">
        <v>58</v>
      </c>
    </row>
    <row r="348" spans="49:49" ht="15" customHeight="1" x14ac:dyDescent="0.35">
      <c r="AW348" s="114">
        <v>59</v>
      </c>
    </row>
    <row r="349" spans="49:49" ht="15" customHeight="1" x14ac:dyDescent="0.35">
      <c r="AW349" s="114">
        <v>60</v>
      </c>
    </row>
    <row r="350" spans="49:49" ht="15" customHeight="1" x14ac:dyDescent="0.35">
      <c r="AW350" s="114">
        <v>61</v>
      </c>
    </row>
    <row r="351" spans="49:49" ht="15" customHeight="1" x14ac:dyDescent="0.35">
      <c r="AW351" s="114">
        <v>62</v>
      </c>
    </row>
    <row r="352" spans="49:49" ht="15" customHeight="1" x14ac:dyDescent="0.35">
      <c r="AW352" s="114">
        <v>63</v>
      </c>
    </row>
    <row r="353" spans="49:49" ht="15" customHeight="1" x14ac:dyDescent="0.35">
      <c r="AW353" s="114">
        <v>64</v>
      </c>
    </row>
    <row r="354" spans="49:49" ht="15" customHeight="1" x14ac:dyDescent="0.35">
      <c r="AW354" s="114">
        <v>65</v>
      </c>
    </row>
    <row r="355" spans="49:49" ht="15" customHeight="1" x14ac:dyDescent="0.35">
      <c r="AW355" s="114">
        <v>66</v>
      </c>
    </row>
    <row r="356" spans="49:49" ht="15" customHeight="1" x14ac:dyDescent="0.35">
      <c r="AW356" s="114">
        <v>67</v>
      </c>
    </row>
    <row r="357" spans="49:49" ht="15" customHeight="1" x14ac:dyDescent="0.35">
      <c r="AW357" s="114">
        <v>68</v>
      </c>
    </row>
    <row r="358" spans="49:49" ht="15" customHeight="1" x14ac:dyDescent="0.35">
      <c r="AW358" s="114">
        <v>69</v>
      </c>
    </row>
    <row r="359" spans="49:49" ht="15" customHeight="1" x14ac:dyDescent="0.35">
      <c r="AW359" s="114">
        <v>70</v>
      </c>
    </row>
    <row r="360" spans="49:49" ht="15" customHeight="1" x14ac:dyDescent="0.35">
      <c r="AW360" s="114">
        <v>71</v>
      </c>
    </row>
    <row r="361" spans="49:49" ht="15" customHeight="1" x14ac:dyDescent="0.35">
      <c r="AW361" s="114">
        <v>72</v>
      </c>
    </row>
    <row r="362" spans="49:49" ht="15" customHeight="1" x14ac:dyDescent="0.35">
      <c r="AW362" s="114">
        <v>73</v>
      </c>
    </row>
    <row r="363" spans="49:49" ht="15" customHeight="1" x14ac:dyDescent="0.35">
      <c r="AW363" s="114">
        <v>74</v>
      </c>
    </row>
    <row r="364" spans="49:49" ht="15" customHeight="1" x14ac:dyDescent="0.35">
      <c r="AW364" s="114">
        <v>75</v>
      </c>
    </row>
    <row r="365" spans="49:49" ht="15" customHeight="1" x14ac:dyDescent="0.35">
      <c r="AW365" s="114">
        <v>76</v>
      </c>
    </row>
    <row r="366" spans="49:49" ht="15" customHeight="1" x14ac:dyDescent="0.35">
      <c r="AW366" s="114">
        <v>77</v>
      </c>
    </row>
    <row r="367" spans="49:49" ht="15" customHeight="1" x14ac:dyDescent="0.35">
      <c r="AW367" s="114">
        <v>78</v>
      </c>
    </row>
    <row r="368" spans="49:49" ht="15" customHeight="1" x14ac:dyDescent="0.35">
      <c r="AW368" s="114">
        <v>79</v>
      </c>
    </row>
    <row r="369" spans="49:49" ht="15" customHeight="1" x14ac:dyDescent="0.35">
      <c r="AW369" s="114">
        <v>80</v>
      </c>
    </row>
    <row r="370" spans="49:49" ht="15" customHeight="1" x14ac:dyDescent="0.35">
      <c r="AW370" s="114">
        <v>81</v>
      </c>
    </row>
    <row r="371" spans="49:49" ht="15" customHeight="1" x14ac:dyDescent="0.35">
      <c r="AW371" s="114">
        <v>82</v>
      </c>
    </row>
    <row r="372" spans="49:49" ht="15" customHeight="1" x14ac:dyDescent="0.35">
      <c r="AW372" s="114">
        <v>83</v>
      </c>
    </row>
    <row r="373" spans="49:49" ht="15" customHeight="1" x14ac:dyDescent="0.35">
      <c r="AW373" s="114">
        <v>84</v>
      </c>
    </row>
    <row r="374" spans="49:49" ht="15" customHeight="1" x14ac:dyDescent="0.35">
      <c r="AW374" s="114">
        <v>85</v>
      </c>
    </row>
    <row r="375" spans="49:49" ht="15" customHeight="1" x14ac:dyDescent="0.35">
      <c r="AW375" s="114">
        <v>86</v>
      </c>
    </row>
    <row r="376" spans="49:49" ht="15" customHeight="1" x14ac:dyDescent="0.35">
      <c r="AW376" s="114">
        <v>87</v>
      </c>
    </row>
    <row r="377" spans="49:49" ht="15" customHeight="1" x14ac:dyDescent="0.35">
      <c r="AW377" s="114">
        <v>88</v>
      </c>
    </row>
    <row r="378" spans="49:49" ht="15" customHeight="1" x14ac:dyDescent="0.35">
      <c r="AW378" s="114">
        <v>89</v>
      </c>
    </row>
    <row r="379" spans="49:49" ht="15" customHeight="1" x14ac:dyDescent="0.35">
      <c r="AW379" s="114">
        <v>90</v>
      </c>
    </row>
    <row r="380" spans="49:49" ht="15" customHeight="1" x14ac:dyDescent="0.35">
      <c r="AW380" s="114">
        <v>91</v>
      </c>
    </row>
    <row r="381" spans="49:49" ht="15" customHeight="1" x14ac:dyDescent="0.35">
      <c r="AW381" s="114">
        <v>92</v>
      </c>
    </row>
    <row r="382" spans="49:49" ht="15" customHeight="1" x14ac:dyDescent="0.35">
      <c r="AW382" s="114">
        <v>93</v>
      </c>
    </row>
    <row r="383" spans="49:49" ht="15" customHeight="1" x14ac:dyDescent="0.35">
      <c r="AW383" s="114">
        <v>94</v>
      </c>
    </row>
    <row r="384" spans="49:49" ht="15" customHeight="1" x14ac:dyDescent="0.35">
      <c r="AW384" s="114">
        <v>95</v>
      </c>
    </row>
    <row r="385" spans="49:49" ht="15" customHeight="1" x14ac:dyDescent="0.35">
      <c r="AW385" s="114">
        <v>96</v>
      </c>
    </row>
    <row r="386" spans="49:49" ht="15" customHeight="1" x14ac:dyDescent="0.35">
      <c r="AW386" s="114">
        <v>97</v>
      </c>
    </row>
    <row r="387" spans="49:49" ht="15" customHeight="1" x14ac:dyDescent="0.35">
      <c r="AW387" s="114">
        <v>98</v>
      </c>
    </row>
    <row r="388" spans="49:49" ht="15" customHeight="1" x14ac:dyDescent="0.35">
      <c r="AW388" s="114">
        <v>99</v>
      </c>
    </row>
    <row r="389" spans="49:49" ht="15" customHeight="1" x14ac:dyDescent="0.35">
      <c r="AW389" s="114">
        <v>100</v>
      </c>
    </row>
    <row r="390" spans="49:49" ht="15" customHeight="1" x14ac:dyDescent="0.35">
      <c r="AW390" s="114">
        <v>101</v>
      </c>
    </row>
    <row r="391" spans="49:49" ht="15" customHeight="1" x14ac:dyDescent="0.35">
      <c r="AW391" s="114">
        <v>102</v>
      </c>
    </row>
    <row r="392" spans="49:49" ht="15" customHeight="1" x14ac:dyDescent="0.35">
      <c r="AW392" s="114">
        <v>103</v>
      </c>
    </row>
    <row r="393" spans="49:49" ht="15" customHeight="1" x14ac:dyDescent="0.35">
      <c r="AW393" s="114">
        <v>104</v>
      </c>
    </row>
    <row r="394" spans="49:49" ht="15" customHeight="1" x14ac:dyDescent="0.35">
      <c r="AW394" s="114">
        <v>105</v>
      </c>
    </row>
    <row r="395" spans="49:49" ht="15" customHeight="1" x14ac:dyDescent="0.35">
      <c r="AW395" s="114">
        <v>106</v>
      </c>
    </row>
    <row r="396" spans="49:49" ht="15" customHeight="1" x14ac:dyDescent="0.35">
      <c r="AW396" s="114">
        <v>107</v>
      </c>
    </row>
    <row r="397" spans="49:49" ht="15" customHeight="1" x14ac:dyDescent="0.35">
      <c r="AW397" s="114">
        <v>108</v>
      </c>
    </row>
    <row r="398" spans="49:49" ht="15" customHeight="1" x14ac:dyDescent="0.35">
      <c r="AW398" s="114">
        <v>109</v>
      </c>
    </row>
    <row r="399" spans="49:49" ht="15" customHeight="1" x14ac:dyDescent="0.35">
      <c r="AW399" s="114">
        <v>110</v>
      </c>
    </row>
    <row r="400" spans="49:49" ht="15" customHeight="1" x14ac:dyDescent="0.35">
      <c r="AW400" s="114">
        <v>111</v>
      </c>
    </row>
    <row r="401" spans="49:49" ht="15" customHeight="1" x14ac:dyDescent="0.35">
      <c r="AW401" s="114">
        <v>112</v>
      </c>
    </row>
    <row r="402" spans="49:49" ht="15" customHeight="1" x14ac:dyDescent="0.35">
      <c r="AW402" s="114">
        <v>113</v>
      </c>
    </row>
    <row r="403" spans="49:49" ht="15" customHeight="1" x14ac:dyDescent="0.35">
      <c r="AW403" s="114">
        <v>114</v>
      </c>
    </row>
    <row r="404" spans="49:49" ht="15" customHeight="1" x14ac:dyDescent="0.35">
      <c r="AW404" s="114">
        <v>115</v>
      </c>
    </row>
    <row r="405" spans="49:49" ht="15" customHeight="1" x14ac:dyDescent="0.35">
      <c r="AW405" s="114">
        <v>116</v>
      </c>
    </row>
    <row r="406" spans="49:49" ht="15" customHeight="1" x14ac:dyDescent="0.35">
      <c r="AW406" s="114">
        <v>117</v>
      </c>
    </row>
    <row r="407" spans="49:49" ht="15" customHeight="1" x14ac:dyDescent="0.35">
      <c r="AW407" s="114">
        <v>118</v>
      </c>
    </row>
    <row r="408" spans="49:49" ht="15" customHeight="1" x14ac:dyDescent="0.35">
      <c r="AW408" s="114">
        <v>119</v>
      </c>
    </row>
    <row r="409" spans="49:49" ht="15" customHeight="1" x14ac:dyDescent="0.35">
      <c r="AW409" s="114">
        <v>120</v>
      </c>
    </row>
    <row r="410" spans="49:49" ht="15" customHeight="1" x14ac:dyDescent="0.35">
      <c r="AW410" s="114">
        <v>121</v>
      </c>
    </row>
    <row r="411" spans="49:49" ht="15" customHeight="1" x14ac:dyDescent="0.35">
      <c r="AW411" s="114">
        <v>122</v>
      </c>
    </row>
    <row r="412" spans="49:49" ht="15" customHeight="1" x14ac:dyDescent="0.35">
      <c r="AW412" s="114">
        <v>123</v>
      </c>
    </row>
    <row r="413" spans="49:49" ht="15" customHeight="1" x14ac:dyDescent="0.35">
      <c r="AW413" s="114">
        <v>124</v>
      </c>
    </row>
    <row r="414" spans="49:49" ht="15" customHeight="1" x14ac:dyDescent="0.35">
      <c r="AW414" s="114">
        <v>125</v>
      </c>
    </row>
    <row r="415" spans="49:49" ht="15" customHeight="1" x14ac:dyDescent="0.35">
      <c r="AW415" s="114">
        <v>126</v>
      </c>
    </row>
    <row r="416" spans="49:49" ht="15" customHeight="1" x14ac:dyDescent="0.35">
      <c r="AW416" s="114">
        <v>127</v>
      </c>
    </row>
    <row r="417" spans="49:49" ht="15" customHeight="1" x14ac:dyDescent="0.35">
      <c r="AW417" s="114">
        <v>128</v>
      </c>
    </row>
    <row r="418" spans="49:49" ht="15" customHeight="1" x14ac:dyDescent="0.35">
      <c r="AW418" s="114">
        <v>129</v>
      </c>
    </row>
    <row r="419" spans="49:49" ht="15" customHeight="1" x14ac:dyDescent="0.35">
      <c r="AW419" s="114">
        <v>130</v>
      </c>
    </row>
    <row r="420" spans="49:49" ht="15" customHeight="1" x14ac:dyDescent="0.35">
      <c r="AW420" s="114">
        <v>131</v>
      </c>
    </row>
    <row r="421" spans="49:49" ht="15" customHeight="1" x14ac:dyDescent="0.35">
      <c r="AW421" s="114">
        <v>132</v>
      </c>
    </row>
    <row r="422" spans="49:49" ht="15" customHeight="1" x14ac:dyDescent="0.35">
      <c r="AW422" s="114">
        <v>133</v>
      </c>
    </row>
    <row r="423" spans="49:49" ht="15" customHeight="1" x14ac:dyDescent="0.35">
      <c r="AW423" s="114">
        <v>134</v>
      </c>
    </row>
    <row r="424" spans="49:49" ht="15" customHeight="1" x14ac:dyDescent="0.35">
      <c r="AW424" s="114">
        <v>135</v>
      </c>
    </row>
    <row r="425" spans="49:49" ht="15" customHeight="1" x14ac:dyDescent="0.35">
      <c r="AW425" s="114">
        <v>136</v>
      </c>
    </row>
    <row r="426" spans="49:49" ht="15" customHeight="1" x14ac:dyDescent="0.35">
      <c r="AW426" s="114">
        <v>137</v>
      </c>
    </row>
    <row r="427" spans="49:49" ht="15" customHeight="1" x14ac:dyDescent="0.35">
      <c r="AW427" s="114">
        <v>138</v>
      </c>
    </row>
    <row r="428" spans="49:49" ht="15" customHeight="1" x14ac:dyDescent="0.35">
      <c r="AW428" s="114">
        <v>139</v>
      </c>
    </row>
    <row r="429" spans="49:49" ht="15" customHeight="1" x14ac:dyDescent="0.35">
      <c r="AW429" s="114">
        <v>140</v>
      </c>
    </row>
    <row r="430" spans="49:49" ht="15" customHeight="1" x14ac:dyDescent="0.35">
      <c r="AW430" s="114">
        <v>141</v>
      </c>
    </row>
    <row r="431" spans="49:49" ht="15" customHeight="1" x14ac:dyDescent="0.35">
      <c r="AW431" s="114">
        <v>142</v>
      </c>
    </row>
    <row r="432" spans="49:49" ht="15" customHeight="1" x14ac:dyDescent="0.35">
      <c r="AW432" s="114">
        <v>143</v>
      </c>
    </row>
    <row r="433" spans="49:49" ht="15" customHeight="1" x14ac:dyDescent="0.35">
      <c r="AW433" s="114">
        <v>144</v>
      </c>
    </row>
    <row r="434" spans="49:49" ht="15" customHeight="1" x14ac:dyDescent="0.35">
      <c r="AW434" s="114">
        <v>145</v>
      </c>
    </row>
    <row r="435" spans="49:49" ht="15" customHeight="1" x14ac:dyDescent="0.35">
      <c r="AW435" s="114">
        <v>146</v>
      </c>
    </row>
    <row r="436" spans="49:49" ht="15" customHeight="1" x14ac:dyDescent="0.35">
      <c r="AW436" s="114">
        <v>147</v>
      </c>
    </row>
    <row r="437" spans="49:49" ht="15" customHeight="1" x14ac:dyDescent="0.35">
      <c r="AW437" s="114">
        <v>148</v>
      </c>
    </row>
    <row r="438" spans="49:49" ht="15" customHeight="1" x14ac:dyDescent="0.35">
      <c r="AW438" s="114">
        <v>149</v>
      </c>
    </row>
    <row r="439" spans="49:49" ht="15" customHeight="1" x14ac:dyDescent="0.35">
      <c r="AW439" s="114">
        <v>150</v>
      </c>
    </row>
    <row r="440" spans="49:49" ht="15" customHeight="1" x14ac:dyDescent="0.35">
      <c r="AW440" s="114">
        <v>151</v>
      </c>
    </row>
    <row r="441" spans="49:49" ht="15" customHeight="1" x14ac:dyDescent="0.35">
      <c r="AW441" s="114">
        <v>152</v>
      </c>
    </row>
    <row r="442" spans="49:49" ht="15" customHeight="1" x14ac:dyDescent="0.35">
      <c r="AW442" s="114">
        <v>153</v>
      </c>
    </row>
    <row r="443" spans="49:49" ht="15" customHeight="1" x14ac:dyDescent="0.35">
      <c r="AW443" s="114">
        <v>154</v>
      </c>
    </row>
    <row r="444" spans="49:49" ht="15" customHeight="1" x14ac:dyDescent="0.35">
      <c r="AW444" s="114">
        <v>155</v>
      </c>
    </row>
    <row r="445" spans="49:49" ht="15" customHeight="1" x14ac:dyDescent="0.35">
      <c r="AW445" s="114">
        <v>156</v>
      </c>
    </row>
    <row r="446" spans="49:49" ht="15" customHeight="1" x14ac:dyDescent="0.35">
      <c r="AW446" s="114">
        <v>157</v>
      </c>
    </row>
    <row r="447" spans="49:49" ht="15" customHeight="1" x14ac:dyDescent="0.35">
      <c r="AW447" s="114">
        <v>158</v>
      </c>
    </row>
    <row r="448" spans="49:49" ht="15" customHeight="1" x14ac:dyDescent="0.35">
      <c r="AW448" s="114">
        <v>159</v>
      </c>
    </row>
    <row r="449" spans="49:49" ht="15" customHeight="1" x14ac:dyDescent="0.35">
      <c r="AW449" s="114">
        <v>160</v>
      </c>
    </row>
    <row r="450" spans="49:49" ht="15" customHeight="1" x14ac:dyDescent="0.35">
      <c r="AW450" s="114">
        <v>161</v>
      </c>
    </row>
    <row r="451" spans="49:49" ht="15" customHeight="1" x14ac:dyDescent="0.35">
      <c r="AW451" s="114">
        <v>162</v>
      </c>
    </row>
    <row r="452" spans="49:49" ht="15" customHeight="1" x14ac:dyDescent="0.35">
      <c r="AW452" s="114">
        <v>163</v>
      </c>
    </row>
    <row r="453" spans="49:49" ht="15" customHeight="1" x14ac:dyDescent="0.35">
      <c r="AW453" s="114">
        <v>164</v>
      </c>
    </row>
    <row r="454" spans="49:49" ht="15" customHeight="1" x14ac:dyDescent="0.35">
      <c r="AW454" s="114">
        <v>165</v>
      </c>
    </row>
    <row r="455" spans="49:49" ht="15" customHeight="1" x14ac:dyDescent="0.35">
      <c r="AW455" s="114">
        <v>166</v>
      </c>
    </row>
    <row r="456" spans="49:49" ht="15" customHeight="1" x14ac:dyDescent="0.35">
      <c r="AW456" s="114">
        <v>167</v>
      </c>
    </row>
    <row r="457" spans="49:49" ht="15" customHeight="1" x14ac:dyDescent="0.35">
      <c r="AW457" s="114">
        <v>168</v>
      </c>
    </row>
    <row r="458" spans="49:49" ht="15" customHeight="1" x14ac:dyDescent="0.35">
      <c r="AW458" s="114">
        <v>169</v>
      </c>
    </row>
    <row r="459" spans="49:49" ht="15" customHeight="1" x14ac:dyDescent="0.35">
      <c r="AW459" s="114">
        <v>170</v>
      </c>
    </row>
    <row r="460" spans="49:49" ht="15" customHeight="1" x14ac:dyDescent="0.35">
      <c r="AW460" s="114">
        <v>171</v>
      </c>
    </row>
    <row r="461" spans="49:49" ht="15" customHeight="1" x14ac:dyDescent="0.35">
      <c r="AW461" s="114">
        <v>172</v>
      </c>
    </row>
    <row r="462" spans="49:49" ht="15" customHeight="1" x14ac:dyDescent="0.35">
      <c r="AW462" s="114">
        <v>173</v>
      </c>
    </row>
    <row r="463" spans="49:49" ht="15" customHeight="1" x14ac:dyDescent="0.35">
      <c r="AW463" s="114">
        <v>174</v>
      </c>
    </row>
    <row r="464" spans="49:49" ht="15" customHeight="1" x14ac:dyDescent="0.35">
      <c r="AW464" s="114">
        <v>175</v>
      </c>
    </row>
    <row r="465" spans="49:49" ht="15" customHeight="1" x14ac:dyDescent="0.35">
      <c r="AW465" s="114">
        <v>176</v>
      </c>
    </row>
    <row r="466" spans="49:49" ht="15" customHeight="1" x14ac:dyDescent="0.35">
      <c r="AW466" s="114">
        <v>177</v>
      </c>
    </row>
    <row r="467" spans="49:49" ht="15" customHeight="1" x14ac:dyDescent="0.35">
      <c r="AW467" s="114">
        <v>178</v>
      </c>
    </row>
    <row r="468" spans="49:49" ht="15" customHeight="1" x14ac:dyDescent="0.35">
      <c r="AW468" s="114">
        <v>179</v>
      </c>
    </row>
    <row r="469" spans="49:49" ht="15" customHeight="1" x14ac:dyDescent="0.35">
      <c r="AW469" s="114">
        <v>180</v>
      </c>
    </row>
    <row r="470" spans="49:49" ht="15" customHeight="1" x14ac:dyDescent="0.35">
      <c r="AW470" s="114">
        <v>181</v>
      </c>
    </row>
    <row r="471" spans="49:49" ht="15" customHeight="1" x14ac:dyDescent="0.35">
      <c r="AW471" s="114">
        <v>182</v>
      </c>
    </row>
    <row r="472" spans="49:49" ht="15" customHeight="1" x14ac:dyDescent="0.35">
      <c r="AW472" s="114">
        <v>183</v>
      </c>
    </row>
    <row r="473" spans="49:49" ht="15" customHeight="1" x14ac:dyDescent="0.35">
      <c r="AW473" s="114">
        <v>184</v>
      </c>
    </row>
    <row r="474" spans="49:49" ht="15" customHeight="1" x14ac:dyDescent="0.35">
      <c r="AW474" s="114">
        <v>185</v>
      </c>
    </row>
    <row r="475" spans="49:49" ht="15" customHeight="1" x14ac:dyDescent="0.35">
      <c r="AW475" s="114">
        <v>186</v>
      </c>
    </row>
    <row r="476" spans="49:49" ht="15" customHeight="1" x14ac:dyDescent="0.35">
      <c r="AW476" s="114">
        <v>187</v>
      </c>
    </row>
    <row r="477" spans="49:49" ht="15" customHeight="1" x14ac:dyDescent="0.35">
      <c r="AW477" s="114">
        <v>188</v>
      </c>
    </row>
    <row r="478" spans="49:49" ht="15" customHeight="1" x14ac:dyDescent="0.35">
      <c r="AW478" s="114">
        <v>189</v>
      </c>
    </row>
    <row r="479" spans="49:49" ht="15" customHeight="1" x14ac:dyDescent="0.35">
      <c r="AW479" s="114">
        <v>190</v>
      </c>
    </row>
    <row r="480" spans="49:49" ht="15" customHeight="1" x14ac:dyDescent="0.35">
      <c r="AW480" s="114">
        <v>191</v>
      </c>
    </row>
    <row r="481" spans="49:49" ht="15" customHeight="1" x14ac:dyDescent="0.35">
      <c r="AW481" s="114">
        <v>192</v>
      </c>
    </row>
    <row r="482" spans="49:49" ht="15" customHeight="1" x14ac:dyDescent="0.35">
      <c r="AW482" s="114">
        <v>193</v>
      </c>
    </row>
    <row r="483" spans="49:49" ht="15" customHeight="1" x14ac:dyDescent="0.35">
      <c r="AW483" s="114">
        <v>194</v>
      </c>
    </row>
    <row r="484" spans="49:49" ht="15" customHeight="1" x14ac:dyDescent="0.35">
      <c r="AW484" s="114">
        <v>195</v>
      </c>
    </row>
    <row r="485" spans="49:49" ht="15" customHeight="1" x14ac:dyDescent="0.35">
      <c r="AW485" s="114">
        <v>196</v>
      </c>
    </row>
    <row r="486" spans="49:49" ht="15" customHeight="1" x14ac:dyDescent="0.35">
      <c r="AW486" s="114">
        <v>197</v>
      </c>
    </row>
    <row r="487" spans="49:49" ht="15" customHeight="1" x14ac:dyDescent="0.35">
      <c r="AW487" s="114">
        <v>198</v>
      </c>
    </row>
    <row r="488" spans="49:49" ht="15" customHeight="1" x14ac:dyDescent="0.35">
      <c r="AW488" s="114">
        <v>199</v>
      </c>
    </row>
    <row r="489" spans="49:49" ht="15" customHeight="1" x14ac:dyDescent="0.35">
      <c r="AW489" s="114">
        <v>200</v>
      </c>
    </row>
    <row r="490" spans="49:49" ht="15" customHeight="1" x14ac:dyDescent="0.35">
      <c r="AW490" s="114">
        <v>201</v>
      </c>
    </row>
    <row r="491" spans="49:49" ht="15" customHeight="1" x14ac:dyDescent="0.35">
      <c r="AW491" s="114">
        <v>202</v>
      </c>
    </row>
    <row r="492" spans="49:49" ht="15" customHeight="1" x14ac:dyDescent="0.35">
      <c r="AW492" s="114">
        <v>203</v>
      </c>
    </row>
    <row r="493" spans="49:49" ht="15" customHeight="1" x14ac:dyDescent="0.35">
      <c r="AW493" s="114">
        <v>204</v>
      </c>
    </row>
    <row r="494" spans="49:49" ht="15" customHeight="1" x14ac:dyDescent="0.35">
      <c r="AW494" s="114">
        <v>205</v>
      </c>
    </row>
    <row r="495" spans="49:49" ht="15" customHeight="1" x14ac:dyDescent="0.35">
      <c r="AW495" s="114">
        <v>206</v>
      </c>
    </row>
    <row r="496" spans="49:49" ht="15" customHeight="1" x14ac:dyDescent="0.35">
      <c r="AW496" s="114">
        <v>207</v>
      </c>
    </row>
    <row r="497" spans="49:49" ht="15" customHeight="1" x14ac:dyDescent="0.35">
      <c r="AW497" s="114">
        <v>208</v>
      </c>
    </row>
    <row r="498" spans="49:49" ht="15" customHeight="1" x14ac:dyDescent="0.35">
      <c r="AW498" s="114">
        <v>209</v>
      </c>
    </row>
    <row r="499" spans="49:49" ht="15" customHeight="1" x14ac:dyDescent="0.35">
      <c r="AW499" s="114">
        <v>210</v>
      </c>
    </row>
    <row r="500" spans="49:49" ht="15" customHeight="1" x14ac:dyDescent="0.35">
      <c r="AW500" s="114">
        <v>211</v>
      </c>
    </row>
    <row r="501" spans="49:49" ht="15" customHeight="1" x14ac:dyDescent="0.35">
      <c r="AW501" s="114">
        <v>212</v>
      </c>
    </row>
    <row r="502" spans="49:49" ht="15" customHeight="1" x14ac:dyDescent="0.35">
      <c r="AW502" s="114">
        <v>213</v>
      </c>
    </row>
    <row r="503" spans="49:49" ht="15" customHeight="1" x14ac:dyDescent="0.35">
      <c r="AW503" s="114">
        <v>214</v>
      </c>
    </row>
    <row r="504" spans="49:49" ht="15" customHeight="1" x14ac:dyDescent="0.35">
      <c r="AW504" s="114">
        <v>215</v>
      </c>
    </row>
    <row r="505" spans="49:49" ht="15" customHeight="1" x14ac:dyDescent="0.35">
      <c r="AW505" s="114">
        <v>216</v>
      </c>
    </row>
    <row r="506" spans="49:49" ht="15" customHeight="1" x14ac:dyDescent="0.35">
      <c r="AW506" s="114">
        <v>217</v>
      </c>
    </row>
    <row r="507" spans="49:49" ht="15" customHeight="1" x14ac:dyDescent="0.35">
      <c r="AW507" s="114">
        <v>218</v>
      </c>
    </row>
    <row r="508" spans="49:49" ht="15" customHeight="1" x14ac:dyDescent="0.35">
      <c r="AW508" s="114">
        <v>219</v>
      </c>
    </row>
    <row r="509" spans="49:49" ht="15" customHeight="1" x14ac:dyDescent="0.35">
      <c r="AW509" s="114">
        <v>220</v>
      </c>
    </row>
    <row r="510" spans="49:49" ht="15" customHeight="1" x14ac:dyDescent="0.35">
      <c r="AW510" s="114">
        <v>221</v>
      </c>
    </row>
    <row r="511" spans="49:49" ht="15" customHeight="1" x14ac:dyDescent="0.35">
      <c r="AW511" s="114">
        <v>222</v>
      </c>
    </row>
    <row r="512" spans="49:49" ht="15" customHeight="1" x14ac:dyDescent="0.35">
      <c r="AW512" s="114">
        <v>223</v>
      </c>
    </row>
    <row r="513" spans="49:49" ht="15" customHeight="1" x14ac:dyDescent="0.35">
      <c r="AW513" s="114">
        <v>224</v>
      </c>
    </row>
    <row r="514" spans="49:49" ht="15" customHeight="1" x14ac:dyDescent="0.35">
      <c r="AW514" s="114">
        <v>225</v>
      </c>
    </row>
    <row r="515" spans="49:49" ht="15" customHeight="1" x14ac:dyDescent="0.35">
      <c r="AW515" s="114">
        <v>226</v>
      </c>
    </row>
    <row r="516" spans="49:49" ht="15" customHeight="1" x14ac:dyDescent="0.35">
      <c r="AW516" s="114">
        <v>227</v>
      </c>
    </row>
    <row r="517" spans="49:49" ht="15" customHeight="1" x14ac:dyDescent="0.35">
      <c r="AW517" s="114">
        <v>228</v>
      </c>
    </row>
    <row r="518" spans="49:49" ht="15" customHeight="1" x14ac:dyDescent="0.35">
      <c r="AW518" s="114">
        <v>229</v>
      </c>
    </row>
    <row r="519" spans="49:49" ht="15" customHeight="1" x14ac:dyDescent="0.35">
      <c r="AW519" s="114">
        <v>230</v>
      </c>
    </row>
    <row r="520" spans="49:49" ht="15" customHeight="1" x14ac:dyDescent="0.35">
      <c r="AW520" s="114">
        <v>231</v>
      </c>
    </row>
    <row r="521" spans="49:49" ht="15" customHeight="1" x14ac:dyDescent="0.35">
      <c r="AW521" s="114">
        <v>232</v>
      </c>
    </row>
    <row r="522" spans="49:49" ht="15" customHeight="1" x14ac:dyDescent="0.35">
      <c r="AW522" s="114">
        <v>233</v>
      </c>
    </row>
    <row r="523" spans="49:49" ht="15" customHeight="1" x14ac:dyDescent="0.35">
      <c r="AW523" s="114">
        <v>234</v>
      </c>
    </row>
    <row r="524" spans="49:49" ht="15" customHeight="1" x14ac:dyDescent="0.35">
      <c r="AW524" s="114">
        <v>235</v>
      </c>
    </row>
    <row r="525" spans="49:49" ht="15" customHeight="1" x14ac:dyDescent="0.35">
      <c r="AW525" s="114">
        <v>236</v>
      </c>
    </row>
    <row r="526" spans="49:49" ht="15" customHeight="1" x14ac:dyDescent="0.35">
      <c r="AW526" s="114">
        <v>237</v>
      </c>
    </row>
    <row r="527" spans="49:49" ht="15" customHeight="1" x14ac:dyDescent="0.35">
      <c r="AW527" s="114">
        <v>238</v>
      </c>
    </row>
    <row r="528" spans="49:49" ht="15" customHeight="1" x14ac:dyDescent="0.35">
      <c r="AW528" s="114">
        <v>239</v>
      </c>
    </row>
    <row r="529" spans="49:49" ht="15" customHeight="1" x14ac:dyDescent="0.35">
      <c r="AW529" s="114">
        <v>240</v>
      </c>
    </row>
    <row r="530" spans="49:49" ht="15" customHeight="1" x14ac:dyDescent="0.35">
      <c r="AW530" s="114">
        <v>241</v>
      </c>
    </row>
    <row r="531" spans="49:49" ht="15" customHeight="1" x14ac:dyDescent="0.35">
      <c r="AW531" s="114">
        <v>242</v>
      </c>
    </row>
    <row r="532" spans="49:49" ht="15" customHeight="1" x14ac:dyDescent="0.35">
      <c r="AW532" s="114">
        <v>243</v>
      </c>
    </row>
    <row r="533" spans="49:49" ht="15" customHeight="1" x14ac:dyDescent="0.35">
      <c r="AW533" s="114">
        <v>244</v>
      </c>
    </row>
    <row r="534" spans="49:49" ht="15" customHeight="1" x14ac:dyDescent="0.35">
      <c r="AW534" s="114">
        <v>245</v>
      </c>
    </row>
    <row r="535" spans="49:49" ht="15" customHeight="1" x14ac:dyDescent="0.35">
      <c r="AW535" s="114">
        <v>246</v>
      </c>
    </row>
    <row r="536" spans="49:49" ht="15" customHeight="1" x14ac:dyDescent="0.35">
      <c r="AW536" s="114">
        <v>247</v>
      </c>
    </row>
    <row r="537" spans="49:49" ht="15" customHeight="1" x14ac:dyDescent="0.35">
      <c r="AW537" s="114">
        <v>248</v>
      </c>
    </row>
    <row r="538" spans="49:49" ht="15" customHeight="1" x14ac:dyDescent="0.35">
      <c r="AW538" s="114">
        <v>249</v>
      </c>
    </row>
    <row r="539" spans="49:49" ht="15" customHeight="1" x14ac:dyDescent="0.35">
      <c r="AW539" s="114">
        <v>250</v>
      </c>
    </row>
    <row r="540" spans="49:49" ht="15" customHeight="1" x14ac:dyDescent="0.35">
      <c r="AW540" s="114">
        <v>251</v>
      </c>
    </row>
    <row r="541" spans="49:49" ht="15" customHeight="1" x14ac:dyDescent="0.35">
      <c r="AW541" s="114">
        <v>252</v>
      </c>
    </row>
    <row r="542" spans="49:49" ht="15" customHeight="1" x14ac:dyDescent="0.35">
      <c r="AW542" s="114">
        <v>253</v>
      </c>
    </row>
    <row r="543" spans="49:49" ht="15" customHeight="1" x14ac:dyDescent="0.35">
      <c r="AW543" s="114">
        <v>254</v>
      </c>
    </row>
    <row r="544" spans="49:49" ht="15" customHeight="1" x14ac:dyDescent="0.35">
      <c r="AW544" s="114">
        <v>255</v>
      </c>
    </row>
    <row r="545" spans="49:49" ht="15" customHeight="1" x14ac:dyDescent="0.35">
      <c r="AW545" s="114">
        <v>256</v>
      </c>
    </row>
    <row r="546" spans="49:49" ht="15" customHeight="1" x14ac:dyDescent="0.35">
      <c r="AW546" s="114">
        <v>257</v>
      </c>
    </row>
    <row r="547" spans="49:49" ht="15" customHeight="1" x14ac:dyDescent="0.35">
      <c r="AW547" s="114">
        <v>258</v>
      </c>
    </row>
    <row r="548" spans="49:49" ht="15" customHeight="1" x14ac:dyDescent="0.35">
      <c r="AW548" s="114">
        <v>259</v>
      </c>
    </row>
    <row r="549" spans="49:49" ht="15" customHeight="1" x14ac:dyDescent="0.35">
      <c r="AW549" s="114">
        <v>260</v>
      </c>
    </row>
    <row r="550" spans="49:49" ht="15" customHeight="1" x14ac:dyDescent="0.35">
      <c r="AW550" s="114">
        <v>261</v>
      </c>
    </row>
    <row r="551" spans="49:49" ht="15" customHeight="1" x14ac:dyDescent="0.35">
      <c r="AW551" s="114">
        <v>262</v>
      </c>
    </row>
    <row r="552" spans="49:49" ht="15" customHeight="1" x14ac:dyDescent="0.35">
      <c r="AW552" s="114">
        <v>263</v>
      </c>
    </row>
    <row r="553" spans="49:49" ht="15" customHeight="1" x14ac:dyDescent="0.35">
      <c r="AW553" s="114">
        <v>264</v>
      </c>
    </row>
    <row r="554" spans="49:49" ht="15" customHeight="1" x14ac:dyDescent="0.35">
      <c r="AW554" s="114">
        <v>265</v>
      </c>
    </row>
    <row r="555" spans="49:49" ht="15" customHeight="1" x14ac:dyDescent="0.35">
      <c r="AW555" s="114">
        <v>266</v>
      </c>
    </row>
    <row r="556" spans="49:49" ht="15" customHeight="1" x14ac:dyDescent="0.35">
      <c r="AW556" s="114">
        <v>267</v>
      </c>
    </row>
    <row r="557" spans="49:49" ht="15" customHeight="1" x14ac:dyDescent="0.35">
      <c r="AW557" s="114">
        <v>268</v>
      </c>
    </row>
    <row r="558" spans="49:49" ht="15" customHeight="1" x14ac:dyDescent="0.35">
      <c r="AW558" s="114">
        <v>269</v>
      </c>
    </row>
    <row r="559" spans="49:49" ht="15" customHeight="1" x14ac:dyDescent="0.35">
      <c r="AW559" s="114">
        <v>270</v>
      </c>
    </row>
    <row r="560" spans="49:49" ht="15" customHeight="1" x14ac:dyDescent="0.35">
      <c r="AW560" s="114">
        <v>271</v>
      </c>
    </row>
    <row r="561" spans="49:49" ht="15" customHeight="1" x14ac:dyDescent="0.35">
      <c r="AW561" s="114">
        <v>272</v>
      </c>
    </row>
    <row r="562" spans="49:49" ht="15" customHeight="1" x14ac:dyDescent="0.35">
      <c r="AW562" s="114">
        <v>273</v>
      </c>
    </row>
    <row r="563" spans="49:49" ht="15" customHeight="1" x14ac:dyDescent="0.35">
      <c r="AW563" s="114">
        <v>274</v>
      </c>
    </row>
    <row r="564" spans="49:49" ht="15" customHeight="1" x14ac:dyDescent="0.35">
      <c r="AW564" s="114">
        <v>275</v>
      </c>
    </row>
    <row r="565" spans="49:49" ht="15" customHeight="1" x14ac:dyDescent="0.35">
      <c r="AW565" s="114">
        <v>276</v>
      </c>
    </row>
    <row r="566" spans="49:49" ht="15" customHeight="1" x14ac:dyDescent="0.35">
      <c r="AW566" s="114">
        <v>277</v>
      </c>
    </row>
    <row r="567" spans="49:49" ht="15" customHeight="1" x14ac:dyDescent="0.35">
      <c r="AW567" s="114">
        <v>278</v>
      </c>
    </row>
    <row r="568" spans="49:49" ht="15" customHeight="1" x14ac:dyDescent="0.35">
      <c r="AW568" s="114">
        <v>279</v>
      </c>
    </row>
    <row r="569" spans="49:49" ht="15" customHeight="1" x14ac:dyDescent="0.35">
      <c r="AW569" s="114">
        <v>280</v>
      </c>
    </row>
    <row r="570" spans="49:49" ht="15" customHeight="1" x14ac:dyDescent="0.35">
      <c r="AW570" s="114">
        <v>281</v>
      </c>
    </row>
    <row r="571" spans="49:49" ht="15" customHeight="1" x14ac:dyDescent="0.35">
      <c r="AW571" s="114">
        <v>282</v>
      </c>
    </row>
    <row r="572" spans="49:49" ht="15" customHeight="1" x14ac:dyDescent="0.35">
      <c r="AW572" s="114">
        <v>283</v>
      </c>
    </row>
    <row r="573" spans="49:49" ht="15" customHeight="1" x14ac:dyDescent="0.35">
      <c r="AW573" s="114">
        <v>284</v>
      </c>
    </row>
    <row r="574" spans="49:49" ht="15" customHeight="1" x14ac:dyDescent="0.35">
      <c r="AW574" s="114">
        <v>285</v>
      </c>
    </row>
    <row r="575" spans="49:49" ht="15" customHeight="1" x14ac:dyDescent="0.35">
      <c r="AW575" s="114">
        <v>286</v>
      </c>
    </row>
    <row r="576" spans="49:49" ht="15" customHeight="1" x14ac:dyDescent="0.35">
      <c r="AW576" s="114">
        <v>287</v>
      </c>
    </row>
    <row r="577" spans="49:49" ht="15" customHeight="1" x14ac:dyDescent="0.35">
      <c r="AW577" s="114">
        <v>288</v>
      </c>
    </row>
    <row r="578" spans="49:49" ht="15" customHeight="1" x14ac:dyDescent="0.35">
      <c r="AW578" s="114">
        <v>289</v>
      </c>
    </row>
    <row r="579" spans="49:49" ht="15" customHeight="1" x14ac:dyDescent="0.35">
      <c r="AW579" s="114">
        <v>290</v>
      </c>
    </row>
    <row r="580" spans="49:49" ht="15" customHeight="1" x14ac:dyDescent="0.35">
      <c r="AW580" s="114">
        <v>291</v>
      </c>
    </row>
    <row r="581" spans="49:49" ht="15" customHeight="1" x14ac:dyDescent="0.35">
      <c r="AW581" s="114">
        <v>292</v>
      </c>
    </row>
    <row r="582" spans="49:49" ht="15" customHeight="1" x14ac:dyDescent="0.35">
      <c r="AW582" s="114">
        <v>293</v>
      </c>
    </row>
    <row r="583" spans="49:49" ht="15" customHeight="1" x14ac:dyDescent="0.35">
      <c r="AW583" s="114">
        <v>294</v>
      </c>
    </row>
    <row r="584" spans="49:49" ht="15" customHeight="1" x14ac:dyDescent="0.35">
      <c r="AW584" s="114">
        <v>295</v>
      </c>
    </row>
    <row r="585" spans="49:49" ht="15" customHeight="1" x14ac:dyDescent="0.35">
      <c r="AW585" s="114">
        <v>296</v>
      </c>
    </row>
    <row r="586" spans="49:49" ht="15" customHeight="1" x14ac:dyDescent="0.35">
      <c r="AW586" s="114">
        <v>297</v>
      </c>
    </row>
    <row r="587" spans="49:49" ht="15" customHeight="1" x14ac:dyDescent="0.35">
      <c r="AW587" s="114">
        <v>298</v>
      </c>
    </row>
    <row r="588" spans="49:49" ht="15" customHeight="1" x14ac:dyDescent="0.35">
      <c r="AW588" s="114">
        <v>299</v>
      </c>
    </row>
    <row r="589" spans="49:49" ht="15" customHeight="1" x14ac:dyDescent="0.35">
      <c r="AW589" s="114">
        <v>300</v>
      </c>
    </row>
    <row r="590" spans="49:49" ht="15" customHeight="1" x14ac:dyDescent="0.35">
      <c r="AW590" s="114">
        <v>301</v>
      </c>
    </row>
    <row r="591" spans="49:49" ht="15" customHeight="1" x14ac:dyDescent="0.35">
      <c r="AW591" s="114">
        <v>302</v>
      </c>
    </row>
    <row r="592" spans="49:49" ht="15" customHeight="1" x14ac:dyDescent="0.35">
      <c r="AW592" s="114">
        <v>303</v>
      </c>
    </row>
    <row r="593" spans="49:49" ht="15" customHeight="1" x14ac:dyDescent="0.35">
      <c r="AW593" s="114">
        <v>304</v>
      </c>
    </row>
    <row r="594" spans="49:49" ht="15" customHeight="1" x14ac:dyDescent="0.35">
      <c r="AW594" s="114">
        <v>305</v>
      </c>
    </row>
    <row r="595" spans="49:49" ht="15" customHeight="1" x14ac:dyDescent="0.35">
      <c r="AW595" s="114">
        <v>306</v>
      </c>
    </row>
    <row r="596" spans="49:49" ht="15" customHeight="1" x14ac:dyDescent="0.35">
      <c r="AW596" s="114">
        <v>307</v>
      </c>
    </row>
    <row r="597" spans="49:49" ht="15" customHeight="1" x14ac:dyDescent="0.35">
      <c r="AW597" s="114">
        <v>308</v>
      </c>
    </row>
    <row r="598" spans="49:49" ht="15" customHeight="1" x14ac:dyDescent="0.35">
      <c r="AW598" s="114">
        <v>309</v>
      </c>
    </row>
    <row r="599" spans="49:49" ht="15" customHeight="1" x14ac:dyDescent="0.35">
      <c r="AW599" s="114">
        <v>310</v>
      </c>
    </row>
    <row r="600" spans="49:49" ht="15" customHeight="1" x14ac:dyDescent="0.35">
      <c r="AW600" s="114">
        <v>311</v>
      </c>
    </row>
    <row r="601" spans="49:49" ht="15" customHeight="1" x14ac:dyDescent="0.35">
      <c r="AW601" s="114">
        <v>312</v>
      </c>
    </row>
    <row r="602" spans="49:49" ht="15" customHeight="1" x14ac:dyDescent="0.35">
      <c r="AW602" s="114">
        <v>313</v>
      </c>
    </row>
    <row r="603" spans="49:49" ht="15" customHeight="1" x14ac:dyDescent="0.35">
      <c r="AW603" s="114">
        <v>314</v>
      </c>
    </row>
    <row r="604" spans="49:49" ht="15" customHeight="1" x14ac:dyDescent="0.35">
      <c r="AW604" s="114">
        <v>315</v>
      </c>
    </row>
    <row r="605" spans="49:49" ht="15" customHeight="1" x14ac:dyDescent="0.35">
      <c r="AW605" s="114">
        <v>316</v>
      </c>
    </row>
    <row r="606" spans="49:49" ht="15" customHeight="1" x14ac:dyDescent="0.35">
      <c r="AW606" s="114">
        <v>317</v>
      </c>
    </row>
    <row r="607" spans="49:49" ht="15" customHeight="1" x14ac:dyDescent="0.35">
      <c r="AW607" s="114">
        <v>318</v>
      </c>
    </row>
    <row r="608" spans="49:49" ht="15" customHeight="1" x14ac:dyDescent="0.35">
      <c r="AW608" s="114">
        <v>319</v>
      </c>
    </row>
    <row r="609" spans="49:49" ht="15" customHeight="1" x14ac:dyDescent="0.35">
      <c r="AW609" s="114">
        <v>320</v>
      </c>
    </row>
    <row r="610" spans="49:49" ht="15" customHeight="1" x14ac:dyDescent="0.35">
      <c r="AW610" s="114">
        <v>321</v>
      </c>
    </row>
    <row r="611" spans="49:49" ht="15" customHeight="1" x14ac:dyDescent="0.35">
      <c r="AW611" s="114">
        <v>322</v>
      </c>
    </row>
    <row r="612" spans="49:49" ht="15" customHeight="1" x14ac:dyDescent="0.35">
      <c r="AW612" s="114">
        <v>323</v>
      </c>
    </row>
    <row r="613" spans="49:49" ht="15" customHeight="1" x14ac:dyDescent="0.35">
      <c r="AW613" s="114">
        <v>324</v>
      </c>
    </row>
    <row r="614" spans="49:49" ht="15" customHeight="1" x14ac:dyDescent="0.35">
      <c r="AW614" s="114">
        <v>325</v>
      </c>
    </row>
    <row r="615" spans="49:49" ht="15" customHeight="1" x14ac:dyDescent="0.35">
      <c r="AW615" s="114">
        <v>326</v>
      </c>
    </row>
    <row r="616" spans="49:49" ht="15" customHeight="1" x14ac:dyDescent="0.35">
      <c r="AW616" s="114">
        <v>327</v>
      </c>
    </row>
    <row r="617" spans="49:49" ht="15" customHeight="1" x14ac:dyDescent="0.35">
      <c r="AW617" s="114">
        <v>328</v>
      </c>
    </row>
    <row r="618" spans="49:49" ht="15" customHeight="1" x14ac:dyDescent="0.35">
      <c r="AW618" s="114">
        <v>329</v>
      </c>
    </row>
    <row r="619" spans="49:49" ht="15" customHeight="1" x14ac:dyDescent="0.35">
      <c r="AW619" s="114">
        <v>330</v>
      </c>
    </row>
    <row r="620" spans="49:49" ht="15" customHeight="1" x14ac:dyDescent="0.35">
      <c r="AW620" s="114">
        <v>331</v>
      </c>
    </row>
    <row r="621" spans="49:49" ht="15" customHeight="1" x14ac:dyDescent="0.35">
      <c r="AW621" s="114">
        <v>332</v>
      </c>
    </row>
    <row r="622" spans="49:49" ht="15" customHeight="1" x14ac:dyDescent="0.35">
      <c r="AW622" s="114">
        <v>333</v>
      </c>
    </row>
    <row r="623" spans="49:49" ht="15" customHeight="1" x14ac:dyDescent="0.35">
      <c r="AW623" s="114">
        <v>334</v>
      </c>
    </row>
    <row r="624" spans="49:49" ht="15" customHeight="1" x14ac:dyDescent="0.35">
      <c r="AW624" s="114">
        <v>335</v>
      </c>
    </row>
    <row r="625" spans="49:49" ht="15" customHeight="1" x14ac:dyDescent="0.35">
      <c r="AW625" s="114">
        <v>336</v>
      </c>
    </row>
    <row r="626" spans="49:49" ht="15" customHeight="1" x14ac:dyDescent="0.35">
      <c r="AW626" s="114">
        <v>337</v>
      </c>
    </row>
    <row r="627" spans="49:49" ht="15" customHeight="1" x14ac:dyDescent="0.35">
      <c r="AW627" s="114">
        <v>338</v>
      </c>
    </row>
    <row r="628" spans="49:49" ht="15" customHeight="1" x14ac:dyDescent="0.35">
      <c r="AW628" s="114">
        <v>339</v>
      </c>
    </row>
    <row r="629" spans="49:49" ht="15" customHeight="1" x14ac:dyDescent="0.35">
      <c r="AW629" s="114">
        <v>340</v>
      </c>
    </row>
    <row r="630" spans="49:49" ht="15" customHeight="1" x14ac:dyDescent="0.35">
      <c r="AW630" s="114">
        <v>341</v>
      </c>
    </row>
    <row r="631" spans="49:49" ht="15" customHeight="1" x14ac:dyDescent="0.35">
      <c r="AW631" s="114">
        <v>342</v>
      </c>
    </row>
    <row r="632" spans="49:49" ht="15" customHeight="1" x14ac:dyDescent="0.35">
      <c r="AW632" s="114">
        <v>343</v>
      </c>
    </row>
    <row r="633" spans="49:49" ht="15" customHeight="1" x14ac:dyDescent="0.35">
      <c r="AW633" s="114">
        <v>344</v>
      </c>
    </row>
    <row r="634" spans="49:49" ht="15" customHeight="1" x14ac:dyDescent="0.35">
      <c r="AW634" s="114">
        <v>345</v>
      </c>
    </row>
    <row r="635" spans="49:49" ht="15" customHeight="1" x14ac:dyDescent="0.35">
      <c r="AW635" s="114">
        <v>346</v>
      </c>
    </row>
    <row r="636" spans="49:49" ht="15" customHeight="1" x14ac:dyDescent="0.35">
      <c r="AW636" s="114">
        <v>347</v>
      </c>
    </row>
    <row r="637" spans="49:49" ht="15" customHeight="1" x14ac:dyDescent="0.35">
      <c r="AW637" s="114">
        <v>348</v>
      </c>
    </row>
    <row r="638" spans="49:49" ht="15" customHeight="1" x14ac:dyDescent="0.35">
      <c r="AW638" s="114">
        <v>349</v>
      </c>
    </row>
    <row r="639" spans="49:49" ht="15" customHeight="1" x14ac:dyDescent="0.35">
      <c r="AW639" s="114">
        <v>350</v>
      </c>
    </row>
    <row r="640" spans="49:49" ht="15" customHeight="1" x14ac:dyDescent="0.35">
      <c r="AW640" s="114">
        <v>351</v>
      </c>
    </row>
    <row r="641" spans="49:49" ht="15" customHeight="1" x14ac:dyDescent="0.35">
      <c r="AW641" s="114">
        <v>352</v>
      </c>
    </row>
    <row r="642" spans="49:49" ht="15" customHeight="1" x14ac:dyDescent="0.35">
      <c r="AW642" s="114">
        <v>353</v>
      </c>
    </row>
    <row r="643" spans="49:49" ht="15" customHeight="1" x14ac:dyDescent="0.35">
      <c r="AW643" s="114">
        <v>354</v>
      </c>
    </row>
    <row r="644" spans="49:49" ht="15" customHeight="1" x14ac:dyDescent="0.35">
      <c r="AW644" s="114">
        <v>355</v>
      </c>
    </row>
    <row r="645" spans="49:49" ht="15" customHeight="1" x14ac:dyDescent="0.35">
      <c r="AW645" s="114">
        <v>356</v>
      </c>
    </row>
    <row r="646" spans="49:49" ht="15" customHeight="1" x14ac:dyDescent="0.35">
      <c r="AW646" s="114">
        <v>357</v>
      </c>
    </row>
    <row r="647" spans="49:49" ht="15" customHeight="1" x14ac:dyDescent="0.35">
      <c r="AW647" s="114">
        <v>358</v>
      </c>
    </row>
    <row r="648" spans="49:49" ht="15" customHeight="1" x14ac:dyDescent="0.35">
      <c r="AW648" s="114">
        <v>359</v>
      </c>
    </row>
    <row r="649" spans="49:49" ht="15" customHeight="1" x14ac:dyDescent="0.35">
      <c r="AW649" s="114">
        <v>360</v>
      </c>
    </row>
    <row r="650" spans="49:49" ht="15" customHeight="1" x14ac:dyDescent="0.35">
      <c r="AW650" s="114">
        <v>361</v>
      </c>
    </row>
    <row r="651" spans="49:49" ht="15" customHeight="1" x14ac:dyDescent="0.35">
      <c r="AW651" s="114">
        <v>362</v>
      </c>
    </row>
    <row r="652" spans="49:49" ht="15" customHeight="1" x14ac:dyDescent="0.35">
      <c r="AW652" s="114">
        <v>363</v>
      </c>
    </row>
    <row r="653" spans="49:49" ht="15" customHeight="1" x14ac:dyDescent="0.35">
      <c r="AW653" s="114">
        <v>364</v>
      </c>
    </row>
    <row r="654" spans="49:49" ht="15" customHeight="1" x14ac:dyDescent="0.35">
      <c r="AW654" s="114">
        <v>365</v>
      </c>
    </row>
    <row r="655" spans="49:49" ht="15" customHeight="1" x14ac:dyDescent="0.35">
      <c r="AW655" s="114">
        <v>366</v>
      </c>
    </row>
    <row r="656" spans="49:49" ht="15" customHeight="1" x14ac:dyDescent="0.35">
      <c r="AW656" s="114">
        <v>367</v>
      </c>
    </row>
    <row r="657" spans="49:49" ht="15" customHeight="1" x14ac:dyDescent="0.35">
      <c r="AW657" s="114">
        <v>368</v>
      </c>
    </row>
    <row r="658" spans="49:49" ht="15" customHeight="1" x14ac:dyDescent="0.35">
      <c r="AW658" s="114">
        <v>369</v>
      </c>
    </row>
    <row r="659" spans="49:49" ht="15" customHeight="1" x14ac:dyDescent="0.35">
      <c r="AW659" s="114">
        <v>370</v>
      </c>
    </row>
    <row r="660" spans="49:49" ht="15" customHeight="1" x14ac:dyDescent="0.35">
      <c r="AW660" s="114">
        <v>371</v>
      </c>
    </row>
    <row r="661" spans="49:49" ht="15" customHeight="1" x14ac:dyDescent="0.35">
      <c r="AW661" s="114">
        <v>372</v>
      </c>
    </row>
    <row r="662" spans="49:49" ht="15" customHeight="1" x14ac:dyDescent="0.35">
      <c r="AW662" s="114">
        <v>373</v>
      </c>
    </row>
    <row r="663" spans="49:49" ht="15" customHeight="1" x14ac:dyDescent="0.35">
      <c r="AW663" s="114">
        <v>374</v>
      </c>
    </row>
    <row r="664" spans="49:49" ht="15" customHeight="1" x14ac:dyDescent="0.35">
      <c r="AW664" s="114">
        <v>375</v>
      </c>
    </row>
    <row r="665" spans="49:49" ht="15" customHeight="1" x14ac:dyDescent="0.35">
      <c r="AW665" s="114">
        <v>376</v>
      </c>
    </row>
    <row r="666" spans="49:49" ht="15" customHeight="1" x14ac:dyDescent="0.35">
      <c r="AW666" s="114">
        <v>377</v>
      </c>
    </row>
    <row r="667" spans="49:49" ht="15" customHeight="1" x14ac:dyDescent="0.35">
      <c r="AW667" s="114">
        <v>378</v>
      </c>
    </row>
    <row r="668" spans="49:49" ht="15" customHeight="1" x14ac:dyDescent="0.35">
      <c r="AW668" s="114">
        <v>379</v>
      </c>
    </row>
    <row r="669" spans="49:49" ht="15" customHeight="1" x14ac:dyDescent="0.35">
      <c r="AW669" s="114">
        <v>380</v>
      </c>
    </row>
    <row r="670" spans="49:49" ht="15" customHeight="1" x14ac:dyDescent="0.35">
      <c r="AW670" s="114">
        <v>381</v>
      </c>
    </row>
    <row r="671" spans="49:49" ht="15" customHeight="1" x14ac:dyDescent="0.35">
      <c r="AW671" s="114">
        <v>382</v>
      </c>
    </row>
    <row r="672" spans="49:49" ht="15" customHeight="1" x14ac:dyDescent="0.35">
      <c r="AW672" s="114">
        <v>383</v>
      </c>
    </row>
    <row r="673" spans="49:49" ht="15" customHeight="1" x14ac:dyDescent="0.35">
      <c r="AW673" s="114">
        <v>384</v>
      </c>
    </row>
    <row r="674" spans="49:49" ht="15" customHeight="1" x14ac:dyDescent="0.35">
      <c r="AW674" s="114">
        <v>385</v>
      </c>
    </row>
    <row r="675" spans="49:49" ht="15" customHeight="1" x14ac:dyDescent="0.35">
      <c r="AW675" s="114">
        <v>386</v>
      </c>
    </row>
    <row r="676" spans="49:49" ht="15" customHeight="1" x14ac:dyDescent="0.35">
      <c r="AW676" s="114">
        <v>387</v>
      </c>
    </row>
    <row r="677" spans="49:49" ht="15" customHeight="1" x14ac:dyDescent="0.35">
      <c r="AW677" s="114">
        <v>388</v>
      </c>
    </row>
    <row r="678" spans="49:49" ht="15" customHeight="1" x14ac:dyDescent="0.35">
      <c r="AW678" s="114">
        <v>389</v>
      </c>
    </row>
    <row r="679" spans="49:49" ht="15" customHeight="1" x14ac:dyDescent="0.35">
      <c r="AW679" s="114">
        <v>390</v>
      </c>
    </row>
    <row r="680" spans="49:49" ht="15" customHeight="1" x14ac:dyDescent="0.35">
      <c r="AW680" s="114">
        <v>391</v>
      </c>
    </row>
    <row r="681" spans="49:49" ht="15" customHeight="1" x14ac:dyDescent="0.35">
      <c r="AW681" s="114">
        <v>392</v>
      </c>
    </row>
    <row r="682" spans="49:49" ht="15" customHeight="1" x14ac:dyDescent="0.35">
      <c r="AW682" s="114">
        <v>393</v>
      </c>
    </row>
    <row r="683" spans="49:49" ht="15" customHeight="1" x14ac:dyDescent="0.35">
      <c r="AW683" s="114">
        <v>394</v>
      </c>
    </row>
    <row r="684" spans="49:49" ht="15" customHeight="1" x14ac:dyDescent="0.35">
      <c r="AW684" s="114">
        <v>395</v>
      </c>
    </row>
    <row r="685" spans="49:49" ht="15" customHeight="1" x14ac:dyDescent="0.35">
      <c r="AW685" s="114">
        <v>396</v>
      </c>
    </row>
    <row r="686" spans="49:49" ht="15" customHeight="1" x14ac:dyDescent="0.35">
      <c r="AW686" s="114">
        <v>397</v>
      </c>
    </row>
    <row r="687" spans="49:49" ht="15" customHeight="1" x14ac:dyDescent="0.35">
      <c r="AW687" s="114">
        <v>398</v>
      </c>
    </row>
    <row r="688" spans="49:49" ht="15" customHeight="1" x14ac:dyDescent="0.35">
      <c r="AW688" s="114">
        <v>399</v>
      </c>
    </row>
    <row r="689" spans="49:49" ht="15" customHeight="1" x14ac:dyDescent="0.35">
      <c r="AW689" s="114">
        <v>400</v>
      </c>
    </row>
    <row r="690" spans="49:49" ht="15" customHeight="1" x14ac:dyDescent="0.35">
      <c r="AW690" s="114">
        <v>401</v>
      </c>
    </row>
    <row r="691" spans="49:49" ht="15" customHeight="1" x14ac:dyDescent="0.35">
      <c r="AW691" s="114">
        <v>402</v>
      </c>
    </row>
    <row r="692" spans="49:49" ht="15" customHeight="1" x14ac:dyDescent="0.35">
      <c r="AW692" s="114">
        <v>403</v>
      </c>
    </row>
    <row r="693" spans="49:49" ht="15" customHeight="1" x14ac:dyDescent="0.35">
      <c r="AW693" s="114">
        <v>404</v>
      </c>
    </row>
    <row r="694" spans="49:49" ht="15" customHeight="1" x14ac:dyDescent="0.35">
      <c r="AW694" s="114">
        <v>405</v>
      </c>
    </row>
    <row r="695" spans="49:49" ht="15" customHeight="1" x14ac:dyDescent="0.35">
      <c r="AW695" s="114">
        <v>406</v>
      </c>
    </row>
    <row r="696" spans="49:49" ht="15" customHeight="1" x14ac:dyDescent="0.35">
      <c r="AW696" s="114">
        <v>407</v>
      </c>
    </row>
    <row r="697" spans="49:49" ht="15" customHeight="1" x14ac:dyDescent="0.35">
      <c r="AW697" s="114">
        <v>408</v>
      </c>
    </row>
    <row r="698" spans="49:49" ht="15" customHeight="1" x14ac:dyDescent="0.35">
      <c r="AW698" s="114">
        <v>409</v>
      </c>
    </row>
    <row r="699" spans="49:49" ht="15" customHeight="1" x14ac:dyDescent="0.35">
      <c r="AW699" s="114">
        <v>410</v>
      </c>
    </row>
    <row r="700" spans="49:49" ht="15" customHeight="1" x14ac:dyDescent="0.35">
      <c r="AW700" s="114">
        <v>411</v>
      </c>
    </row>
    <row r="701" spans="49:49" ht="15" customHeight="1" x14ac:dyDescent="0.35">
      <c r="AW701" s="114">
        <v>412</v>
      </c>
    </row>
    <row r="702" spans="49:49" ht="15" customHeight="1" x14ac:dyDescent="0.35">
      <c r="AW702" s="114">
        <v>413</v>
      </c>
    </row>
    <row r="703" spans="49:49" ht="15" customHeight="1" x14ac:dyDescent="0.35">
      <c r="AW703" s="114">
        <v>414</v>
      </c>
    </row>
    <row r="704" spans="49:49" ht="15" customHeight="1" x14ac:dyDescent="0.35">
      <c r="AW704" s="114">
        <v>415</v>
      </c>
    </row>
    <row r="705" spans="49:49" ht="15" customHeight="1" x14ac:dyDescent="0.35">
      <c r="AW705" s="114">
        <v>416</v>
      </c>
    </row>
    <row r="706" spans="49:49" ht="15" customHeight="1" x14ac:dyDescent="0.35">
      <c r="AW706" s="114">
        <v>417</v>
      </c>
    </row>
    <row r="707" spans="49:49" ht="15" customHeight="1" x14ac:dyDescent="0.35">
      <c r="AW707" s="114">
        <v>418</v>
      </c>
    </row>
    <row r="708" spans="49:49" ht="15" customHeight="1" x14ac:dyDescent="0.35">
      <c r="AW708" s="114">
        <v>419</v>
      </c>
    </row>
    <row r="709" spans="49:49" ht="15" customHeight="1" x14ac:dyDescent="0.35">
      <c r="AW709" s="114">
        <v>420</v>
      </c>
    </row>
    <row r="710" spans="49:49" ht="15" customHeight="1" x14ac:dyDescent="0.35">
      <c r="AW710" s="114">
        <v>421</v>
      </c>
    </row>
    <row r="711" spans="49:49" ht="15" customHeight="1" x14ac:dyDescent="0.35">
      <c r="AW711" s="114">
        <v>422</v>
      </c>
    </row>
    <row r="712" spans="49:49" ht="15" customHeight="1" x14ac:dyDescent="0.35">
      <c r="AW712" s="114">
        <v>423</v>
      </c>
    </row>
    <row r="713" spans="49:49" ht="15" customHeight="1" x14ac:dyDescent="0.35">
      <c r="AW713" s="114">
        <v>424</v>
      </c>
    </row>
    <row r="714" spans="49:49" ht="15" customHeight="1" x14ac:dyDescent="0.35">
      <c r="AW714" s="114">
        <v>425</v>
      </c>
    </row>
    <row r="715" spans="49:49" ht="15" customHeight="1" x14ac:dyDescent="0.35">
      <c r="AW715" s="114">
        <v>426</v>
      </c>
    </row>
    <row r="716" spans="49:49" ht="15" customHeight="1" x14ac:dyDescent="0.35">
      <c r="AW716" s="114">
        <v>427</v>
      </c>
    </row>
    <row r="717" spans="49:49" ht="15" customHeight="1" x14ac:dyDescent="0.35">
      <c r="AW717" s="114">
        <v>428</v>
      </c>
    </row>
    <row r="718" spans="49:49" ht="15" customHeight="1" x14ac:dyDescent="0.35">
      <c r="AW718" s="114">
        <v>429</v>
      </c>
    </row>
    <row r="719" spans="49:49" ht="15" customHeight="1" x14ac:dyDescent="0.35">
      <c r="AW719" s="114">
        <v>430</v>
      </c>
    </row>
    <row r="720" spans="49:49" ht="15" customHeight="1" x14ac:dyDescent="0.35">
      <c r="AW720" s="114">
        <v>431</v>
      </c>
    </row>
    <row r="721" spans="49:49" ht="15" customHeight="1" x14ac:dyDescent="0.35">
      <c r="AW721" s="114">
        <v>432</v>
      </c>
    </row>
    <row r="722" spans="49:49" ht="15" customHeight="1" x14ac:dyDescent="0.35">
      <c r="AW722" s="114">
        <v>433</v>
      </c>
    </row>
    <row r="723" spans="49:49" ht="15" customHeight="1" x14ac:dyDescent="0.35">
      <c r="AW723" s="114">
        <v>434</v>
      </c>
    </row>
    <row r="724" spans="49:49" ht="15" customHeight="1" x14ac:dyDescent="0.35">
      <c r="AW724" s="114">
        <v>435</v>
      </c>
    </row>
    <row r="725" spans="49:49" ht="15" customHeight="1" x14ac:dyDescent="0.35">
      <c r="AW725" s="114">
        <v>436</v>
      </c>
    </row>
    <row r="726" spans="49:49" ht="15" customHeight="1" x14ac:dyDescent="0.35">
      <c r="AW726" s="114">
        <v>437</v>
      </c>
    </row>
    <row r="727" spans="49:49" ht="15" customHeight="1" x14ac:dyDescent="0.35">
      <c r="AW727" s="114">
        <v>438</v>
      </c>
    </row>
    <row r="728" spans="49:49" ht="15" customHeight="1" x14ac:dyDescent="0.35">
      <c r="AW728" s="114">
        <v>439</v>
      </c>
    </row>
    <row r="729" spans="49:49" ht="15" customHeight="1" x14ac:dyDescent="0.35">
      <c r="AW729" s="114">
        <v>440</v>
      </c>
    </row>
    <row r="730" spans="49:49" ht="15" customHeight="1" x14ac:dyDescent="0.35">
      <c r="AW730" s="114">
        <v>441</v>
      </c>
    </row>
    <row r="731" spans="49:49" ht="15" customHeight="1" x14ac:dyDescent="0.35">
      <c r="AW731" s="114">
        <v>442</v>
      </c>
    </row>
    <row r="732" spans="49:49" ht="15" customHeight="1" x14ac:dyDescent="0.35">
      <c r="AW732" s="114">
        <v>443</v>
      </c>
    </row>
    <row r="733" spans="49:49" ht="15" customHeight="1" x14ac:dyDescent="0.35">
      <c r="AW733" s="114">
        <v>444</v>
      </c>
    </row>
    <row r="734" spans="49:49" ht="15" customHeight="1" x14ac:dyDescent="0.35">
      <c r="AW734" s="114">
        <v>445</v>
      </c>
    </row>
    <row r="735" spans="49:49" ht="15" customHeight="1" x14ac:dyDescent="0.35">
      <c r="AW735" s="114">
        <v>446</v>
      </c>
    </row>
    <row r="736" spans="49:49" ht="15" customHeight="1" x14ac:dyDescent="0.35">
      <c r="AW736" s="114">
        <v>447</v>
      </c>
    </row>
    <row r="737" spans="49:49" ht="15" customHeight="1" x14ac:dyDescent="0.35">
      <c r="AW737" s="114">
        <v>448</v>
      </c>
    </row>
    <row r="738" spans="49:49" ht="15" customHeight="1" x14ac:dyDescent="0.35">
      <c r="AW738" s="114">
        <v>449</v>
      </c>
    </row>
    <row r="739" spans="49:49" ht="15" customHeight="1" x14ac:dyDescent="0.35">
      <c r="AW739" s="114">
        <v>450</v>
      </c>
    </row>
    <row r="740" spans="49:49" ht="15" customHeight="1" x14ac:dyDescent="0.35">
      <c r="AW740" s="114">
        <v>451</v>
      </c>
    </row>
    <row r="741" spans="49:49" ht="15" customHeight="1" x14ac:dyDescent="0.35">
      <c r="AW741" s="114">
        <v>452</v>
      </c>
    </row>
    <row r="742" spans="49:49" ht="15" customHeight="1" x14ac:dyDescent="0.35">
      <c r="AW742" s="114">
        <v>453</v>
      </c>
    </row>
    <row r="743" spans="49:49" ht="15" customHeight="1" x14ac:dyDescent="0.35">
      <c r="AW743" s="114">
        <v>454</v>
      </c>
    </row>
    <row r="744" spans="49:49" ht="15" customHeight="1" x14ac:dyDescent="0.35">
      <c r="AW744" s="114">
        <v>455</v>
      </c>
    </row>
    <row r="745" spans="49:49" ht="15" customHeight="1" x14ac:dyDescent="0.35">
      <c r="AW745" s="114">
        <v>456</v>
      </c>
    </row>
    <row r="746" spans="49:49" ht="15" customHeight="1" x14ac:dyDescent="0.35">
      <c r="AW746" s="114">
        <v>457</v>
      </c>
    </row>
    <row r="747" spans="49:49" ht="15" customHeight="1" x14ac:dyDescent="0.35">
      <c r="AW747" s="114">
        <v>458</v>
      </c>
    </row>
    <row r="748" spans="49:49" ht="15" customHeight="1" x14ac:dyDescent="0.35">
      <c r="AW748" s="114">
        <v>459</v>
      </c>
    </row>
    <row r="749" spans="49:49" ht="15" customHeight="1" x14ac:dyDescent="0.35">
      <c r="AW749" s="114">
        <v>460</v>
      </c>
    </row>
    <row r="750" spans="49:49" ht="15" customHeight="1" x14ac:dyDescent="0.35">
      <c r="AW750" s="114">
        <v>461</v>
      </c>
    </row>
    <row r="751" spans="49:49" ht="15" customHeight="1" x14ac:dyDescent="0.35">
      <c r="AW751" s="114">
        <v>462</v>
      </c>
    </row>
    <row r="752" spans="49:49" ht="15" customHeight="1" x14ac:dyDescent="0.35">
      <c r="AW752" s="114">
        <v>463</v>
      </c>
    </row>
    <row r="753" spans="49:49" ht="15" customHeight="1" x14ac:dyDescent="0.35">
      <c r="AW753" s="114">
        <v>464</v>
      </c>
    </row>
    <row r="754" spans="49:49" ht="15" customHeight="1" x14ac:dyDescent="0.35">
      <c r="AW754" s="114">
        <v>465</v>
      </c>
    </row>
    <row r="755" spans="49:49" ht="15" customHeight="1" x14ac:dyDescent="0.35">
      <c r="AW755" s="114">
        <v>466</v>
      </c>
    </row>
    <row r="756" spans="49:49" ht="15" customHeight="1" x14ac:dyDescent="0.35">
      <c r="AW756" s="114">
        <v>467</v>
      </c>
    </row>
    <row r="757" spans="49:49" ht="15" customHeight="1" x14ac:dyDescent="0.35">
      <c r="AW757" s="114">
        <v>468</v>
      </c>
    </row>
    <row r="758" spans="49:49" ht="15" customHeight="1" x14ac:dyDescent="0.35">
      <c r="AW758" s="114">
        <v>469</v>
      </c>
    </row>
    <row r="759" spans="49:49" ht="15" customHeight="1" x14ac:dyDescent="0.35">
      <c r="AW759" s="114">
        <v>470</v>
      </c>
    </row>
    <row r="760" spans="49:49" ht="15" customHeight="1" x14ac:dyDescent="0.35">
      <c r="AW760" s="114">
        <v>471</v>
      </c>
    </row>
    <row r="761" spans="49:49" ht="15" customHeight="1" x14ac:dyDescent="0.35">
      <c r="AW761" s="114">
        <v>472</v>
      </c>
    </row>
    <row r="762" spans="49:49" ht="15" customHeight="1" x14ac:dyDescent="0.35">
      <c r="AW762" s="114">
        <v>473</v>
      </c>
    </row>
    <row r="763" spans="49:49" ht="15" customHeight="1" x14ac:dyDescent="0.35">
      <c r="AW763" s="114">
        <v>474</v>
      </c>
    </row>
    <row r="764" spans="49:49" ht="15" customHeight="1" x14ac:dyDescent="0.35">
      <c r="AW764" s="114">
        <v>475</v>
      </c>
    </row>
    <row r="765" spans="49:49" ht="15" customHeight="1" x14ac:dyDescent="0.35">
      <c r="AW765" s="114">
        <v>476</v>
      </c>
    </row>
    <row r="766" spans="49:49" ht="15" customHeight="1" x14ac:dyDescent="0.35">
      <c r="AW766" s="114">
        <v>477</v>
      </c>
    </row>
    <row r="767" spans="49:49" ht="15" customHeight="1" x14ac:dyDescent="0.35">
      <c r="AW767" s="114">
        <v>478</v>
      </c>
    </row>
    <row r="768" spans="49:49" ht="15" customHeight="1" x14ac:dyDescent="0.35">
      <c r="AW768" s="114">
        <v>479</v>
      </c>
    </row>
    <row r="769" spans="49:49" ht="15" customHeight="1" x14ac:dyDescent="0.35">
      <c r="AW769" s="114">
        <v>480</v>
      </c>
    </row>
    <row r="770" spans="49:49" ht="15" customHeight="1" x14ac:dyDescent="0.35">
      <c r="AW770" s="114">
        <v>481</v>
      </c>
    </row>
    <row r="771" spans="49:49" ht="15" customHeight="1" x14ac:dyDescent="0.35">
      <c r="AW771" s="114">
        <v>482</v>
      </c>
    </row>
    <row r="772" spans="49:49" ht="15" customHeight="1" x14ac:dyDescent="0.35">
      <c r="AW772" s="114">
        <v>483</v>
      </c>
    </row>
    <row r="773" spans="49:49" ht="15" customHeight="1" x14ac:dyDescent="0.35">
      <c r="AW773" s="114">
        <v>484</v>
      </c>
    </row>
    <row r="774" spans="49:49" ht="15" customHeight="1" x14ac:dyDescent="0.35">
      <c r="AW774" s="114">
        <v>485</v>
      </c>
    </row>
    <row r="775" spans="49:49" ht="15" customHeight="1" x14ac:dyDescent="0.35">
      <c r="AW775" s="114">
        <v>486</v>
      </c>
    </row>
    <row r="776" spans="49:49" ht="15" customHeight="1" x14ac:dyDescent="0.35">
      <c r="AW776" s="114">
        <v>487</v>
      </c>
    </row>
    <row r="777" spans="49:49" ht="15" customHeight="1" x14ac:dyDescent="0.35">
      <c r="AW777" s="114">
        <v>488</v>
      </c>
    </row>
    <row r="778" spans="49:49" ht="15" customHeight="1" x14ac:dyDescent="0.35">
      <c r="AW778" s="114">
        <v>489</v>
      </c>
    </row>
    <row r="779" spans="49:49" ht="15" customHeight="1" x14ac:dyDescent="0.35">
      <c r="AW779" s="114">
        <v>490</v>
      </c>
    </row>
    <row r="780" spans="49:49" ht="15" customHeight="1" x14ac:dyDescent="0.35">
      <c r="AW780" s="114">
        <v>491</v>
      </c>
    </row>
    <row r="781" spans="49:49" ht="15" customHeight="1" x14ac:dyDescent="0.35">
      <c r="AW781" s="114">
        <v>492</v>
      </c>
    </row>
    <row r="782" spans="49:49" ht="15" customHeight="1" x14ac:dyDescent="0.35">
      <c r="AW782" s="114">
        <v>493</v>
      </c>
    </row>
    <row r="783" spans="49:49" ht="15" customHeight="1" x14ac:dyDescent="0.35">
      <c r="AW783" s="114">
        <v>494</v>
      </c>
    </row>
    <row r="784" spans="49:49" ht="15" customHeight="1" x14ac:dyDescent="0.35">
      <c r="AW784" s="114">
        <v>495</v>
      </c>
    </row>
    <row r="785" spans="49:49" ht="15" customHeight="1" x14ac:dyDescent="0.35">
      <c r="AW785" s="114">
        <v>496</v>
      </c>
    </row>
    <row r="786" spans="49:49" ht="15" customHeight="1" x14ac:dyDescent="0.35">
      <c r="AW786" s="114">
        <v>497</v>
      </c>
    </row>
    <row r="787" spans="49:49" ht="15" customHeight="1" x14ac:dyDescent="0.35">
      <c r="AW787" s="114">
        <v>498</v>
      </c>
    </row>
    <row r="788" spans="49:49" ht="15" customHeight="1" x14ac:dyDescent="0.35">
      <c r="AW788" s="114">
        <v>499</v>
      </c>
    </row>
    <row r="789" spans="49:49" ht="15" customHeight="1" x14ac:dyDescent="0.35">
      <c r="AW789" s="114">
        <v>500</v>
      </c>
    </row>
    <row r="790" spans="49:49" ht="15" customHeight="1" x14ac:dyDescent="0.35">
      <c r="AW790" s="114">
        <v>501</v>
      </c>
    </row>
    <row r="791" spans="49:49" ht="15" customHeight="1" x14ac:dyDescent="0.35">
      <c r="AW791" s="114">
        <v>502</v>
      </c>
    </row>
    <row r="792" spans="49:49" ht="15" customHeight="1" x14ac:dyDescent="0.35">
      <c r="AW792" s="114">
        <v>503</v>
      </c>
    </row>
    <row r="793" spans="49:49" ht="15" customHeight="1" x14ac:dyDescent="0.35">
      <c r="AW793" s="114">
        <v>504</v>
      </c>
    </row>
    <row r="794" spans="49:49" ht="15" customHeight="1" x14ac:dyDescent="0.35">
      <c r="AW794" s="114">
        <v>505</v>
      </c>
    </row>
    <row r="795" spans="49:49" ht="15" customHeight="1" x14ac:dyDescent="0.35">
      <c r="AW795" s="114">
        <v>506</v>
      </c>
    </row>
    <row r="796" spans="49:49" ht="15" customHeight="1" x14ac:dyDescent="0.35">
      <c r="AW796" s="114">
        <v>507</v>
      </c>
    </row>
    <row r="797" spans="49:49" ht="15" customHeight="1" x14ac:dyDescent="0.35">
      <c r="AW797" s="114">
        <v>508</v>
      </c>
    </row>
    <row r="798" spans="49:49" ht="15" customHeight="1" x14ac:dyDescent="0.35">
      <c r="AW798" s="114">
        <v>509</v>
      </c>
    </row>
    <row r="799" spans="49:49" ht="15" customHeight="1" x14ac:dyDescent="0.35">
      <c r="AW799" s="114">
        <v>510</v>
      </c>
    </row>
    <row r="800" spans="49:49" ht="15" customHeight="1" x14ac:dyDescent="0.35">
      <c r="AW800" s="114">
        <v>511</v>
      </c>
    </row>
    <row r="801" spans="49:49" ht="15" customHeight="1" x14ac:dyDescent="0.35">
      <c r="AW801" s="114">
        <v>512</v>
      </c>
    </row>
    <row r="802" spans="49:49" ht="15" customHeight="1" x14ac:dyDescent="0.35">
      <c r="AW802" s="114">
        <v>513</v>
      </c>
    </row>
    <row r="803" spans="49:49" ht="15" customHeight="1" x14ac:dyDescent="0.35">
      <c r="AW803" s="114">
        <v>514</v>
      </c>
    </row>
    <row r="804" spans="49:49" ht="15" customHeight="1" x14ac:dyDescent="0.35">
      <c r="AW804" s="114">
        <v>515</v>
      </c>
    </row>
    <row r="805" spans="49:49" ht="15" customHeight="1" x14ac:dyDescent="0.35">
      <c r="AW805" s="114">
        <v>516</v>
      </c>
    </row>
    <row r="806" spans="49:49" ht="15" customHeight="1" x14ac:dyDescent="0.35">
      <c r="AW806" s="114">
        <v>517</v>
      </c>
    </row>
    <row r="807" spans="49:49" ht="15" customHeight="1" x14ac:dyDescent="0.35">
      <c r="AW807" s="114">
        <v>518</v>
      </c>
    </row>
    <row r="808" spans="49:49" ht="15" customHeight="1" x14ac:dyDescent="0.35">
      <c r="AW808" s="114">
        <v>519</v>
      </c>
    </row>
    <row r="809" spans="49:49" ht="15" customHeight="1" x14ac:dyDescent="0.35">
      <c r="AW809" s="114">
        <v>520</v>
      </c>
    </row>
    <row r="810" spans="49:49" ht="15" customHeight="1" x14ac:dyDescent="0.35">
      <c r="AW810" s="114">
        <v>521</v>
      </c>
    </row>
    <row r="811" spans="49:49" ht="15" customHeight="1" x14ac:dyDescent="0.35">
      <c r="AW811" s="114">
        <v>522</v>
      </c>
    </row>
    <row r="812" spans="49:49" ht="15" customHeight="1" x14ac:dyDescent="0.35">
      <c r="AW812" s="114">
        <v>523</v>
      </c>
    </row>
    <row r="813" spans="49:49" ht="15" customHeight="1" x14ac:dyDescent="0.35">
      <c r="AW813" s="114">
        <v>524</v>
      </c>
    </row>
    <row r="814" spans="49:49" ht="15" customHeight="1" x14ac:dyDescent="0.35">
      <c r="AW814" s="114">
        <v>525</v>
      </c>
    </row>
    <row r="815" spans="49:49" ht="15" customHeight="1" x14ac:dyDescent="0.35">
      <c r="AW815" s="114">
        <v>526</v>
      </c>
    </row>
    <row r="816" spans="49:49" ht="15" customHeight="1" x14ac:dyDescent="0.35">
      <c r="AW816" s="114">
        <v>527</v>
      </c>
    </row>
    <row r="817" spans="49:49" ht="15" customHeight="1" x14ac:dyDescent="0.35">
      <c r="AW817" s="114">
        <v>528</v>
      </c>
    </row>
    <row r="818" spans="49:49" ht="15" customHeight="1" x14ac:dyDescent="0.35">
      <c r="AW818" s="114">
        <v>529</v>
      </c>
    </row>
    <row r="819" spans="49:49" ht="15" customHeight="1" x14ac:dyDescent="0.35">
      <c r="AW819" s="114">
        <v>530</v>
      </c>
    </row>
    <row r="820" spans="49:49" ht="15" customHeight="1" x14ac:dyDescent="0.35">
      <c r="AW820" s="114">
        <v>531</v>
      </c>
    </row>
    <row r="821" spans="49:49" ht="15" customHeight="1" x14ac:dyDescent="0.35">
      <c r="AW821" s="114">
        <v>532</v>
      </c>
    </row>
    <row r="822" spans="49:49" ht="15" customHeight="1" x14ac:dyDescent="0.35">
      <c r="AW822" s="114">
        <v>533</v>
      </c>
    </row>
    <row r="823" spans="49:49" ht="15" customHeight="1" x14ac:dyDescent="0.35">
      <c r="AW823" s="114">
        <v>534</v>
      </c>
    </row>
    <row r="824" spans="49:49" ht="15" customHeight="1" x14ac:dyDescent="0.35">
      <c r="AW824" s="114">
        <v>535</v>
      </c>
    </row>
    <row r="825" spans="49:49" ht="15" customHeight="1" x14ac:dyDescent="0.35">
      <c r="AW825" s="114">
        <v>536</v>
      </c>
    </row>
    <row r="826" spans="49:49" ht="15" customHeight="1" x14ac:dyDescent="0.35">
      <c r="AW826" s="114">
        <v>537</v>
      </c>
    </row>
    <row r="827" spans="49:49" ht="15" customHeight="1" x14ac:dyDescent="0.35">
      <c r="AW827" s="114">
        <v>538</v>
      </c>
    </row>
    <row r="828" spans="49:49" ht="15" customHeight="1" x14ac:dyDescent="0.35">
      <c r="AW828" s="114">
        <v>539</v>
      </c>
    </row>
    <row r="829" spans="49:49" ht="15" customHeight="1" x14ac:dyDescent="0.35">
      <c r="AW829" s="114">
        <v>540</v>
      </c>
    </row>
    <row r="830" spans="49:49" ht="15" customHeight="1" x14ac:dyDescent="0.35">
      <c r="AW830" s="114">
        <v>541</v>
      </c>
    </row>
    <row r="831" spans="49:49" ht="15" customHeight="1" x14ac:dyDescent="0.35">
      <c r="AW831" s="114">
        <v>542</v>
      </c>
    </row>
    <row r="832" spans="49:49" ht="15" customHeight="1" x14ac:dyDescent="0.35">
      <c r="AW832" s="114">
        <v>543</v>
      </c>
    </row>
    <row r="833" spans="49:49" ht="15" customHeight="1" x14ac:dyDescent="0.35">
      <c r="AW833" s="114">
        <v>544</v>
      </c>
    </row>
    <row r="834" spans="49:49" ht="15" customHeight="1" x14ac:dyDescent="0.35">
      <c r="AW834" s="114">
        <v>545</v>
      </c>
    </row>
    <row r="835" spans="49:49" ht="15" customHeight="1" x14ac:dyDescent="0.35">
      <c r="AW835" s="114">
        <v>546</v>
      </c>
    </row>
    <row r="836" spans="49:49" ht="15" customHeight="1" x14ac:dyDescent="0.35">
      <c r="AW836" s="114">
        <v>547</v>
      </c>
    </row>
    <row r="837" spans="49:49" ht="15" customHeight="1" x14ac:dyDescent="0.35">
      <c r="AW837" s="114">
        <v>548</v>
      </c>
    </row>
    <row r="838" spans="49:49" ht="15" customHeight="1" x14ac:dyDescent="0.35">
      <c r="AW838" s="114">
        <v>549</v>
      </c>
    </row>
    <row r="839" spans="49:49" ht="15" customHeight="1" x14ac:dyDescent="0.35">
      <c r="AW839" s="114">
        <v>550</v>
      </c>
    </row>
    <row r="840" spans="49:49" ht="15" customHeight="1" x14ac:dyDescent="0.35">
      <c r="AW840" s="114">
        <v>551</v>
      </c>
    </row>
    <row r="841" spans="49:49" ht="15" customHeight="1" x14ac:dyDescent="0.35">
      <c r="AW841" s="114">
        <v>552</v>
      </c>
    </row>
    <row r="842" spans="49:49" ht="15" customHeight="1" x14ac:dyDescent="0.35">
      <c r="AW842" s="114">
        <v>553</v>
      </c>
    </row>
    <row r="843" spans="49:49" ht="15" customHeight="1" x14ac:dyDescent="0.35">
      <c r="AW843" s="114">
        <v>554</v>
      </c>
    </row>
    <row r="844" spans="49:49" ht="15" customHeight="1" x14ac:dyDescent="0.35">
      <c r="AW844" s="114">
        <v>555</v>
      </c>
    </row>
    <row r="845" spans="49:49" ht="15" customHeight="1" x14ac:dyDescent="0.35">
      <c r="AW845" s="114">
        <v>556</v>
      </c>
    </row>
    <row r="846" spans="49:49" ht="15" customHeight="1" x14ac:dyDescent="0.35">
      <c r="AW846" s="114">
        <v>557</v>
      </c>
    </row>
    <row r="847" spans="49:49" ht="15" customHeight="1" x14ac:dyDescent="0.35">
      <c r="AW847" s="114">
        <v>558</v>
      </c>
    </row>
    <row r="848" spans="49:49" ht="15" customHeight="1" x14ac:dyDescent="0.35">
      <c r="AW848" s="114">
        <v>559</v>
      </c>
    </row>
    <row r="849" spans="49:49" ht="15" customHeight="1" x14ac:dyDescent="0.35">
      <c r="AW849" s="114">
        <v>560</v>
      </c>
    </row>
    <row r="850" spans="49:49" ht="15" customHeight="1" x14ac:dyDescent="0.35">
      <c r="AW850" s="114">
        <v>561</v>
      </c>
    </row>
    <row r="851" spans="49:49" ht="15" customHeight="1" x14ac:dyDescent="0.35">
      <c r="AW851" s="114">
        <v>562</v>
      </c>
    </row>
    <row r="852" spans="49:49" ht="15" customHeight="1" x14ac:dyDescent="0.35">
      <c r="AW852" s="114">
        <v>563</v>
      </c>
    </row>
    <row r="853" spans="49:49" ht="15" customHeight="1" x14ac:dyDescent="0.35">
      <c r="AW853" s="114">
        <v>564</v>
      </c>
    </row>
    <row r="854" spans="49:49" ht="15" customHeight="1" x14ac:dyDescent="0.35">
      <c r="AW854" s="114">
        <v>565</v>
      </c>
    </row>
    <row r="855" spans="49:49" ht="15" customHeight="1" x14ac:dyDescent="0.35">
      <c r="AW855" s="114">
        <v>566</v>
      </c>
    </row>
    <row r="856" spans="49:49" ht="15" customHeight="1" x14ac:dyDescent="0.35">
      <c r="AW856" s="114">
        <v>567</v>
      </c>
    </row>
    <row r="857" spans="49:49" ht="15" customHeight="1" x14ac:dyDescent="0.35">
      <c r="AW857" s="114">
        <v>568</v>
      </c>
    </row>
    <row r="858" spans="49:49" ht="15" customHeight="1" x14ac:dyDescent="0.35">
      <c r="AW858" s="114">
        <v>569</v>
      </c>
    </row>
    <row r="859" spans="49:49" ht="15" customHeight="1" x14ac:dyDescent="0.35">
      <c r="AW859" s="114">
        <v>570</v>
      </c>
    </row>
    <row r="860" spans="49:49" ht="15" customHeight="1" x14ac:dyDescent="0.35">
      <c r="AW860" s="114">
        <v>571</v>
      </c>
    </row>
    <row r="861" spans="49:49" ht="15" customHeight="1" x14ac:dyDescent="0.35">
      <c r="AW861" s="114">
        <v>572</v>
      </c>
    </row>
    <row r="862" spans="49:49" ht="15" customHeight="1" x14ac:dyDescent="0.35">
      <c r="AW862" s="114">
        <v>573</v>
      </c>
    </row>
    <row r="863" spans="49:49" ht="15" customHeight="1" x14ac:dyDescent="0.35">
      <c r="AW863" s="114">
        <v>574</v>
      </c>
    </row>
    <row r="864" spans="49:49" ht="15" customHeight="1" x14ac:dyDescent="0.35">
      <c r="AW864" s="114">
        <v>575</v>
      </c>
    </row>
    <row r="865" spans="49:49" ht="15" customHeight="1" x14ac:dyDescent="0.35">
      <c r="AW865" s="114">
        <v>576</v>
      </c>
    </row>
    <row r="866" spans="49:49" ht="15" customHeight="1" x14ac:dyDescent="0.35">
      <c r="AW866" s="114">
        <v>577</v>
      </c>
    </row>
    <row r="867" spans="49:49" ht="15" customHeight="1" x14ac:dyDescent="0.35">
      <c r="AW867" s="114">
        <v>578</v>
      </c>
    </row>
    <row r="868" spans="49:49" ht="15" customHeight="1" x14ac:dyDescent="0.35">
      <c r="AW868" s="114">
        <v>579</v>
      </c>
    </row>
    <row r="869" spans="49:49" ht="15" customHeight="1" x14ac:dyDescent="0.35">
      <c r="AW869" s="114">
        <v>580</v>
      </c>
    </row>
    <row r="870" spans="49:49" ht="15" customHeight="1" x14ac:dyDescent="0.35">
      <c r="AW870" s="114">
        <v>581</v>
      </c>
    </row>
    <row r="871" spans="49:49" ht="15" customHeight="1" x14ac:dyDescent="0.35">
      <c r="AW871" s="114">
        <v>582</v>
      </c>
    </row>
    <row r="872" spans="49:49" ht="15" customHeight="1" x14ac:dyDescent="0.35">
      <c r="AW872" s="114">
        <v>583</v>
      </c>
    </row>
    <row r="873" spans="49:49" ht="15" customHeight="1" x14ac:dyDescent="0.35">
      <c r="AW873" s="114">
        <v>584</v>
      </c>
    </row>
    <row r="874" spans="49:49" ht="15" customHeight="1" x14ac:dyDescent="0.35">
      <c r="AW874" s="114">
        <v>585</v>
      </c>
    </row>
    <row r="875" spans="49:49" ht="15" customHeight="1" x14ac:dyDescent="0.35">
      <c r="AW875" s="114">
        <v>586</v>
      </c>
    </row>
    <row r="876" spans="49:49" ht="15" customHeight="1" x14ac:dyDescent="0.35">
      <c r="AW876" s="114">
        <v>587</v>
      </c>
    </row>
    <row r="877" spans="49:49" ht="15" customHeight="1" x14ac:dyDescent="0.35">
      <c r="AW877" s="114">
        <v>588</v>
      </c>
    </row>
    <row r="878" spans="49:49" ht="15" customHeight="1" x14ac:dyDescent="0.35">
      <c r="AW878" s="114">
        <v>589</v>
      </c>
    </row>
    <row r="879" spans="49:49" ht="15" customHeight="1" x14ac:dyDescent="0.35">
      <c r="AW879" s="114">
        <v>590</v>
      </c>
    </row>
    <row r="880" spans="49:49" ht="15" customHeight="1" x14ac:dyDescent="0.35">
      <c r="AW880" s="114">
        <v>591</v>
      </c>
    </row>
    <row r="881" spans="49:49" ht="15" customHeight="1" x14ac:dyDescent="0.35">
      <c r="AW881" s="114">
        <v>592</v>
      </c>
    </row>
    <row r="882" spans="49:49" ht="15" customHeight="1" x14ac:dyDescent="0.35">
      <c r="AW882" s="114">
        <v>593</v>
      </c>
    </row>
    <row r="883" spans="49:49" ht="15" customHeight="1" x14ac:dyDescent="0.35">
      <c r="AW883" s="114">
        <v>594</v>
      </c>
    </row>
    <row r="884" spans="49:49" ht="15" customHeight="1" x14ac:dyDescent="0.35">
      <c r="AW884" s="114">
        <v>595</v>
      </c>
    </row>
    <row r="885" spans="49:49" ht="15" customHeight="1" x14ac:dyDescent="0.35">
      <c r="AW885" s="114">
        <v>596</v>
      </c>
    </row>
    <row r="886" spans="49:49" ht="15" customHeight="1" x14ac:dyDescent="0.35">
      <c r="AW886" s="114">
        <v>597</v>
      </c>
    </row>
    <row r="887" spans="49:49" ht="15" customHeight="1" x14ac:dyDescent="0.35">
      <c r="AW887" s="114">
        <v>598</v>
      </c>
    </row>
    <row r="888" spans="49:49" ht="15" customHeight="1" x14ac:dyDescent="0.35">
      <c r="AW888" s="114">
        <v>599</v>
      </c>
    </row>
    <row r="889" spans="49:49" ht="15" customHeight="1" x14ac:dyDescent="0.35">
      <c r="AW889" s="114">
        <v>600</v>
      </c>
    </row>
    <row r="890" spans="49:49" ht="15" customHeight="1" x14ac:dyDescent="0.35">
      <c r="AW890" s="114">
        <v>601</v>
      </c>
    </row>
    <row r="891" spans="49:49" ht="15" customHeight="1" x14ac:dyDescent="0.35">
      <c r="AW891" s="114">
        <v>602</v>
      </c>
    </row>
    <row r="892" spans="49:49" ht="15" customHeight="1" x14ac:dyDescent="0.35">
      <c r="AW892" s="114">
        <v>603</v>
      </c>
    </row>
    <row r="893" spans="49:49" ht="15" customHeight="1" x14ac:dyDescent="0.35">
      <c r="AW893" s="114">
        <v>604</v>
      </c>
    </row>
    <row r="894" spans="49:49" ht="15" customHeight="1" x14ac:dyDescent="0.35">
      <c r="AW894" s="114">
        <v>605</v>
      </c>
    </row>
    <row r="895" spans="49:49" ht="15" customHeight="1" x14ac:dyDescent="0.35">
      <c r="AW895" s="114">
        <v>606</v>
      </c>
    </row>
    <row r="896" spans="49:49" ht="15" customHeight="1" x14ac:dyDescent="0.35">
      <c r="AW896" s="114">
        <v>607</v>
      </c>
    </row>
    <row r="897" spans="49:49" ht="15" customHeight="1" x14ac:dyDescent="0.35">
      <c r="AW897" s="114">
        <v>608</v>
      </c>
    </row>
    <row r="898" spans="49:49" ht="15" customHeight="1" x14ac:dyDescent="0.35">
      <c r="AW898" s="114">
        <v>609</v>
      </c>
    </row>
    <row r="899" spans="49:49" ht="15" customHeight="1" x14ac:dyDescent="0.35">
      <c r="AW899" s="114">
        <v>610</v>
      </c>
    </row>
    <row r="900" spans="49:49" ht="15" customHeight="1" x14ac:dyDescent="0.35">
      <c r="AW900" s="114">
        <v>611</v>
      </c>
    </row>
    <row r="901" spans="49:49" ht="15" customHeight="1" x14ac:dyDescent="0.35">
      <c r="AW901" s="114">
        <v>612</v>
      </c>
    </row>
    <row r="902" spans="49:49" ht="15" customHeight="1" x14ac:dyDescent="0.35">
      <c r="AW902" s="114">
        <v>613</v>
      </c>
    </row>
    <row r="903" spans="49:49" ht="15" customHeight="1" x14ac:dyDescent="0.35">
      <c r="AW903" s="114">
        <v>614</v>
      </c>
    </row>
    <row r="904" spans="49:49" ht="15" customHeight="1" x14ac:dyDescent="0.35">
      <c r="AW904" s="114">
        <v>615</v>
      </c>
    </row>
    <row r="905" spans="49:49" ht="15" customHeight="1" x14ac:dyDescent="0.35">
      <c r="AW905" s="114">
        <v>616</v>
      </c>
    </row>
    <row r="906" spans="49:49" ht="15" customHeight="1" x14ac:dyDescent="0.35">
      <c r="AW906" s="114">
        <v>617</v>
      </c>
    </row>
    <row r="907" spans="49:49" ht="15" customHeight="1" x14ac:dyDescent="0.35">
      <c r="AW907" s="114">
        <v>618</v>
      </c>
    </row>
    <row r="908" spans="49:49" ht="15" customHeight="1" x14ac:dyDescent="0.35">
      <c r="AW908" s="114">
        <v>619</v>
      </c>
    </row>
    <row r="909" spans="49:49" ht="15" customHeight="1" x14ac:dyDescent="0.35">
      <c r="AW909" s="114">
        <v>620</v>
      </c>
    </row>
    <row r="910" spans="49:49" ht="15" customHeight="1" x14ac:dyDescent="0.35">
      <c r="AW910" s="114">
        <v>621</v>
      </c>
    </row>
    <row r="911" spans="49:49" ht="15" customHeight="1" x14ac:dyDescent="0.35">
      <c r="AW911" s="114">
        <v>622</v>
      </c>
    </row>
    <row r="912" spans="49:49" ht="15" customHeight="1" x14ac:dyDescent="0.35">
      <c r="AW912" s="114">
        <v>623</v>
      </c>
    </row>
    <row r="913" spans="49:49" ht="15" customHeight="1" x14ac:dyDescent="0.35">
      <c r="AW913" s="114">
        <v>624</v>
      </c>
    </row>
    <row r="914" spans="49:49" ht="15" customHeight="1" x14ac:dyDescent="0.35">
      <c r="AW914" s="114">
        <v>625</v>
      </c>
    </row>
    <row r="915" spans="49:49" ht="15" customHeight="1" x14ac:dyDescent="0.35">
      <c r="AW915" s="114">
        <v>626</v>
      </c>
    </row>
    <row r="916" spans="49:49" ht="15" customHeight="1" x14ac:dyDescent="0.35">
      <c r="AW916" s="114">
        <v>627</v>
      </c>
    </row>
    <row r="917" spans="49:49" ht="15" customHeight="1" x14ac:dyDescent="0.35">
      <c r="AW917" s="114">
        <v>628</v>
      </c>
    </row>
    <row r="918" spans="49:49" ht="15" customHeight="1" x14ac:dyDescent="0.35">
      <c r="AW918" s="114">
        <v>629</v>
      </c>
    </row>
    <row r="919" spans="49:49" ht="15" customHeight="1" x14ac:dyDescent="0.35">
      <c r="AW919" s="114">
        <v>630</v>
      </c>
    </row>
    <row r="920" spans="49:49" ht="15" customHeight="1" x14ac:dyDescent="0.35">
      <c r="AW920" s="114">
        <v>631</v>
      </c>
    </row>
    <row r="921" spans="49:49" ht="15" customHeight="1" x14ac:dyDescent="0.35">
      <c r="AW921" s="114">
        <v>632</v>
      </c>
    </row>
    <row r="922" spans="49:49" ht="15" customHeight="1" x14ac:dyDescent="0.35">
      <c r="AW922" s="114">
        <v>633</v>
      </c>
    </row>
    <row r="923" spans="49:49" ht="15" customHeight="1" x14ac:dyDescent="0.35">
      <c r="AW923" s="114">
        <v>634</v>
      </c>
    </row>
    <row r="924" spans="49:49" ht="15" customHeight="1" x14ac:dyDescent="0.35">
      <c r="AW924" s="114">
        <v>635</v>
      </c>
    </row>
    <row r="925" spans="49:49" ht="15" customHeight="1" x14ac:dyDescent="0.35">
      <c r="AW925" s="114">
        <v>636</v>
      </c>
    </row>
    <row r="926" spans="49:49" ht="15" customHeight="1" x14ac:dyDescent="0.35">
      <c r="AW926" s="114">
        <v>637</v>
      </c>
    </row>
    <row r="927" spans="49:49" ht="15" customHeight="1" x14ac:dyDescent="0.35">
      <c r="AW927" s="114">
        <v>638</v>
      </c>
    </row>
    <row r="928" spans="49:49" ht="15" customHeight="1" x14ac:dyDescent="0.35">
      <c r="AW928" s="114">
        <v>639</v>
      </c>
    </row>
    <row r="929" spans="49:49" ht="15" customHeight="1" x14ac:dyDescent="0.35">
      <c r="AW929" s="114">
        <v>640</v>
      </c>
    </row>
    <row r="930" spans="49:49" ht="15" customHeight="1" x14ac:dyDescent="0.35">
      <c r="AW930" s="114">
        <v>641</v>
      </c>
    </row>
    <row r="931" spans="49:49" ht="15" customHeight="1" x14ac:dyDescent="0.35">
      <c r="AW931" s="114">
        <v>642</v>
      </c>
    </row>
    <row r="932" spans="49:49" ht="15" customHeight="1" x14ac:dyDescent="0.35">
      <c r="AW932" s="114">
        <v>643</v>
      </c>
    </row>
    <row r="933" spans="49:49" ht="15" customHeight="1" x14ac:dyDescent="0.35">
      <c r="AW933" s="114">
        <v>644</v>
      </c>
    </row>
    <row r="934" spans="49:49" ht="15" customHeight="1" x14ac:dyDescent="0.35">
      <c r="AW934" s="114">
        <v>645</v>
      </c>
    </row>
    <row r="935" spans="49:49" ht="15" customHeight="1" x14ac:dyDescent="0.35">
      <c r="AW935" s="114">
        <v>646</v>
      </c>
    </row>
    <row r="936" spans="49:49" ht="15" customHeight="1" x14ac:dyDescent="0.35">
      <c r="AW936" s="114">
        <v>647</v>
      </c>
    </row>
    <row r="937" spans="49:49" ht="15" customHeight="1" x14ac:dyDescent="0.35">
      <c r="AW937" s="114">
        <v>648</v>
      </c>
    </row>
    <row r="938" spans="49:49" ht="15" customHeight="1" x14ac:dyDescent="0.35">
      <c r="AW938" s="114">
        <v>649</v>
      </c>
    </row>
    <row r="939" spans="49:49" ht="15" customHeight="1" x14ac:dyDescent="0.35">
      <c r="AW939" s="114">
        <v>650</v>
      </c>
    </row>
    <row r="940" spans="49:49" ht="15" customHeight="1" x14ac:dyDescent="0.35">
      <c r="AW940" s="114">
        <v>651</v>
      </c>
    </row>
    <row r="941" spans="49:49" ht="15" customHeight="1" x14ac:dyDescent="0.35">
      <c r="AW941" s="114">
        <v>652</v>
      </c>
    </row>
    <row r="942" spans="49:49" ht="15" customHeight="1" x14ac:dyDescent="0.35">
      <c r="AW942" s="114">
        <v>653</v>
      </c>
    </row>
    <row r="943" spans="49:49" ht="15" customHeight="1" x14ac:dyDescent="0.35">
      <c r="AW943" s="114">
        <v>654</v>
      </c>
    </row>
    <row r="944" spans="49:49" ht="15" customHeight="1" x14ac:dyDescent="0.35">
      <c r="AW944" s="114">
        <v>655</v>
      </c>
    </row>
    <row r="945" spans="49:49" ht="15" customHeight="1" x14ac:dyDescent="0.35">
      <c r="AW945" s="114">
        <v>656</v>
      </c>
    </row>
    <row r="946" spans="49:49" ht="15" customHeight="1" x14ac:dyDescent="0.35">
      <c r="AW946" s="114">
        <v>657</v>
      </c>
    </row>
    <row r="947" spans="49:49" ht="15" customHeight="1" x14ac:dyDescent="0.35">
      <c r="AW947" s="114">
        <v>658</v>
      </c>
    </row>
    <row r="948" spans="49:49" ht="15" customHeight="1" x14ac:dyDescent="0.35">
      <c r="AW948" s="114">
        <v>659</v>
      </c>
    </row>
    <row r="949" spans="49:49" ht="15" customHeight="1" x14ac:dyDescent="0.35">
      <c r="AW949" s="114">
        <v>660</v>
      </c>
    </row>
    <row r="950" spans="49:49" ht="15" customHeight="1" x14ac:dyDescent="0.35">
      <c r="AW950" s="114">
        <v>661</v>
      </c>
    </row>
    <row r="951" spans="49:49" ht="15" customHeight="1" x14ac:dyDescent="0.35">
      <c r="AW951" s="114">
        <v>662</v>
      </c>
    </row>
    <row r="952" spans="49:49" ht="15" customHeight="1" x14ac:dyDescent="0.35">
      <c r="AW952" s="114">
        <v>663</v>
      </c>
    </row>
    <row r="953" spans="49:49" ht="15" customHeight="1" x14ac:dyDescent="0.35">
      <c r="AW953" s="114">
        <v>664</v>
      </c>
    </row>
    <row r="954" spans="49:49" ht="15" customHeight="1" x14ac:dyDescent="0.35">
      <c r="AW954" s="114">
        <v>665</v>
      </c>
    </row>
    <row r="955" spans="49:49" ht="15" customHeight="1" x14ac:dyDescent="0.35">
      <c r="AW955" s="114">
        <v>666</v>
      </c>
    </row>
    <row r="956" spans="49:49" ht="15" customHeight="1" x14ac:dyDescent="0.35">
      <c r="AW956" s="114">
        <v>667</v>
      </c>
    </row>
    <row r="957" spans="49:49" ht="15" customHeight="1" x14ac:dyDescent="0.35">
      <c r="AW957" s="114">
        <v>668</v>
      </c>
    </row>
    <row r="958" spans="49:49" ht="15" customHeight="1" x14ac:dyDescent="0.35">
      <c r="AW958" s="114">
        <v>669</v>
      </c>
    </row>
    <row r="959" spans="49:49" ht="15" customHeight="1" x14ac:dyDescent="0.35">
      <c r="AW959" s="114">
        <v>670</v>
      </c>
    </row>
    <row r="960" spans="49:49" ht="15" customHeight="1" x14ac:dyDescent="0.35">
      <c r="AW960" s="114">
        <v>671</v>
      </c>
    </row>
    <row r="961" spans="49:49" ht="15" customHeight="1" x14ac:dyDescent="0.35">
      <c r="AW961" s="114">
        <v>672</v>
      </c>
    </row>
    <row r="962" spans="49:49" ht="15" customHeight="1" x14ac:dyDescent="0.35">
      <c r="AW962" s="114">
        <v>673</v>
      </c>
    </row>
    <row r="963" spans="49:49" ht="15" customHeight="1" x14ac:dyDescent="0.35">
      <c r="AW963" s="114">
        <v>674</v>
      </c>
    </row>
    <row r="964" spans="49:49" ht="15" customHeight="1" x14ac:dyDescent="0.35">
      <c r="AW964" s="114">
        <v>675</v>
      </c>
    </row>
    <row r="965" spans="49:49" ht="15" customHeight="1" x14ac:dyDescent="0.35">
      <c r="AW965" s="114">
        <v>676</v>
      </c>
    </row>
    <row r="966" spans="49:49" ht="15" customHeight="1" x14ac:dyDescent="0.35">
      <c r="AW966" s="114">
        <v>677</v>
      </c>
    </row>
    <row r="967" spans="49:49" ht="15" customHeight="1" x14ac:dyDescent="0.35">
      <c r="AW967" s="114">
        <v>678</v>
      </c>
    </row>
    <row r="968" spans="49:49" ht="15" customHeight="1" x14ac:dyDescent="0.35">
      <c r="AW968" s="114">
        <v>679</v>
      </c>
    </row>
    <row r="969" spans="49:49" ht="15" customHeight="1" x14ac:dyDescent="0.35">
      <c r="AW969" s="114">
        <v>680</v>
      </c>
    </row>
    <row r="970" spans="49:49" ht="15" customHeight="1" x14ac:dyDescent="0.35">
      <c r="AW970" s="114">
        <v>681</v>
      </c>
    </row>
    <row r="971" spans="49:49" ht="15" customHeight="1" x14ac:dyDescent="0.35">
      <c r="AW971" s="114">
        <v>682</v>
      </c>
    </row>
    <row r="972" spans="49:49" ht="15" customHeight="1" x14ac:dyDescent="0.35">
      <c r="AW972" s="114">
        <v>683</v>
      </c>
    </row>
    <row r="973" spans="49:49" ht="15" customHeight="1" x14ac:dyDescent="0.35">
      <c r="AW973" s="114">
        <v>684</v>
      </c>
    </row>
    <row r="974" spans="49:49" ht="15" customHeight="1" x14ac:dyDescent="0.35">
      <c r="AW974" s="114">
        <v>685</v>
      </c>
    </row>
    <row r="975" spans="49:49" ht="15" customHeight="1" x14ac:dyDescent="0.35">
      <c r="AW975" s="114">
        <v>686</v>
      </c>
    </row>
    <row r="976" spans="49:49" ht="15" customHeight="1" x14ac:dyDescent="0.35">
      <c r="AW976" s="114">
        <v>687</v>
      </c>
    </row>
    <row r="977" spans="49:49" ht="15" customHeight="1" x14ac:dyDescent="0.35">
      <c r="AW977" s="114">
        <v>688</v>
      </c>
    </row>
    <row r="978" spans="49:49" ht="15" customHeight="1" x14ac:dyDescent="0.35">
      <c r="AW978" s="114">
        <v>689</v>
      </c>
    </row>
    <row r="979" spans="49:49" ht="15" customHeight="1" x14ac:dyDescent="0.35">
      <c r="AW979" s="114">
        <v>690</v>
      </c>
    </row>
    <row r="980" spans="49:49" ht="15" customHeight="1" x14ac:dyDescent="0.35">
      <c r="AW980" s="114">
        <v>691</v>
      </c>
    </row>
    <row r="981" spans="49:49" ht="15" customHeight="1" x14ac:dyDescent="0.35">
      <c r="AW981" s="114">
        <v>692</v>
      </c>
    </row>
    <row r="982" spans="49:49" ht="15" customHeight="1" x14ac:dyDescent="0.35">
      <c r="AW982" s="114">
        <v>693</v>
      </c>
    </row>
    <row r="983" spans="49:49" ht="15" customHeight="1" x14ac:dyDescent="0.35">
      <c r="AW983" s="114">
        <v>694</v>
      </c>
    </row>
    <row r="984" spans="49:49" ht="15" customHeight="1" x14ac:dyDescent="0.35">
      <c r="AW984" s="114">
        <v>695</v>
      </c>
    </row>
    <row r="985" spans="49:49" ht="15" customHeight="1" x14ac:dyDescent="0.35">
      <c r="AW985" s="114">
        <v>696</v>
      </c>
    </row>
    <row r="986" spans="49:49" ht="15" customHeight="1" x14ac:dyDescent="0.35">
      <c r="AW986" s="114">
        <v>697</v>
      </c>
    </row>
    <row r="987" spans="49:49" ht="15" customHeight="1" x14ac:dyDescent="0.35">
      <c r="AW987" s="114">
        <v>698</v>
      </c>
    </row>
    <row r="988" spans="49:49" ht="15" customHeight="1" x14ac:dyDescent="0.35">
      <c r="AW988" s="114">
        <v>699</v>
      </c>
    </row>
    <row r="989" spans="49:49" ht="15" customHeight="1" x14ac:dyDescent="0.35">
      <c r="AW989" s="114">
        <v>700</v>
      </c>
    </row>
    <row r="990" spans="49:49" ht="15" customHeight="1" x14ac:dyDescent="0.35">
      <c r="AW990" s="114">
        <v>701</v>
      </c>
    </row>
    <row r="991" spans="49:49" ht="15" customHeight="1" x14ac:dyDescent="0.35">
      <c r="AW991" s="114">
        <v>702</v>
      </c>
    </row>
    <row r="992" spans="49:49" ht="15" customHeight="1" x14ac:dyDescent="0.35">
      <c r="AW992" s="114">
        <v>703</v>
      </c>
    </row>
    <row r="993" spans="49:49" ht="15" customHeight="1" x14ac:dyDescent="0.35">
      <c r="AW993" s="114">
        <v>704</v>
      </c>
    </row>
    <row r="994" spans="49:49" ht="15" customHeight="1" x14ac:dyDescent="0.35">
      <c r="AW994" s="114">
        <v>705</v>
      </c>
    </row>
    <row r="995" spans="49:49" ht="15" customHeight="1" x14ac:dyDescent="0.35">
      <c r="AW995" s="114">
        <v>706</v>
      </c>
    </row>
    <row r="996" spans="49:49" ht="15" customHeight="1" x14ac:dyDescent="0.35">
      <c r="AW996" s="114">
        <v>707</v>
      </c>
    </row>
    <row r="997" spans="49:49" ht="15" customHeight="1" x14ac:dyDescent="0.35">
      <c r="AW997" s="114">
        <v>708</v>
      </c>
    </row>
    <row r="998" spans="49:49" ht="15" customHeight="1" x14ac:dyDescent="0.35">
      <c r="AW998" s="114">
        <v>709</v>
      </c>
    </row>
    <row r="999" spans="49:49" ht="15" customHeight="1" x14ac:dyDescent="0.35">
      <c r="AW999" s="114">
        <v>710</v>
      </c>
    </row>
    <row r="1000" spans="49:49" ht="15" customHeight="1" x14ac:dyDescent="0.35">
      <c r="AW1000" s="114">
        <v>711</v>
      </c>
    </row>
    <row r="1001" spans="49:49" ht="15" customHeight="1" x14ac:dyDescent="0.35">
      <c r="AW1001" s="114">
        <v>712</v>
      </c>
    </row>
    <row r="1002" spans="49:49" ht="15" customHeight="1" x14ac:dyDescent="0.35">
      <c r="AW1002" s="114">
        <v>713</v>
      </c>
    </row>
    <row r="1003" spans="49:49" ht="15" customHeight="1" x14ac:dyDescent="0.35">
      <c r="AW1003" s="114">
        <v>714</v>
      </c>
    </row>
    <row r="1004" spans="49:49" ht="15" customHeight="1" x14ac:dyDescent="0.35">
      <c r="AW1004" s="114">
        <v>715</v>
      </c>
    </row>
    <row r="1005" spans="49:49" ht="15" customHeight="1" x14ac:dyDescent="0.35">
      <c r="AW1005" s="114">
        <v>716</v>
      </c>
    </row>
    <row r="1006" spans="49:49" ht="15" customHeight="1" x14ac:dyDescent="0.35">
      <c r="AW1006" s="114">
        <v>717</v>
      </c>
    </row>
    <row r="1007" spans="49:49" ht="15" customHeight="1" x14ac:dyDescent="0.35">
      <c r="AW1007" s="114">
        <v>718</v>
      </c>
    </row>
    <row r="1008" spans="49:49" ht="15" customHeight="1" x14ac:dyDescent="0.35">
      <c r="AW1008" s="114">
        <v>719</v>
      </c>
    </row>
    <row r="1009" spans="49:49" ht="15" customHeight="1" x14ac:dyDescent="0.35">
      <c r="AW1009" s="114">
        <v>720</v>
      </c>
    </row>
    <row r="1010" spans="49:49" ht="15" customHeight="1" x14ac:dyDescent="0.35">
      <c r="AW1010" s="114">
        <v>721</v>
      </c>
    </row>
    <row r="1011" spans="49:49" ht="15" customHeight="1" x14ac:dyDescent="0.35">
      <c r="AW1011" s="114">
        <v>722</v>
      </c>
    </row>
    <row r="1012" spans="49:49" ht="15" customHeight="1" x14ac:dyDescent="0.35">
      <c r="AW1012" s="114">
        <v>723</v>
      </c>
    </row>
    <row r="1013" spans="49:49" ht="15" customHeight="1" x14ac:dyDescent="0.35">
      <c r="AW1013" s="114">
        <v>724</v>
      </c>
    </row>
    <row r="1014" spans="49:49" ht="15" customHeight="1" x14ac:dyDescent="0.35">
      <c r="AW1014" s="114">
        <v>725</v>
      </c>
    </row>
    <row r="1015" spans="49:49" ht="15" customHeight="1" x14ac:dyDescent="0.35">
      <c r="AW1015" s="114">
        <v>726</v>
      </c>
    </row>
    <row r="1016" spans="49:49" ht="15" customHeight="1" x14ac:dyDescent="0.35">
      <c r="AW1016" s="114">
        <v>727</v>
      </c>
    </row>
    <row r="1017" spans="49:49" ht="15" customHeight="1" x14ac:dyDescent="0.35">
      <c r="AW1017" s="114">
        <v>728</v>
      </c>
    </row>
    <row r="1018" spans="49:49" ht="15" customHeight="1" x14ac:dyDescent="0.35">
      <c r="AW1018" s="114">
        <v>729</v>
      </c>
    </row>
    <row r="1019" spans="49:49" ht="15" customHeight="1" x14ac:dyDescent="0.35">
      <c r="AW1019" s="114">
        <v>730</v>
      </c>
    </row>
    <row r="1020" spans="49:49" ht="15" customHeight="1" x14ac:dyDescent="0.35">
      <c r="AW1020" s="114">
        <v>731</v>
      </c>
    </row>
    <row r="1021" spans="49:49" ht="15" customHeight="1" x14ac:dyDescent="0.35">
      <c r="AW1021" s="114">
        <v>732</v>
      </c>
    </row>
    <row r="1022" spans="49:49" ht="15" customHeight="1" x14ac:dyDescent="0.35">
      <c r="AW1022" s="114">
        <v>733</v>
      </c>
    </row>
    <row r="1023" spans="49:49" ht="15" customHeight="1" x14ac:dyDescent="0.35">
      <c r="AW1023" s="114">
        <v>734</v>
      </c>
    </row>
    <row r="1024" spans="49:49" ht="15" customHeight="1" x14ac:dyDescent="0.35">
      <c r="AW1024" s="114">
        <v>735</v>
      </c>
    </row>
    <row r="1025" spans="49:49" ht="15" customHeight="1" x14ac:dyDescent="0.35">
      <c r="AW1025" s="114">
        <v>736</v>
      </c>
    </row>
    <row r="1026" spans="49:49" ht="15" customHeight="1" x14ac:dyDescent="0.35">
      <c r="AW1026" s="114">
        <v>737</v>
      </c>
    </row>
    <row r="1027" spans="49:49" ht="15" customHeight="1" x14ac:dyDescent="0.35">
      <c r="AW1027" s="114">
        <v>738</v>
      </c>
    </row>
    <row r="1028" spans="49:49" ht="15" customHeight="1" x14ac:dyDescent="0.35">
      <c r="AW1028" s="114">
        <v>739</v>
      </c>
    </row>
    <row r="1029" spans="49:49" ht="15" customHeight="1" x14ac:dyDescent="0.35">
      <c r="AW1029" s="114">
        <v>740</v>
      </c>
    </row>
    <row r="1030" spans="49:49" ht="15" customHeight="1" x14ac:dyDescent="0.35">
      <c r="AW1030" s="114">
        <v>741</v>
      </c>
    </row>
    <row r="1031" spans="49:49" ht="15" customHeight="1" x14ac:dyDescent="0.35">
      <c r="AW1031" s="114">
        <v>742</v>
      </c>
    </row>
    <row r="1032" spans="49:49" ht="15" customHeight="1" x14ac:dyDescent="0.35">
      <c r="AW1032" s="114">
        <v>743</v>
      </c>
    </row>
    <row r="1033" spans="49:49" ht="15" customHeight="1" x14ac:dyDescent="0.35">
      <c r="AW1033" s="114">
        <v>744</v>
      </c>
    </row>
    <row r="1034" spans="49:49" ht="15" customHeight="1" x14ac:dyDescent="0.35">
      <c r="AW1034" s="114">
        <v>745</v>
      </c>
    </row>
    <row r="1035" spans="49:49" ht="15" customHeight="1" x14ac:dyDescent="0.35">
      <c r="AW1035" s="114">
        <v>746</v>
      </c>
    </row>
    <row r="1036" spans="49:49" ht="15" customHeight="1" x14ac:dyDescent="0.35">
      <c r="AW1036" s="114">
        <v>747</v>
      </c>
    </row>
    <row r="1037" spans="49:49" ht="15" customHeight="1" x14ac:dyDescent="0.35">
      <c r="AW1037" s="114">
        <v>748</v>
      </c>
    </row>
    <row r="1038" spans="49:49" ht="15" customHeight="1" x14ac:dyDescent="0.35">
      <c r="AW1038" s="114">
        <v>749</v>
      </c>
    </row>
    <row r="1039" spans="49:49" ht="15" customHeight="1" x14ac:dyDescent="0.35">
      <c r="AW1039" s="114">
        <v>750</v>
      </c>
    </row>
    <row r="1040" spans="49:49" ht="15" customHeight="1" x14ac:dyDescent="0.35">
      <c r="AW1040" s="114">
        <v>751</v>
      </c>
    </row>
    <row r="1041" spans="49:49" ht="15" customHeight="1" x14ac:dyDescent="0.35">
      <c r="AW1041" s="114">
        <v>752</v>
      </c>
    </row>
    <row r="1042" spans="49:49" ht="15" customHeight="1" x14ac:dyDescent="0.35">
      <c r="AW1042" s="114">
        <v>753</v>
      </c>
    </row>
    <row r="1043" spans="49:49" ht="15" customHeight="1" x14ac:dyDescent="0.35">
      <c r="AW1043" s="114">
        <v>754</v>
      </c>
    </row>
    <row r="1044" spans="49:49" ht="15" customHeight="1" x14ac:dyDescent="0.35">
      <c r="AW1044" s="114">
        <v>755</v>
      </c>
    </row>
    <row r="1045" spans="49:49" ht="15" customHeight="1" x14ac:dyDescent="0.35">
      <c r="AW1045" s="114">
        <v>756</v>
      </c>
    </row>
    <row r="1046" spans="49:49" ht="15" customHeight="1" x14ac:dyDescent="0.35">
      <c r="AW1046" s="114">
        <v>757</v>
      </c>
    </row>
    <row r="1047" spans="49:49" ht="15" customHeight="1" x14ac:dyDescent="0.35">
      <c r="AW1047" s="114">
        <v>758</v>
      </c>
    </row>
    <row r="1048" spans="49:49" ht="15" customHeight="1" x14ac:dyDescent="0.35">
      <c r="AW1048" s="114">
        <v>759</v>
      </c>
    </row>
    <row r="1049" spans="49:49" ht="15" customHeight="1" x14ac:dyDescent="0.35">
      <c r="AW1049" s="114">
        <v>760</v>
      </c>
    </row>
    <row r="1050" spans="49:49" ht="15" customHeight="1" x14ac:dyDescent="0.35">
      <c r="AW1050" s="114">
        <v>761</v>
      </c>
    </row>
    <row r="1051" spans="49:49" ht="15" customHeight="1" x14ac:dyDescent="0.35">
      <c r="AW1051" s="114">
        <v>762</v>
      </c>
    </row>
    <row r="1052" spans="49:49" ht="15" customHeight="1" x14ac:dyDescent="0.35">
      <c r="AW1052" s="114">
        <v>763</v>
      </c>
    </row>
    <row r="1053" spans="49:49" ht="15" customHeight="1" x14ac:dyDescent="0.35">
      <c r="AW1053" s="114">
        <v>764</v>
      </c>
    </row>
    <row r="1054" spans="49:49" ht="15" customHeight="1" x14ac:dyDescent="0.35">
      <c r="AW1054" s="114">
        <v>765</v>
      </c>
    </row>
    <row r="1055" spans="49:49" ht="15" customHeight="1" x14ac:dyDescent="0.35">
      <c r="AW1055" s="114">
        <v>766</v>
      </c>
    </row>
    <row r="1056" spans="49:49" ht="15" customHeight="1" x14ac:dyDescent="0.35">
      <c r="AW1056" s="114">
        <v>767</v>
      </c>
    </row>
    <row r="1057" spans="49:49" ht="15" customHeight="1" x14ac:dyDescent="0.35">
      <c r="AW1057" s="114">
        <v>768</v>
      </c>
    </row>
    <row r="1058" spans="49:49" ht="15" customHeight="1" x14ac:dyDescent="0.35">
      <c r="AW1058" s="114">
        <v>769</v>
      </c>
    </row>
    <row r="1059" spans="49:49" ht="15" customHeight="1" x14ac:dyDescent="0.35">
      <c r="AW1059" s="114">
        <v>770</v>
      </c>
    </row>
    <row r="1060" spans="49:49" ht="15" customHeight="1" x14ac:dyDescent="0.35">
      <c r="AW1060" s="114">
        <v>771</v>
      </c>
    </row>
    <row r="1061" spans="49:49" ht="15" customHeight="1" x14ac:dyDescent="0.35">
      <c r="AW1061" s="114">
        <v>772</v>
      </c>
    </row>
    <row r="1062" spans="49:49" ht="15" customHeight="1" x14ac:dyDescent="0.35">
      <c r="AW1062" s="114">
        <v>773</v>
      </c>
    </row>
    <row r="1063" spans="49:49" ht="15" customHeight="1" x14ac:dyDescent="0.35">
      <c r="AW1063" s="114">
        <v>774</v>
      </c>
    </row>
    <row r="1064" spans="49:49" ht="15" customHeight="1" x14ac:dyDescent="0.35">
      <c r="AW1064" s="114">
        <v>775</v>
      </c>
    </row>
    <row r="1065" spans="49:49" ht="15" customHeight="1" x14ac:dyDescent="0.35">
      <c r="AW1065" s="114">
        <v>776</v>
      </c>
    </row>
    <row r="1066" spans="49:49" ht="15" customHeight="1" x14ac:dyDescent="0.35">
      <c r="AW1066" s="114">
        <v>777</v>
      </c>
    </row>
    <row r="1067" spans="49:49" ht="15" customHeight="1" x14ac:dyDescent="0.35">
      <c r="AW1067" s="114">
        <v>778</v>
      </c>
    </row>
    <row r="1068" spans="49:49" ht="15" customHeight="1" x14ac:dyDescent="0.35">
      <c r="AW1068" s="114">
        <v>779</v>
      </c>
    </row>
    <row r="1069" spans="49:49" ht="15" customHeight="1" x14ac:dyDescent="0.35">
      <c r="AW1069" s="114">
        <v>780</v>
      </c>
    </row>
    <row r="1070" spans="49:49" ht="15" customHeight="1" x14ac:dyDescent="0.35">
      <c r="AW1070" s="114">
        <v>781</v>
      </c>
    </row>
    <row r="1071" spans="49:49" ht="15" customHeight="1" x14ac:dyDescent="0.35">
      <c r="AW1071" s="114">
        <v>782</v>
      </c>
    </row>
    <row r="1072" spans="49:49" ht="15" customHeight="1" x14ac:dyDescent="0.35">
      <c r="AW1072" s="114">
        <v>783</v>
      </c>
    </row>
    <row r="1073" spans="49:49" ht="15" customHeight="1" x14ac:dyDescent="0.35">
      <c r="AW1073" s="114">
        <v>784</v>
      </c>
    </row>
    <row r="1074" spans="49:49" ht="15" customHeight="1" x14ac:dyDescent="0.35">
      <c r="AW1074" s="114">
        <v>785</v>
      </c>
    </row>
    <row r="1075" spans="49:49" ht="15" customHeight="1" x14ac:dyDescent="0.35">
      <c r="AW1075" s="114">
        <v>786</v>
      </c>
    </row>
    <row r="1076" spans="49:49" ht="15" customHeight="1" x14ac:dyDescent="0.35">
      <c r="AW1076" s="114">
        <v>787</v>
      </c>
    </row>
    <row r="1077" spans="49:49" ht="15" customHeight="1" x14ac:dyDescent="0.35">
      <c r="AW1077" s="114">
        <v>788</v>
      </c>
    </row>
    <row r="1078" spans="49:49" ht="15" customHeight="1" x14ac:dyDescent="0.35">
      <c r="AW1078" s="114">
        <v>789</v>
      </c>
    </row>
    <row r="1079" spans="49:49" ht="15" customHeight="1" x14ac:dyDescent="0.35">
      <c r="AW1079" s="114">
        <v>790</v>
      </c>
    </row>
    <row r="1080" spans="49:49" ht="15" customHeight="1" x14ac:dyDescent="0.35">
      <c r="AW1080" s="114">
        <v>791</v>
      </c>
    </row>
    <row r="1081" spans="49:49" ht="15" customHeight="1" x14ac:dyDescent="0.35">
      <c r="AW1081" s="114">
        <v>792</v>
      </c>
    </row>
    <row r="1082" spans="49:49" ht="15" customHeight="1" x14ac:dyDescent="0.35">
      <c r="AW1082" s="114">
        <v>793</v>
      </c>
    </row>
    <row r="1083" spans="49:49" ht="15" customHeight="1" x14ac:dyDescent="0.35">
      <c r="AW1083" s="114">
        <v>794</v>
      </c>
    </row>
    <row r="1084" spans="49:49" ht="15" customHeight="1" x14ac:dyDescent="0.35">
      <c r="AW1084" s="114">
        <v>795</v>
      </c>
    </row>
    <row r="1085" spans="49:49" ht="15" customHeight="1" x14ac:dyDescent="0.35">
      <c r="AW1085" s="114">
        <v>796</v>
      </c>
    </row>
    <row r="1086" spans="49:49" ht="15" customHeight="1" x14ac:dyDescent="0.35">
      <c r="AW1086" s="114">
        <v>797</v>
      </c>
    </row>
    <row r="1087" spans="49:49" ht="15" customHeight="1" x14ac:dyDescent="0.35">
      <c r="AW1087" s="114">
        <v>798</v>
      </c>
    </row>
    <row r="1088" spans="49:49" ht="15" customHeight="1" x14ac:dyDescent="0.35">
      <c r="AW1088" s="114">
        <v>799</v>
      </c>
    </row>
    <row r="1089" spans="49:49" ht="15" customHeight="1" x14ac:dyDescent="0.35">
      <c r="AW1089" s="114">
        <v>800</v>
      </c>
    </row>
    <row r="1090" spans="49:49" ht="15" customHeight="1" x14ac:dyDescent="0.35">
      <c r="AW1090" s="114">
        <v>801</v>
      </c>
    </row>
    <row r="1091" spans="49:49" ht="15" customHeight="1" x14ac:dyDescent="0.35">
      <c r="AW1091" s="114">
        <v>802</v>
      </c>
    </row>
    <row r="1092" spans="49:49" ht="15" customHeight="1" x14ac:dyDescent="0.35">
      <c r="AW1092" s="114">
        <v>803</v>
      </c>
    </row>
    <row r="1093" spans="49:49" ht="15" customHeight="1" x14ac:dyDescent="0.35">
      <c r="AW1093" s="114">
        <v>804</v>
      </c>
    </row>
    <row r="1094" spans="49:49" ht="15" customHeight="1" x14ac:dyDescent="0.35">
      <c r="AW1094" s="114">
        <v>805</v>
      </c>
    </row>
    <row r="1095" spans="49:49" ht="15" customHeight="1" x14ac:dyDescent="0.35">
      <c r="AW1095" s="114">
        <v>806</v>
      </c>
    </row>
    <row r="1096" spans="49:49" ht="15" customHeight="1" x14ac:dyDescent="0.35">
      <c r="AW1096" s="114">
        <v>807</v>
      </c>
    </row>
    <row r="1097" spans="49:49" ht="15" customHeight="1" x14ac:dyDescent="0.35">
      <c r="AW1097" s="114">
        <v>808</v>
      </c>
    </row>
    <row r="1098" spans="49:49" ht="15" customHeight="1" x14ac:dyDescent="0.35">
      <c r="AW1098" s="114">
        <v>809</v>
      </c>
    </row>
    <row r="1099" spans="49:49" ht="15" customHeight="1" x14ac:dyDescent="0.35">
      <c r="AW1099" s="114">
        <v>810</v>
      </c>
    </row>
    <row r="1100" spans="49:49" ht="15" customHeight="1" x14ac:dyDescent="0.35">
      <c r="AW1100" s="114">
        <v>811</v>
      </c>
    </row>
    <row r="1101" spans="49:49" ht="15" customHeight="1" x14ac:dyDescent="0.35">
      <c r="AW1101" s="114">
        <v>812</v>
      </c>
    </row>
    <row r="1102" spans="49:49" ht="15" customHeight="1" x14ac:dyDescent="0.35">
      <c r="AW1102" s="114">
        <v>813</v>
      </c>
    </row>
    <row r="1103" spans="49:49" ht="15" customHeight="1" x14ac:dyDescent="0.35">
      <c r="AW1103" s="114">
        <v>814</v>
      </c>
    </row>
    <row r="1104" spans="49:49" ht="15" customHeight="1" x14ac:dyDescent="0.35">
      <c r="AW1104" s="114">
        <v>815</v>
      </c>
    </row>
    <row r="1105" spans="49:49" ht="15" customHeight="1" x14ac:dyDescent="0.35">
      <c r="AW1105" s="114">
        <v>816</v>
      </c>
    </row>
    <row r="1106" spans="49:49" ht="15" customHeight="1" x14ac:dyDescent="0.35">
      <c r="AW1106" s="114">
        <v>817</v>
      </c>
    </row>
    <row r="1107" spans="49:49" ht="15" customHeight="1" x14ac:dyDescent="0.35">
      <c r="AW1107" s="114">
        <v>818</v>
      </c>
    </row>
    <row r="1108" spans="49:49" ht="15" customHeight="1" x14ac:dyDescent="0.35">
      <c r="AW1108" s="114">
        <v>819</v>
      </c>
    </row>
    <row r="1109" spans="49:49" ht="15" customHeight="1" x14ac:dyDescent="0.35">
      <c r="AW1109" s="114">
        <v>820</v>
      </c>
    </row>
    <row r="1110" spans="49:49" ht="15" customHeight="1" x14ac:dyDescent="0.35">
      <c r="AW1110" s="114">
        <v>821</v>
      </c>
    </row>
    <row r="1111" spans="49:49" ht="15" customHeight="1" x14ac:dyDescent="0.35">
      <c r="AW1111" s="114">
        <v>822</v>
      </c>
    </row>
    <row r="1112" spans="49:49" ht="15" customHeight="1" x14ac:dyDescent="0.35">
      <c r="AW1112" s="114">
        <v>823</v>
      </c>
    </row>
    <row r="1113" spans="49:49" ht="15" customHeight="1" x14ac:dyDescent="0.35">
      <c r="AW1113" s="114">
        <v>824</v>
      </c>
    </row>
    <row r="1114" spans="49:49" ht="15" customHeight="1" x14ac:dyDescent="0.35">
      <c r="AW1114" s="114">
        <v>825</v>
      </c>
    </row>
    <row r="1115" spans="49:49" ht="15" customHeight="1" x14ac:dyDescent="0.35">
      <c r="AW1115" s="114">
        <v>826</v>
      </c>
    </row>
    <row r="1116" spans="49:49" ht="15" customHeight="1" x14ac:dyDescent="0.35">
      <c r="AW1116" s="114">
        <v>827</v>
      </c>
    </row>
    <row r="1117" spans="49:49" ht="15" customHeight="1" x14ac:dyDescent="0.35">
      <c r="AW1117" s="114">
        <v>828</v>
      </c>
    </row>
    <row r="1118" spans="49:49" ht="15" customHeight="1" x14ac:dyDescent="0.35">
      <c r="AW1118" s="114">
        <v>829</v>
      </c>
    </row>
    <row r="1119" spans="49:49" ht="15" customHeight="1" x14ac:dyDescent="0.35">
      <c r="AW1119" s="114">
        <v>830</v>
      </c>
    </row>
    <row r="1120" spans="49:49" ht="15" customHeight="1" x14ac:dyDescent="0.35">
      <c r="AW1120" s="114">
        <v>831</v>
      </c>
    </row>
    <row r="1121" spans="49:49" ht="15" customHeight="1" x14ac:dyDescent="0.35">
      <c r="AW1121" s="114">
        <v>832</v>
      </c>
    </row>
    <row r="1122" spans="49:49" ht="15" customHeight="1" x14ac:dyDescent="0.35">
      <c r="AW1122" s="114">
        <v>833</v>
      </c>
    </row>
    <row r="1123" spans="49:49" ht="15" customHeight="1" x14ac:dyDescent="0.35">
      <c r="AW1123" s="114">
        <v>834</v>
      </c>
    </row>
    <row r="1124" spans="49:49" ht="15" customHeight="1" x14ac:dyDescent="0.35">
      <c r="AW1124" s="114">
        <v>835</v>
      </c>
    </row>
    <row r="1125" spans="49:49" ht="15" customHeight="1" x14ac:dyDescent="0.35">
      <c r="AW1125" s="114">
        <v>836</v>
      </c>
    </row>
    <row r="1126" spans="49:49" ht="15" customHeight="1" x14ac:dyDescent="0.35">
      <c r="AW1126" s="114">
        <v>837</v>
      </c>
    </row>
    <row r="1127" spans="49:49" ht="15" customHeight="1" x14ac:dyDescent="0.35">
      <c r="AW1127" s="114">
        <v>838</v>
      </c>
    </row>
    <row r="1128" spans="49:49" ht="15" customHeight="1" x14ac:dyDescent="0.35">
      <c r="AW1128" s="114">
        <v>839</v>
      </c>
    </row>
    <row r="1129" spans="49:49" ht="15" customHeight="1" x14ac:dyDescent="0.35">
      <c r="AW1129" s="114">
        <v>840</v>
      </c>
    </row>
    <row r="1130" spans="49:49" ht="15" customHeight="1" x14ac:dyDescent="0.35">
      <c r="AW1130" s="114">
        <v>841</v>
      </c>
    </row>
    <row r="1131" spans="49:49" ht="15" customHeight="1" x14ac:dyDescent="0.35">
      <c r="AW1131" s="114">
        <v>842</v>
      </c>
    </row>
    <row r="1132" spans="49:49" ht="15" customHeight="1" x14ac:dyDescent="0.35">
      <c r="AW1132" s="114">
        <v>843</v>
      </c>
    </row>
    <row r="1133" spans="49:49" ht="15" customHeight="1" x14ac:dyDescent="0.35">
      <c r="AW1133" s="114">
        <v>844</v>
      </c>
    </row>
    <row r="1134" spans="49:49" ht="15" customHeight="1" x14ac:dyDescent="0.35">
      <c r="AW1134" s="114">
        <v>845</v>
      </c>
    </row>
    <row r="1135" spans="49:49" ht="15" customHeight="1" x14ac:dyDescent="0.35">
      <c r="AW1135" s="114">
        <v>846</v>
      </c>
    </row>
    <row r="1136" spans="49:49" ht="15" customHeight="1" x14ac:dyDescent="0.35">
      <c r="AW1136" s="114">
        <v>847</v>
      </c>
    </row>
    <row r="1137" spans="49:49" ht="15" customHeight="1" x14ac:dyDescent="0.35">
      <c r="AW1137" s="114">
        <v>848</v>
      </c>
    </row>
    <row r="1138" spans="49:49" ht="15" customHeight="1" x14ac:dyDescent="0.35">
      <c r="AW1138" s="114">
        <v>849</v>
      </c>
    </row>
    <row r="1139" spans="49:49" ht="15" customHeight="1" x14ac:dyDescent="0.35">
      <c r="AW1139" s="114">
        <v>850</v>
      </c>
    </row>
    <row r="1140" spans="49:49" ht="15" customHeight="1" x14ac:dyDescent="0.35">
      <c r="AW1140" s="114">
        <v>851</v>
      </c>
    </row>
    <row r="1141" spans="49:49" ht="15" customHeight="1" x14ac:dyDescent="0.35">
      <c r="AW1141" s="114">
        <v>852</v>
      </c>
    </row>
    <row r="1142" spans="49:49" ht="15" customHeight="1" x14ac:dyDescent="0.35">
      <c r="AW1142" s="114">
        <v>853</v>
      </c>
    </row>
    <row r="1143" spans="49:49" ht="15" customHeight="1" x14ac:dyDescent="0.35">
      <c r="AW1143" s="114">
        <v>854</v>
      </c>
    </row>
    <row r="1144" spans="49:49" ht="15" customHeight="1" x14ac:dyDescent="0.35">
      <c r="AW1144" s="114">
        <v>855</v>
      </c>
    </row>
    <row r="1145" spans="49:49" ht="15" customHeight="1" x14ac:dyDescent="0.35">
      <c r="AW1145" s="114">
        <v>856</v>
      </c>
    </row>
    <row r="1146" spans="49:49" ht="15" customHeight="1" x14ac:dyDescent="0.35">
      <c r="AW1146" s="114">
        <v>857</v>
      </c>
    </row>
    <row r="1147" spans="49:49" ht="15" customHeight="1" x14ac:dyDescent="0.35">
      <c r="AW1147" s="114">
        <v>858</v>
      </c>
    </row>
    <row r="1148" spans="49:49" ht="15" customHeight="1" x14ac:dyDescent="0.35">
      <c r="AW1148" s="114">
        <v>859</v>
      </c>
    </row>
    <row r="1149" spans="49:49" ht="15" customHeight="1" x14ac:dyDescent="0.35">
      <c r="AW1149" s="114">
        <v>860</v>
      </c>
    </row>
    <row r="1150" spans="49:49" ht="15" customHeight="1" x14ac:dyDescent="0.35">
      <c r="AW1150" s="114">
        <v>861</v>
      </c>
    </row>
    <row r="1151" spans="49:49" ht="15" customHeight="1" x14ac:dyDescent="0.35">
      <c r="AW1151" s="114">
        <v>862</v>
      </c>
    </row>
    <row r="1152" spans="49:49" ht="15" customHeight="1" x14ac:dyDescent="0.35">
      <c r="AW1152" s="114">
        <v>863</v>
      </c>
    </row>
    <row r="1153" spans="49:49" ht="15" customHeight="1" x14ac:dyDescent="0.35">
      <c r="AW1153" s="114">
        <v>864</v>
      </c>
    </row>
    <row r="1154" spans="49:49" ht="15" customHeight="1" x14ac:dyDescent="0.35">
      <c r="AW1154" s="114">
        <v>865</v>
      </c>
    </row>
    <row r="1155" spans="49:49" ht="15" customHeight="1" x14ac:dyDescent="0.35">
      <c r="AW1155" s="114">
        <v>866</v>
      </c>
    </row>
    <row r="1156" spans="49:49" ht="15" customHeight="1" x14ac:dyDescent="0.35">
      <c r="AW1156" s="114">
        <v>867</v>
      </c>
    </row>
    <row r="1157" spans="49:49" ht="15" customHeight="1" x14ac:dyDescent="0.35">
      <c r="AW1157" s="114">
        <v>868</v>
      </c>
    </row>
    <row r="1158" spans="49:49" ht="15" customHeight="1" x14ac:dyDescent="0.35">
      <c r="AW1158" s="114">
        <v>869</v>
      </c>
    </row>
    <row r="1159" spans="49:49" ht="15" customHeight="1" x14ac:dyDescent="0.35">
      <c r="AW1159" s="114">
        <v>870</v>
      </c>
    </row>
    <row r="1160" spans="49:49" ht="15" customHeight="1" x14ac:dyDescent="0.35">
      <c r="AW1160" s="114">
        <v>871</v>
      </c>
    </row>
    <row r="1161" spans="49:49" ht="15" customHeight="1" x14ac:dyDescent="0.35">
      <c r="AW1161" s="114">
        <v>872</v>
      </c>
    </row>
    <row r="1162" spans="49:49" ht="15" customHeight="1" x14ac:dyDescent="0.35">
      <c r="AW1162" s="114">
        <v>873</v>
      </c>
    </row>
    <row r="1163" spans="49:49" ht="15" customHeight="1" x14ac:dyDescent="0.35">
      <c r="AW1163" s="114">
        <v>874</v>
      </c>
    </row>
    <row r="1164" spans="49:49" ht="15" customHeight="1" x14ac:dyDescent="0.35">
      <c r="AW1164" s="114">
        <v>875</v>
      </c>
    </row>
    <row r="1165" spans="49:49" ht="15" customHeight="1" x14ac:dyDescent="0.35">
      <c r="AW1165" s="114">
        <v>876</v>
      </c>
    </row>
    <row r="1166" spans="49:49" ht="15" customHeight="1" x14ac:dyDescent="0.35">
      <c r="AW1166" s="114">
        <v>877</v>
      </c>
    </row>
    <row r="1167" spans="49:49" ht="15" customHeight="1" x14ac:dyDescent="0.35">
      <c r="AW1167" s="114">
        <v>878</v>
      </c>
    </row>
    <row r="1168" spans="49:49" ht="15" customHeight="1" x14ac:dyDescent="0.35">
      <c r="AW1168" s="114">
        <v>879</v>
      </c>
    </row>
    <row r="1169" spans="49:49" ht="15" customHeight="1" x14ac:dyDescent="0.35">
      <c r="AW1169" s="114">
        <v>880</v>
      </c>
    </row>
    <row r="1170" spans="49:49" ht="15" customHeight="1" x14ac:dyDescent="0.35">
      <c r="AW1170" s="114">
        <v>881</v>
      </c>
    </row>
    <row r="1171" spans="49:49" ht="15" customHeight="1" x14ac:dyDescent="0.35">
      <c r="AW1171" s="114">
        <v>882</v>
      </c>
    </row>
    <row r="1172" spans="49:49" ht="15" customHeight="1" x14ac:dyDescent="0.35">
      <c r="AW1172" s="114">
        <v>883</v>
      </c>
    </row>
    <row r="1173" spans="49:49" ht="15" customHeight="1" x14ac:dyDescent="0.35">
      <c r="AW1173" s="114">
        <v>884</v>
      </c>
    </row>
    <row r="1174" spans="49:49" ht="15" customHeight="1" x14ac:dyDescent="0.35">
      <c r="AW1174" s="114">
        <v>885</v>
      </c>
    </row>
    <row r="1175" spans="49:49" ht="15" customHeight="1" x14ac:dyDescent="0.35">
      <c r="AW1175" s="114">
        <v>886</v>
      </c>
    </row>
    <row r="1176" spans="49:49" ht="15" customHeight="1" x14ac:dyDescent="0.35">
      <c r="AW1176" s="114">
        <v>887</v>
      </c>
    </row>
    <row r="1177" spans="49:49" ht="15" customHeight="1" x14ac:dyDescent="0.35">
      <c r="AW1177" s="114">
        <v>888</v>
      </c>
    </row>
    <row r="1178" spans="49:49" ht="15" customHeight="1" x14ac:dyDescent="0.35">
      <c r="AW1178" s="114">
        <v>889</v>
      </c>
    </row>
    <row r="1179" spans="49:49" ht="15" customHeight="1" x14ac:dyDescent="0.35">
      <c r="AW1179" s="114">
        <v>890</v>
      </c>
    </row>
    <row r="1180" spans="49:49" ht="15" customHeight="1" x14ac:dyDescent="0.35">
      <c r="AW1180" s="114">
        <v>891</v>
      </c>
    </row>
    <row r="1181" spans="49:49" ht="15" customHeight="1" x14ac:dyDescent="0.35">
      <c r="AW1181" s="114">
        <v>892</v>
      </c>
    </row>
    <row r="1182" spans="49:49" ht="15" customHeight="1" x14ac:dyDescent="0.35">
      <c r="AW1182" s="114">
        <v>893</v>
      </c>
    </row>
    <row r="1183" spans="49:49" ht="15" customHeight="1" x14ac:dyDescent="0.35">
      <c r="AW1183" s="114">
        <v>894</v>
      </c>
    </row>
    <row r="1184" spans="49:49" ht="15" customHeight="1" x14ac:dyDescent="0.35">
      <c r="AW1184" s="114">
        <v>895</v>
      </c>
    </row>
    <row r="1185" spans="49:49" ht="15" customHeight="1" x14ac:dyDescent="0.35">
      <c r="AW1185" s="114">
        <v>896</v>
      </c>
    </row>
    <row r="1186" spans="49:49" ht="15" customHeight="1" x14ac:dyDescent="0.35">
      <c r="AW1186" s="114">
        <v>897</v>
      </c>
    </row>
    <row r="1187" spans="49:49" ht="15" customHeight="1" x14ac:dyDescent="0.35">
      <c r="AW1187" s="114">
        <v>898</v>
      </c>
    </row>
    <row r="1188" spans="49:49" ht="15" customHeight="1" x14ac:dyDescent="0.35">
      <c r="AW1188" s="114">
        <v>899</v>
      </c>
    </row>
    <row r="1189" spans="49:49" ht="15" customHeight="1" x14ac:dyDescent="0.35">
      <c r="AW1189" s="114">
        <v>900</v>
      </c>
    </row>
    <row r="1190" spans="49:49" ht="15" customHeight="1" x14ac:dyDescent="0.35">
      <c r="AW1190" s="114">
        <v>901</v>
      </c>
    </row>
    <row r="1191" spans="49:49" ht="15" customHeight="1" x14ac:dyDescent="0.35">
      <c r="AW1191" s="114">
        <v>902</v>
      </c>
    </row>
    <row r="1192" spans="49:49" ht="15" customHeight="1" x14ac:dyDescent="0.35">
      <c r="AW1192" s="114">
        <v>903</v>
      </c>
    </row>
    <row r="1193" spans="49:49" ht="15" customHeight="1" x14ac:dyDescent="0.35">
      <c r="AW1193" s="114">
        <v>904</v>
      </c>
    </row>
    <row r="1194" spans="49:49" ht="15" customHeight="1" x14ac:dyDescent="0.35">
      <c r="AW1194" s="114">
        <v>905</v>
      </c>
    </row>
    <row r="1195" spans="49:49" ht="15" customHeight="1" x14ac:dyDescent="0.35">
      <c r="AW1195" s="114">
        <v>906</v>
      </c>
    </row>
    <row r="1196" spans="49:49" ht="15" customHeight="1" x14ac:dyDescent="0.35">
      <c r="AW1196" s="114">
        <v>907</v>
      </c>
    </row>
    <row r="1197" spans="49:49" ht="15" customHeight="1" x14ac:dyDescent="0.35">
      <c r="AW1197" s="114">
        <v>908</v>
      </c>
    </row>
    <row r="1198" spans="49:49" ht="15" customHeight="1" x14ac:dyDescent="0.35">
      <c r="AW1198" s="114">
        <v>909</v>
      </c>
    </row>
    <row r="1199" spans="49:49" ht="15" customHeight="1" x14ac:dyDescent="0.35">
      <c r="AW1199" s="114">
        <v>910</v>
      </c>
    </row>
    <row r="1200" spans="49:49" ht="15" customHeight="1" x14ac:dyDescent="0.35">
      <c r="AW1200" s="114">
        <v>911</v>
      </c>
    </row>
    <row r="1201" spans="49:49" ht="15" customHeight="1" x14ac:dyDescent="0.35">
      <c r="AW1201" s="114">
        <v>912</v>
      </c>
    </row>
    <row r="1202" spans="49:49" ht="15" customHeight="1" x14ac:dyDescent="0.35">
      <c r="AW1202" s="114">
        <v>913</v>
      </c>
    </row>
    <row r="1203" spans="49:49" ht="15" customHeight="1" x14ac:dyDescent="0.35">
      <c r="AW1203" s="114">
        <v>914</v>
      </c>
    </row>
    <row r="1204" spans="49:49" ht="15" customHeight="1" x14ac:dyDescent="0.35">
      <c r="AW1204" s="114">
        <v>915</v>
      </c>
    </row>
    <row r="1205" spans="49:49" ht="15" customHeight="1" x14ac:dyDescent="0.35">
      <c r="AW1205" s="114">
        <v>916</v>
      </c>
    </row>
    <row r="1206" spans="49:49" ht="15" customHeight="1" x14ac:dyDescent="0.35">
      <c r="AW1206" s="114">
        <v>917</v>
      </c>
    </row>
    <row r="1207" spans="49:49" ht="15" customHeight="1" x14ac:dyDescent="0.35">
      <c r="AW1207" s="114">
        <v>918</v>
      </c>
    </row>
    <row r="1208" spans="49:49" ht="15" customHeight="1" x14ac:dyDescent="0.35">
      <c r="AW1208" s="114">
        <v>919</v>
      </c>
    </row>
    <row r="1209" spans="49:49" ht="15" customHeight="1" x14ac:dyDescent="0.35">
      <c r="AW1209" s="114">
        <v>920</v>
      </c>
    </row>
    <row r="1210" spans="49:49" ht="15" customHeight="1" x14ac:dyDescent="0.35">
      <c r="AW1210" s="114">
        <v>921</v>
      </c>
    </row>
    <row r="1211" spans="49:49" ht="15" customHeight="1" x14ac:dyDescent="0.35">
      <c r="AW1211" s="114">
        <v>922</v>
      </c>
    </row>
    <row r="1212" spans="49:49" ht="15" customHeight="1" x14ac:dyDescent="0.35">
      <c r="AW1212" s="114">
        <v>923</v>
      </c>
    </row>
    <row r="1213" spans="49:49" ht="15" customHeight="1" x14ac:dyDescent="0.35">
      <c r="AW1213" s="114">
        <v>924</v>
      </c>
    </row>
    <row r="1214" spans="49:49" ht="15" customHeight="1" x14ac:dyDescent="0.35">
      <c r="AW1214" s="114">
        <v>925</v>
      </c>
    </row>
    <row r="1215" spans="49:49" ht="15" customHeight="1" x14ac:dyDescent="0.35">
      <c r="AW1215" s="114">
        <v>926</v>
      </c>
    </row>
    <row r="1216" spans="49:49" ht="15" customHeight="1" x14ac:dyDescent="0.35">
      <c r="AW1216" s="114">
        <v>927</v>
      </c>
    </row>
    <row r="1217" spans="49:49" ht="15" customHeight="1" x14ac:dyDescent="0.35">
      <c r="AW1217" s="114">
        <v>928</v>
      </c>
    </row>
    <row r="1218" spans="49:49" ht="15" customHeight="1" x14ac:dyDescent="0.35">
      <c r="AW1218" s="114">
        <v>929</v>
      </c>
    </row>
    <row r="1219" spans="49:49" ht="15" customHeight="1" x14ac:dyDescent="0.35">
      <c r="AW1219" s="114">
        <v>930</v>
      </c>
    </row>
    <row r="1220" spans="49:49" ht="15" customHeight="1" x14ac:dyDescent="0.35">
      <c r="AW1220" s="114">
        <v>931</v>
      </c>
    </row>
    <row r="1221" spans="49:49" ht="15" customHeight="1" x14ac:dyDescent="0.35">
      <c r="AW1221" s="114">
        <v>932</v>
      </c>
    </row>
    <row r="1222" spans="49:49" ht="15" customHeight="1" x14ac:dyDescent="0.35">
      <c r="AW1222" s="114">
        <v>933</v>
      </c>
    </row>
    <row r="1223" spans="49:49" ht="15" customHeight="1" x14ac:dyDescent="0.35">
      <c r="AW1223" s="114">
        <v>934</v>
      </c>
    </row>
    <row r="1224" spans="49:49" ht="15" customHeight="1" x14ac:dyDescent="0.35">
      <c r="AW1224" s="114">
        <v>935</v>
      </c>
    </row>
    <row r="1225" spans="49:49" ht="15" customHeight="1" x14ac:dyDescent="0.35">
      <c r="AW1225" s="114">
        <v>936</v>
      </c>
    </row>
    <row r="1226" spans="49:49" ht="15" customHeight="1" x14ac:dyDescent="0.35">
      <c r="AW1226" s="114">
        <v>937</v>
      </c>
    </row>
    <row r="1227" spans="49:49" ht="15" customHeight="1" x14ac:dyDescent="0.35">
      <c r="AW1227" s="114">
        <v>938</v>
      </c>
    </row>
    <row r="1228" spans="49:49" ht="15" customHeight="1" x14ac:dyDescent="0.35">
      <c r="AW1228" s="114">
        <v>939</v>
      </c>
    </row>
    <row r="1229" spans="49:49" ht="15" customHeight="1" x14ac:dyDescent="0.35">
      <c r="AW1229" s="114">
        <v>940</v>
      </c>
    </row>
    <row r="1230" spans="49:49" ht="15" customHeight="1" x14ac:dyDescent="0.35">
      <c r="AW1230" s="114">
        <v>941</v>
      </c>
    </row>
    <row r="1231" spans="49:49" ht="15" customHeight="1" x14ac:dyDescent="0.35">
      <c r="AW1231" s="114">
        <v>942</v>
      </c>
    </row>
    <row r="1232" spans="49:49" ht="15" customHeight="1" x14ac:dyDescent="0.35">
      <c r="AW1232" s="114">
        <v>943</v>
      </c>
    </row>
    <row r="1233" spans="49:49" ht="15" customHeight="1" x14ac:dyDescent="0.35">
      <c r="AW1233" s="114">
        <v>944</v>
      </c>
    </row>
    <row r="1234" spans="49:49" ht="15" customHeight="1" x14ac:dyDescent="0.35">
      <c r="AW1234" s="114">
        <v>945</v>
      </c>
    </row>
    <row r="1235" spans="49:49" ht="15" customHeight="1" x14ac:dyDescent="0.35">
      <c r="AW1235" s="114">
        <v>946</v>
      </c>
    </row>
    <row r="1236" spans="49:49" ht="15" customHeight="1" x14ac:dyDescent="0.35">
      <c r="AW1236" s="114">
        <v>947</v>
      </c>
    </row>
    <row r="1237" spans="49:49" ht="15" customHeight="1" x14ac:dyDescent="0.35">
      <c r="AW1237" s="114">
        <v>948</v>
      </c>
    </row>
    <row r="1238" spans="49:49" ht="15" customHeight="1" x14ac:dyDescent="0.35">
      <c r="AW1238" s="114">
        <v>949</v>
      </c>
    </row>
    <row r="1239" spans="49:49" ht="15" customHeight="1" x14ac:dyDescent="0.35">
      <c r="AW1239" s="114">
        <v>950</v>
      </c>
    </row>
    <row r="1240" spans="49:49" ht="15" customHeight="1" x14ac:dyDescent="0.35">
      <c r="AW1240" s="114">
        <v>951</v>
      </c>
    </row>
    <row r="1241" spans="49:49" ht="15" customHeight="1" x14ac:dyDescent="0.35">
      <c r="AW1241" s="114">
        <v>952</v>
      </c>
    </row>
    <row r="1242" spans="49:49" ht="15" customHeight="1" x14ac:dyDescent="0.35">
      <c r="AW1242" s="114">
        <v>953</v>
      </c>
    </row>
    <row r="1243" spans="49:49" ht="15" customHeight="1" x14ac:dyDescent="0.35">
      <c r="AW1243" s="114">
        <v>954</v>
      </c>
    </row>
    <row r="1244" spans="49:49" ht="15" customHeight="1" x14ac:dyDescent="0.35">
      <c r="AW1244" s="114">
        <v>955</v>
      </c>
    </row>
    <row r="1245" spans="49:49" ht="15" customHeight="1" x14ac:dyDescent="0.35">
      <c r="AW1245" s="114">
        <v>956</v>
      </c>
    </row>
    <row r="1246" spans="49:49" ht="15" customHeight="1" x14ac:dyDescent="0.35">
      <c r="AW1246" s="114">
        <v>957</v>
      </c>
    </row>
    <row r="1247" spans="49:49" ht="15" customHeight="1" x14ac:dyDescent="0.35">
      <c r="AW1247" s="114">
        <v>958</v>
      </c>
    </row>
    <row r="1248" spans="49:49" ht="15" customHeight="1" x14ac:dyDescent="0.35">
      <c r="AW1248" s="114">
        <v>959</v>
      </c>
    </row>
    <row r="1249" spans="49:49" ht="15" customHeight="1" x14ac:dyDescent="0.35">
      <c r="AW1249" s="114">
        <v>960</v>
      </c>
    </row>
    <row r="1250" spans="49:49" ht="15" customHeight="1" x14ac:dyDescent="0.35">
      <c r="AW1250" s="114">
        <v>961</v>
      </c>
    </row>
    <row r="1251" spans="49:49" ht="15" customHeight="1" x14ac:dyDescent="0.35">
      <c r="AW1251" s="114">
        <v>962</v>
      </c>
    </row>
    <row r="1252" spans="49:49" ht="15" customHeight="1" x14ac:dyDescent="0.35">
      <c r="AW1252" s="114">
        <v>963</v>
      </c>
    </row>
    <row r="1253" spans="49:49" ht="15" customHeight="1" x14ac:dyDescent="0.35">
      <c r="AW1253" s="114">
        <v>964</v>
      </c>
    </row>
    <row r="1254" spans="49:49" ht="15" customHeight="1" x14ac:dyDescent="0.35">
      <c r="AW1254" s="114">
        <v>965</v>
      </c>
    </row>
    <row r="1255" spans="49:49" ht="15" customHeight="1" x14ac:dyDescent="0.35">
      <c r="AW1255" s="114">
        <v>966</v>
      </c>
    </row>
    <row r="1256" spans="49:49" ht="15" customHeight="1" x14ac:dyDescent="0.35">
      <c r="AW1256" s="114">
        <v>967</v>
      </c>
    </row>
    <row r="1257" spans="49:49" ht="15" customHeight="1" x14ac:dyDescent="0.35">
      <c r="AW1257" s="114">
        <v>968</v>
      </c>
    </row>
    <row r="1258" spans="49:49" ht="15" customHeight="1" x14ac:dyDescent="0.35">
      <c r="AW1258" s="114">
        <v>969</v>
      </c>
    </row>
    <row r="1259" spans="49:49" ht="15" customHeight="1" x14ac:dyDescent="0.35">
      <c r="AW1259" s="114">
        <v>970</v>
      </c>
    </row>
    <row r="1260" spans="49:49" ht="15" customHeight="1" x14ac:dyDescent="0.35">
      <c r="AW1260" s="114">
        <v>971</v>
      </c>
    </row>
    <row r="1261" spans="49:49" ht="15" customHeight="1" x14ac:dyDescent="0.35">
      <c r="AW1261" s="114">
        <v>972</v>
      </c>
    </row>
    <row r="1262" spans="49:49" ht="15" customHeight="1" x14ac:dyDescent="0.35">
      <c r="AW1262" s="114">
        <v>973</v>
      </c>
    </row>
    <row r="1263" spans="49:49" ht="15" customHeight="1" x14ac:dyDescent="0.35">
      <c r="AW1263" s="114">
        <v>974</v>
      </c>
    </row>
    <row r="1264" spans="49:49" ht="15" customHeight="1" x14ac:dyDescent="0.35">
      <c r="AW1264" s="114">
        <v>975</v>
      </c>
    </row>
    <row r="1265" spans="49:49" ht="15" customHeight="1" x14ac:dyDescent="0.35">
      <c r="AW1265" s="114">
        <v>976</v>
      </c>
    </row>
    <row r="1266" spans="49:49" ht="15" customHeight="1" x14ac:dyDescent="0.35">
      <c r="AW1266" s="114">
        <v>977</v>
      </c>
    </row>
    <row r="1267" spans="49:49" ht="15" customHeight="1" x14ac:dyDescent="0.35">
      <c r="AW1267" s="114">
        <v>978</v>
      </c>
    </row>
    <row r="1268" spans="49:49" ht="15" customHeight="1" x14ac:dyDescent="0.35">
      <c r="AW1268" s="114">
        <v>979</v>
      </c>
    </row>
    <row r="1269" spans="49:49" ht="15" customHeight="1" x14ac:dyDescent="0.35">
      <c r="AW1269" s="114">
        <v>980</v>
      </c>
    </row>
    <row r="1270" spans="49:49" ht="15" customHeight="1" x14ac:dyDescent="0.35">
      <c r="AW1270" s="114">
        <v>981</v>
      </c>
    </row>
    <row r="1271" spans="49:49" ht="15" customHeight="1" x14ac:dyDescent="0.35">
      <c r="AW1271" s="114">
        <v>982</v>
      </c>
    </row>
    <row r="1272" spans="49:49" ht="15" customHeight="1" x14ac:dyDescent="0.35">
      <c r="AW1272" s="114">
        <v>983</v>
      </c>
    </row>
    <row r="1273" spans="49:49" ht="15" customHeight="1" x14ac:dyDescent="0.35">
      <c r="AW1273" s="114">
        <v>984</v>
      </c>
    </row>
    <row r="1274" spans="49:49" ht="15" customHeight="1" x14ac:dyDescent="0.35">
      <c r="AW1274" s="114">
        <v>985</v>
      </c>
    </row>
    <row r="1275" spans="49:49" ht="15" customHeight="1" x14ac:dyDescent="0.35">
      <c r="AW1275" s="114">
        <v>986</v>
      </c>
    </row>
    <row r="1276" spans="49:49" ht="15" customHeight="1" x14ac:dyDescent="0.35">
      <c r="AW1276" s="114">
        <v>987</v>
      </c>
    </row>
    <row r="1277" spans="49:49" ht="15" customHeight="1" x14ac:dyDescent="0.35">
      <c r="AW1277" s="114">
        <v>988</v>
      </c>
    </row>
    <row r="1278" spans="49:49" ht="15" customHeight="1" x14ac:dyDescent="0.35">
      <c r="AW1278" s="114">
        <v>989</v>
      </c>
    </row>
    <row r="1279" spans="49:49" ht="15" customHeight="1" x14ac:dyDescent="0.35">
      <c r="AW1279" s="114">
        <v>990</v>
      </c>
    </row>
    <row r="1280" spans="49:49" ht="15" customHeight="1" x14ac:dyDescent="0.35">
      <c r="AW1280" s="114">
        <v>991</v>
      </c>
    </row>
    <row r="1281" spans="49:49" ht="15" customHeight="1" x14ac:dyDescent="0.35">
      <c r="AW1281" s="114">
        <v>992</v>
      </c>
    </row>
    <row r="1282" spans="49:49" ht="15" customHeight="1" x14ac:dyDescent="0.35">
      <c r="AW1282" s="114">
        <v>993</v>
      </c>
    </row>
    <row r="1283" spans="49:49" ht="15" customHeight="1" x14ac:dyDescent="0.35">
      <c r="AW1283" s="114">
        <v>994</v>
      </c>
    </row>
    <row r="1284" spans="49:49" ht="15" customHeight="1" x14ac:dyDescent="0.35">
      <c r="AW1284" s="114">
        <v>995</v>
      </c>
    </row>
    <row r="1285" spans="49:49" ht="15" customHeight="1" x14ac:dyDescent="0.35">
      <c r="AW1285" s="114">
        <v>996</v>
      </c>
    </row>
    <row r="1286" spans="49:49" ht="15" customHeight="1" x14ac:dyDescent="0.35">
      <c r="AW1286" s="114">
        <v>997</v>
      </c>
    </row>
    <row r="1287" spans="49:49" ht="15" customHeight="1" x14ac:dyDescent="0.35">
      <c r="AW1287" s="114">
        <v>998</v>
      </c>
    </row>
    <row r="1288" spans="49:49" ht="15" customHeight="1" x14ac:dyDescent="0.35">
      <c r="AW1288" s="114">
        <v>999</v>
      </c>
    </row>
    <row r="1289" spans="49:49" ht="15" customHeight="1" x14ac:dyDescent="0.35">
      <c r="AW1289" s="114">
        <v>1000</v>
      </c>
    </row>
    <row r="1290" spans="49:49" ht="15" customHeight="1" x14ac:dyDescent="0.35">
      <c r="AW1290" s="114">
        <v>1001</v>
      </c>
    </row>
    <row r="1291" spans="49:49" ht="15" customHeight="1" x14ac:dyDescent="0.35">
      <c r="AW1291" s="114">
        <v>1002</v>
      </c>
    </row>
    <row r="1292" spans="49:49" ht="15" customHeight="1" x14ac:dyDescent="0.35">
      <c r="AW1292" s="114">
        <v>1003</v>
      </c>
    </row>
    <row r="1293" spans="49:49" ht="15" customHeight="1" x14ac:dyDescent="0.35">
      <c r="AW1293" s="114">
        <v>1004</v>
      </c>
    </row>
    <row r="1294" spans="49:49" ht="15" customHeight="1" x14ac:dyDescent="0.35">
      <c r="AW1294" s="114">
        <v>1005</v>
      </c>
    </row>
    <row r="1295" spans="49:49" ht="15" customHeight="1" x14ac:dyDescent="0.35">
      <c r="AW1295" s="114">
        <v>1006</v>
      </c>
    </row>
    <row r="1296" spans="49:49" ht="15" customHeight="1" x14ac:dyDescent="0.35">
      <c r="AW1296" s="114">
        <v>1007</v>
      </c>
    </row>
    <row r="1297" spans="49:49" ht="15" customHeight="1" x14ac:dyDescent="0.35">
      <c r="AW1297" s="114">
        <v>1008</v>
      </c>
    </row>
    <row r="1298" spans="49:49" ht="15" customHeight="1" x14ac:dyDescent="0.35">
      <c r="AW1298" s="114">
        <v>1009</v>
      </c>
    </row>
    <row r="1299" spans="49:49" ht="15" customHeight="1" x14ac:dyDescent="0.35">
      <c r="AW1299" s="114">
        <v>1010</v>
      </c>
    </row>
    <row r="1300" spans="49:49" ht="15" customHeight="1" x14ac:dyDescent="0.35">
      <c r="AW1300" s="114">
        <v>1011</v>
      </c>
    </row>
    <row r="1301" spans="49:49" ht="15" customHeight="1" x14ac:dyDescent="0.35">
      <c r="AW1301" s="114">
        <v>1012</v>
      </c>
    </row>
    <row r="1302" spans="49:49" ht="15" customHeight="1" x14ac:dyDescent="0.35">
      <c r="AW1302" s="114">
        <v>1013</v>
      </c>
    </row>
    <row r="1303" spans="49:49" ht="15" customHeight="1" x14ac:dyDescent="0.35">
      <c r="AW1303" s="114">
        <v>1014</v>
      </c>
    </row>
    <row r="1304" spans="49:49" ht="15" customHeight="1" x14ac:dyDescent="0.35">
      <c r="AW1304" s="114">
        <v>1015</v>
      </c>
    </row>
    <row r="1305" spans="49:49" ht="15" customHeight="1" x14ac:dyDescent="0.35">
      <c r="AW1305" s="114">
        <v>1016</v>
      </c>
    </row>
    <row r="1306" spans="49:49" ht="15" customHeight="1" x14ac:dyDescent="0.35">
      <c r="AW1306" s="114">
        <v>1017</v>
      </c>
    </row>
    <row r="1307" spans="49:49" ht="15" customHeight="1" x14ac:dyDescent="0.35">
      <c r="AW1307" s="114">
        <v>1018</v>
      </c>
    </row>
    <row r="1308" spans="49:49" ht="15" customHeight="1" x14ac:dyDescent="0.35">
      <c r="AW1308" s="114">
        <v>1019</v>
      </c>
    </row>
    <row r="1309" spans="49:49" ht="15" customHeight="1" x14ac:dyDescent="0.35">
      <c r="AW1309" s="114">
        <v>1020</v>
      </c>
    </row>
    <row r="1310" spans="49:49" ht="15" customHeight="1" x14ac:dyDescent="0.35">
      <c r="AW1310" s="114">
        <v>1021</v>
      </c>
    </row>
    <row r="1311" spans="49:49" ht="15" customHeight="1" x14ac:dyDescent="0.35">
      <c r="AW1311" s="114">
        <v>1022</v>
      </c>
    </row>
    <row r="1312" spans="49:49" ht="15" customHeight="1" x14ac:dyDescent="0.35">
      <c r="AW1312" s="114">
        <v>1023</v>
      </c>
    </row>
    <row r="1313" spans="49:49" ht="15" customHeight="1" x14ac:dyDescent="0.35">
      <c r="AW1313" s="114">
        <v>1024</v>
      </c>
    </row>
    <row r="1314" spans="49:49" ht="15" customHeight="1" x14ac:dyDescent="0.35">
      <c r="AW1314" s="114">
        <v>1025</v>
      </c>
    </row>
    <row r="1315" spans="49:49" ht="15" customHeight="1" x14ac:dyDescent="0.35">
      <c r="AW1315" s="114">
        <v>1026</v>
      </c>
    </row>
    <row r="1316" spans="49:49" ht="15" customHeight="1" x14ac:dyDescent="0.35">
      <c r="AW1316" s="114">
        <v>1027</v>
      </c>
    </row>
    <row r="1317" spans="49:49" ht="15" customHeight="1" x14ac:dyDescent="0.35">
      <c r="AW1317" s="114">
        <v>1028</v>
      </c>
    </row>
    <row r="1318" spans="49:49" ht="15" customHeight="1" x14ac:dyDescent="0.35">
      <c r="AW1318" s="114">
        <v>1029</v>
      </c>
    </row>
    <row r="1319" spans="49:49" ht="15" customHeight="1" x14ac:dyDescent="0.35">
      <c r="AW1319" s="114">
        <v>1030</v>
      </c>
    </row>
    <row r="1320" spans="49:49" ht="15" customHeight="1" x14ac:dyDescent="0.35">
      <c r="AW1320" s="114">
        <v>1031</v>
      </c>
    </row>
    <row r="1321" spans="49:49" ht="15" customHeight="1" x14ac:dyDescent="0.35">
      <c r="AW1321" s="114">
        <v>1032</v>
      </c>
    </row>
    <row r="1322" spans="49:49" ht="15" customHeight="1" x14ac:dyDescent="0.35">
      <c r="AW1322" s="114">
        <v>1033</v>
      </c>
    </row>
    <row r="1323" spans="49:49" ht="15" customHeight="1" x14ac:dyDescent="0.35">
      <c r="AW1323" s="114">
        <v>1034</v>
      </c>
    </row>
    <row r="1324" spans="49:49" ht="15" customHeight="1" x14ac:dyDescent="0.35">
      <c r="AW1324" s="114">
        <v>1035</v>
      </c>
    </row>
    <row r="1325" spans="49:49" ht="15" customHeight="1" x14ac:dyDescent="0.35">
      <c r="AW1325" s="114">
        <v>1036</v>
      </c>
    </row>
    <row r="1326" spans="49:49" ht="15" customHeight="1" x14ac:dyDescent="0.35">
      <c r="AW1326" s="114">
        <v>1037</v>
      </c>
    </row>
    <row r="1327" spans="49:49" ht="15" customHeight="1" x14ac:dyDescent="0.35">
      <c r="AW1327" s="114">
        <v>1038</v>
      </c>
    </row>
    <row r="1328" spans="49:49" ht="15" customHeight="1" x14ac:dyDescent="0.35">
      <c r="AW1328" s="114">
        <v>1039</v>
      </c>
    </row>
    <row r="1329" spans="49:49" ht="15" customHeight="1" x14ac:dyDescent="0.35">
      <c r="AW1329" s="114">
        <v>1040</v>
      </c>
    </row>
    <row r="1330" spans="49:49" ht="15" customHeight="1" x14ac:dyDescent="0.35">
      <c r="AW1330" s="114">
        <v>1041</v>
      </c>
    </row>
    <row r="1331" spans="49:49" ht="15" customHeight="1" x14ac:dyDescent="0.35">
      <c r="AW1331" s="114">
        <v>1042</v>
      </c>
    </row>
    <row r="1332" spans="49:49" ht="15" customHeight="1" x14ac:dyDescent="0.35">
      <c r="AW1332" s="114">
        <v>1043</v>
      </c>
    </row>
    <row r="1333" spans="49:49" ht="15" customHeight="1" x14ac:dyDescent="0.35">
      <c r="AW1333" s="114">
        <v>1044</v>
      </c>
    </row>
    <row r="1334" spans="49:49" ht="15" customHeight="1" x14ac:dyDescent="0.35">
      <c r="AW1334" s="114">
        <v>1045</v>
      </c>
    </row>
    <row r="1335" spans="49:49" ht="15" customHeight="1" x14ac:dyDescent="0.35">
      <c r="AW1335" s="114">
        <v>1046</v>
      </c>
    </row>
    <row r="1336" spans="49:49" ht="15" customHeight="1" x14ac:dyDescent="0.35">
      <c r="AW1336" s="114">
        <v>1047</v>
      </c>
    </row>
    <row r="1337" spans="49:49" ht="15" customHeight="1" x14ac:dyDescent="0.35">
      <c r="AW1337" s="114">
        <v>1048</v>
      </c>
    </row>
    <row r="1338" spans="49:49" ht="15" customHeight="1" x14ac:dyDescent="0.35">
      <c r="AW1338" s="114">
        <v>1049</v>
      </c>
    </row>
    <row r="1339" spans="49:49" ht="15" customHeight="1" x14ac:dyDescent="0.35">
      <c r="AW1339" s="114">
        <v>1050</v>
      </c>
    </row>
    <row r="1340" spans="49:49" ht="15" customHeight="1" x14ac:dyDescent="0.35">
      <c r="AW1340" s="114">
        <v>1051</v>
      </c>
    </row>
    <row r="1341" spans="49:49" ht="15" customHeight="1" x14ac:dyDescent="0.35">
      <c r="AW1341" s="114">
        <v>1052</v>
      </c>
    </row>
    <row r="1342" spans="49:49" ht="15" customHeight="1" x14ac:dyDescent="0.35">
      <c r="AW1342" s="114">
        <v>1053</v>
      </c>
    </row>
    <row r="1343" spans="49:49" ht="15" customHeight="1" x14ac:dyDescent="0.35">
      <c r="AW1343" s="114">
        <v>1054</v>
      </c>
    </row>
    <row r="1344" spans="49:49" ht="15" customHeight="1" x14ac:dyDescent="0.35">
      <c r="AW1344" s="114">
        <v>1055</v>
      </c>
    </row>
    <row r="1345" spans="49:49" ht="15" customHeight="1" x14ac:dyDescent="0.35">
      <c r="AW1345" s="114">
        <v>1056</v>
      </c>
    </row>
    <row r="1346" spans="49:49" ht="15" customHeight="1" x14ac:dyDescent="0.35">
      <c r="AW1346" s="114">
        <v>1057</v>
      </c>
    </row>
    <row r="1347" spans="49:49" ht="15" customHeight="1" x14ac:dyDescent="0.35">
      <c r="AW1347" s="114">
        <v>1058</v>
      </c>
    </row>
    <row r="1348" spans="49:49" ht="15" customHeight="1" x14ac:dyDescent="0.35">
      <c r="AW1348" s="114">
        <v>1059</v>
      </c>
    </row>
    <row r="1349" spans="49:49" ht="15" customHeight="1" x14ac:dyDescent="0.35">
      <c r="AW1349" s="114">
        <v>1060</v>
      </c>
    </row>
    <row r="1350" spans="49:49" ht="15" customHeight="1" x14ac:dyDescent="0.35">
      <c r="AW1350" s="114">
        <v>1061</v>
      </c>
    </row>
    <row r="1351" spans="49:49" ht="15" customHeight="1" x14ac:dyDescent="0.35">
      <c r="AW1351" s="114">
        <v>1062</v>
      </c>
    </row>
    <row r="1352" spans="49:49" ht="15" customHeight="1" x14ac:dyDescent="0.35">
      <c r="AW1352" s="114">
        <v>1063</v>
      </c>
    </row>
    <row r="1353" spans="49:49" ht="15" customHeight="1" x14ac:dyDescent="0.35">
      <c r="AW1353" s="114">
        <v>1064</v>
      </c>
    </row>
    <row r="1354" spans="49:49" ht="15" customHeight="1" x14ac:dyDescent="0.35">
      <c r="AW1354" s="114">
        <v>1065</v>
      </c>
    </row>
    <row r="1355" spans="49:49" ht="15" customHeight="1" x14ac:dyDescent="0.35">
      <c r="AW1355" s="114">
        <v>1066</v>
      </c>
    </row>
    <row r="1356" spans="49:49" ht="15" customHeight="1" x14ac:dyDescent="0.35">
      <c r="AW1356" s="114">
        <v>1067</v>
      </c>
    </row>
    <row r="1357" spans="49:49" ht="15" customHeight="1" x14ac:dyDescent="0.35">
      <c r="AW1357" s="114">
        <v>1068</v>
      </c>
    </row>
    <row r="1358" spans="49:49" ht="15" customHeight="1" x14ac:dyDescent="0.35">
      <c r="AW1358" s="114">
        <v>1069</v>
      </c>
    </row>
    <row r="1359" spans="49:49" ht="15" customHeight="1" x14ac:dyDescent="0.35">
      <c r="AW1359" s="114">
        <v>1070</v>
      </c>
    </row>
    <row r="1360" spans="49:49" ht="15" customHeight="1" x14ac:dyDescent="0.35">
      <c r="AW1360" s="114">
        <v>1071</v>
      </c>
    </row>
    <row r="1361" spans="49:49" ht="15" customHeight="1" x14ac:dyDescent="0.35">
      <c r="AW1361" s="114">
        <v>1072</v>
      </c>
    </row>
    <row r="1362" spans="49:49" ht="15" customHeight="1" x14ac:dyDescent="0.35">
      <c r="AW1362" s="114">
        <v>1073</v>
      </c>
    </row>
    <row r="1363" spans="49:49" ht="15" customHeight="1" x14ac:dyDescent="0.35">
      <c r="AW1363" s="114">
        <v>1074</v>
      </c>
    </row>
    <row r="1364" spans="49:49" ht="15" customHeight="1" x14ac:dyDescent="0.35">
      <c r="AW1364" s="114">
        <v>1075</v>
      </c>
    </row>
    <row r="1365" spans="49:49" ht="15" customHeight="1" x14ac:dyDescent="0.35">
      <c r="AW1365" s="114">
        <v>1076</v>
      </c>
    </row>
    <row r="1366" spans="49:49" ht="15" customHeight="1" x14ac:dyDescent="0.35">
      <c r="AW1366" s="114">
        <v>1077</v>
      </c>
    </row>
    <row r="1367" spans="49:49" ht="15" customHeight="1" x14ac:dyDescent="0.35">
      <c r="AW1367" s="114">
        <v>1078</v>
      </c>
    </row>
    <row r="1368" spans="49:49" ht="15" customHeight="1" x14ac:dyDescent="0.35">
      <c r="AW1368" s="114">
        <v>1079</v>
      </c>
    </row>
    <row r="1369" spans="49:49" ht="15" customHeight="1" x14ac:dyDescent="0.35">
      <c r="AW1369" s="114">
        <v>1080</v>
      </c>
    </row>
    <row r="1370" spans="49:49" ht="15" customHeight="1" x14ac:dyDescent="0.35">
      <c r="AW1370" s="114">
        <v>1081</v>
      </c>
    </row>
    <row r="1371" spans="49:49" ht="15" customHeight="1" x14ac:dyDescent="0.35">
      <c r="AW1371" s="114">
        <v>1082</v>
      </c>
    </row>
    <row r="1372" spans="49:49" ht="15" customHeight="1" x14ac:dyDescent="0.35">
      <c r="AW1372" s="114">
        <v>1083</v>
      </c>
    </row>
    <row r="1373" spans="49:49" ht="15" customHeight="1" x14ac:dyDescent="0.35">
      <c r="AW1373" s="114">
        <v>1084</v>
      </c>
    </row>
    <row r="1374" spans="49:49" ht="15" customHeight="1" x14ac:dyDescent="0.35">
      <c r="AW1374" s="114">
        <v>1085</v>
      </c>
    </row>
    <row r="1375" spans="49:49" ht="15" customHeight="1" x14ac:dyDescent="0.35">
      <c r="AW1375" s="114">
        <v>1086</v>
      </c>
    </row>
    <row r="1376" spans="49:49" ht="15" customHeight="1" x14ac:dyDescent="0.35">
      <c r="AW1376" s="114">
        <v>1087</v>
      </c>
    </row>
    <row r="1377" spans="49:49" ht="15" customHeight="1" x14ac:dyDescent="0.35">
      <c r="AW1377" s="114">
        <v>1088</v>
      </c>
    </row>
    <row r="1378" spans="49:49" ht="15" customHeight="1" x14ac:dyDescent="0.35">
      <c r="AW1378" s="114">
        <v>1089</v>
      </c>
    </row>
    <row r="1379" spans="49:49" ht="15" customHeight="1" x14ac:dyDescent="0.35">
      <c r="AW1379" s="114">
        <v>1090</v>
      </c>
    </row>
    <row r="1380" spans="49:49" ht="15" customHeight="1" x14ac:dyDescent="0.35">
      <c r="AW1380" s="114">
        <v>1091</v>
      </c>
    </row>
    <row r="1381" spans="49:49" ht="15" customHeight="1" x14ac:dyDescent="0.35">
      <c r="AW1381" s="114">
        <v>1092</v>
      </c>
    </row>
    <row r="1382" spans="49:49" ht="15" customHeight="1" x14ac:dyDescent="0.35">
      <c r="AW1382" s="114">
        <v>1093</v>
      </c>
    </row>
    <row r="1383" spans="49:49" ht="15" customHeight="1" x14ac:dyDescent="0.35">
      <c r="AW1383" s="114">
        <v>1094</v>
      </c>
    </row>
    <row r="1384" spans="49:49" ht="15" customHeight="1" x14ac:dyDescent="0.35">
      <c r="AW1384" s="114">
        <v>1095</v>
      </c>
    </row>
    <row r="1385" spans="49:49" ht="15" customHeight="1" x14ac:dyDescent="0.35">
      <c r="AW1385" s="114">
        <v>1096</v>
      </c>
    </row>
    <row r="1386" spans="49:49" ht="15" customHeight="1" x14ac:dyDescent="0.35">
      <c r="AW1386" s="114">
        <v>1097</v>
      </c>
    </row>
    <row r="1387" spans="49:49" ht="15" customHeight="1" x14ac:dyDescent="0.35">
      <c r="AW1387" s="114">
        <v>1098</v>
      </c>
    </row>
    <row r="1388" spans="49:49" ht="15" customHeight="1" x14ac:dyDescent="0.35">
      <c r="AW1388" s="114">
        <v>1099</v>
      </c>
    </row>
    <row r="1389" spans="49:49" ht="15" customHeight="1" x14ac:dyDescent="0.35">
      <c r="AW1389" s="114">
        <v>1100</v>
      </c>
    </row>
    <row r="1390" spans="49:49" ht="15" customHeight="1" x14ac:dyDescent="0.35">
      <c r="AW1390" s="114">
        <v>1101</v>
      </c>
    </row>
    <row r="1391" spans="49:49" ht="15" customHeight="1" x14ac:dyDescent="0.35">
      <c r="AW1391" s="114">
        <v>1102</v>
      </c>
    </row>
    <row r="1392" spans="49:49" ht="15" customHeight="1" x14ac:dyDescent="0.35">
      <c r="AW1392" s="114">
        <v>1103</v>
      </c>
    </row>
    <row r="1393" spans="49:49" ht="15" customHeight="1" x14ac:dyDescent="0.35">
      <c r="AW1393" s="114">
        <v>1104</v>
      </c>
    </row>
    <row r="1394" spans="49:49" ht="15" customHeight="1" x14ac:dyDescent="0.35">
      <c r="AW1394" s="114">
        <v>1105</v>
      </c>
    </row>
    <row r="1395" spans="49:49" ht="15" customHeight="1" x14ac:dyDescent="0.35">
      <c r="AW1395" s="114">
        <v>1106</v>
      </c>
    </row>
    <row r="1396" spans="49:49" ht="15" customHeight="1" x14ac:dyDescent="0.35">
      <c r="AW1396" s="114">
        <v>1107</v>
      </c>
    </row>
    <row r="1397" spans="49:49" ht="15" customHeight="1" x14ac:dyDescent="0.35">
      <c r="AW1397" s="114">
        <v>1108</v>
      </c>
    </row>
    <row r="1398" spans="49:49" ht="15" customHeight="1" x14ac:dyDescent="0.35">
      <c r="AW1398" s="114">
        <v>1109</v>
      </c>
    </row>
    <row r="1399" spans="49:49" ht="15" customHeight="1" x14ac:dyDescent="0.35">
      <c r="AW1399" s="114">
        <v>1110</v>
      </c>
    </row>
    <row r="1400" spans="49:49" ht="15" customHeight="1" x14ac:dyDescent="0.35">
      <c r="AW1400" s="114">
        <v>1111</v>
      </c>
    </row>
    <row r="1401" spans="49:49" ht="15" customHeight="1" x14ac:dyDescent="0.35">
      <c r="AW1401" s="114">
        <v>1112</v>
      </c>
    </row>
    <row r="1402" spans="49:49" ht="15" customHeight="1" x14ac:dyDescent="0.35">
      <c r="AW1402" s="114">
        <v>1113</v>
      </c>
    </row>
    <row r="1403" spans="49:49" ht="15" customHeight="1" x14ac:dyDescent="0.35">
      <c r="AW1403" s="114">
        <v>1114</v>
      </c>
    </row>
    <row r="1404" spans="49:49" ht="15" customHeight="1" x14ac:dyDescent="0.35">
      <c r="AW1404" s="114">
        <v>1115</v>
      </c>
    </row>
    <row r="1405" spans="49:49" ht="15" customHeight="1" x14ac:dyDescent="0.35">
      <c r="AW1405" s="114">
        <v>1116</v>
      </c>
    </row>
    <row r="1406" spans="49:49" ht="15" customHeight="1" x14ac:dyDescent="0.35">
      <c r="AW1406" s="114">
        <v>1117</v>
      </c>
    </row>
    <row r="1407" spans="49:49" ht="15" customHeight="1" x14ac:dyDescent="0.35">
      <c r="AW1407" s="114">
        <v>1118</v>
      </c>
    </row>
    <row r="1408" spans="49:49" ht="15" customHeight="1" x14ac:dyDescent="0.35">
      <c r="AW1408" s="114">
        <v>1119</v>
      </c>
    </row>
    <row r="1409" spans="49:49" ht="15" customHeight="1" x14ac:dyDescent="0.35">
      <c r="AW1409" s="114">
        <v>1120</v>
      </c>
    </row>
    <row r="1410" spans="49:49" ht="15" customHeight="1" x14ac:dyDescent="0.35">
      <c r="AW1410" s="114">
        <v>1121</v>
      </c>
    </row>
    <row r="1411" spans="49:49" ht="15" customHeight="1" x14ac:dyDescent="0.35">
      <c r="AW1411" s="114">
        <v>1122</v>
      </c>
    </row>
    <row r="1412" spans="49:49" ht="15" customHeight="1" x14ac:dyDescent="0.35">
      <c r="AW1412" s="114">
        <v>1123</v>
      </c>
    </row>
    <row r="1413" spans="49:49" ht="15" customHeight="1" x14ac:dyDescent="0.35">
      <c r="AW1413" s="114">
        <v>1124</v>
      </c>
    </row>
    <row r="1414" spans="49:49" ht="15" customHeight="1" x14ac:dyDescent="0.35">
      <c r="AW1414" s="114">
        <v>1125</v>
      </c>
    </row>
    <row r="1415" spans="49:49" ht="15" customHeight="1" x14ac:dyDescent="0.35">
      <c r="AW1415" s="114">
        <v>1126</v>
      </c>
    </row>
    <row r="1416" spans="49:49" ht="15" customHeight="1" x14ac:dyDescent="0.35">
      <c r="AW1416" s="114">
        <v>1127</v>
      </c>
    </row>
    <row r="1417" spans="49:49" ht="15" customHeight="1" x14ac:dyDescent="0.35">
      <c r="AW1417" s="114">
        <v>1128</v>
      </c>
    </row>
    <row r="1418" spans="49:49" ht="15" customHeight="1" x14ac:dyDescent="0.35">
      <c r="AW1418" s="114">
        <v>1129</v>
      </c>
    </row>
    <row r="1419" spans="49:49" ht="15" customHeight="1" x14ac:dyDescent="0.35">
      <c r="AW1419" s="114">
        <v>1130</v>
      </c>
    </row>
    <row r="1420" spans="49:49" ht="15" customHeight="1" x14ac:dyDescent="0.35">
      <c r="AW1420" s="114">
        <v>1131</v>
      </c>
    </row>
    <row r="1421" spans="49:49" ht="15" customHeight="1" x14ac:dyDescent="0.35">
      <c r="AW1421" s="114">
        <v>1132</v>
      </c>
    </row>
    <row r="1422" spans="49:49" ht="15" customHeight="1" x14ac:dyDescent="0.35">
      <c r="AW1422" s="114">
        <v>1133</v>
      </c>
    </row>
    <row r="1423" spans="49:49" ht="15" customHeight="1" x14ac:dyDescent="0.35">
      <c r="AW1423" s="114">
        <v>1134</v>
      </c>
    </row>
    <row r="1424" spans="49:49" ht="15" customHeight="1" x14ac:dyDescent="0.35">
      <c r="AW1424" s="114">
        <v>1135</v>
      </c>
    </row>
    <row r="1425" spans="49:49" ht="15" customHeight="1" x14ac:dyDescent="0.35">
      <c r="AW1425" s="114">
        <v>1136</v>
      </c>
    </row>
    <row r="1426" spans="49:49" ht="15" customHeight="1" x14ac:dyDescent="0.35">
      <c r="AW1426" s="114">
        <v>1137</v>
      </c>
    </row>
    <row r="1427" spans="49:49" ht="15" customHeight="1" x14ac:dyDescent="0.35">
      <c r="AW1427" s="114">
        <v>1138</v>
      </c>
    </row>
    <row r="1428" spans="49:49" ht="15" customHeight="1" x14ac:dyDescent="0.35">
      <c r="AW1428" s="114">
        <v>1139</v>
      </c>
    </row>
    <row r="1429" spans="49:49" ht="15" customHeight="1" x14ac:dyDescent="0.35">
      <c r="AW1429" s="114">
        <v>1140</v>
      </c>
    </row>
    <row r="1430" spans="49:49" ht="15" customHeight="1" x14ac:dyDescent="0.35">
      <c r="AW1430" s="114">
        <v>1141</v>
      </c>
    </row>
    <row r="1431" spans="49:49" ht="15" customHeight="1" x14ac:dyDescent="0.35">
      <c r="AW1431" s="114">
        <v>1142</v>
      </c>
    </row>
    <row r="1432" spans="49:49" ht="15" customHeight="1" x14ac:dyDescent="0.35">
      <c r="AW1432" s="114">
        <v>1143</v>
      </c>
    </row>
    <row r="1433" spans="49:49" ht="15" customHeight="1" x14ac:dyDescent="0.35">
      <c r="AW1433" s="114">
        <v>1144</v>
      </c>
    </row>
    <row r="1434" spans="49:49" ht="15" customHeight="1" x14ac:dyDescent="0.35">
      <c r="AW1434" s="114">
        <v>1145</v>
      </c>
    </row>
    <row r="1435" spans="49:49" ht="15" customHeight="1" x14ac:dyDescent="0.35">
      <c r="AW1435" s="114">
        <v>1146</v>
      </c>
    </row>
    <row r="1436" spans="49:49" ht="15" customHeight="1" x14ac:dyDescent="0.35">
      <c r="AW1436" s="114">
        <v>1147</v>
      </c>
    </row>
    <row r="1437" spans="49:49" ht="15" customHeight="1" x14ac:dyDescent="0.35">
      <c r="AW1437" s="114">
        <v>1148</v>
      </c>
    </row>
    <row r="1438" spans="49:49" ht="15" customHeight="1" x14ac:dyDescent="0.35">
      <c r="AW1438" s="114">
        <v>1149</v>
      </c>
    </row>
    <row r="1439" spans="49:49" ht="15" customHeight="1" x14ac:dyDescent="0.35">
      <c r="AW1439" s="114">
        <v>1150</v>
      </c>
    </row>
    <row r="1440" spans="49:49" ht="15" customHeight="1" x14ac:dyDescent="0.35">
      <c r="AW1440" s="114">
        <v>1151</v>
      </c>
    </row>
    <row r="1441" spans="49:49" ht="15" customHeight="1" x14ac:dyDescent="0.35">
      <c r="AW1441" s="114">
        <v>1152</v>
      </c>
    </row>
    <row r="1442" spans="49:49" ht="15" customHeight="1" x14ac:dyDescent="0.35">
      <c r="AW1442" s="114">
        <v>1153</v>
      </c>
    </row>
    <row r="1443" spans="49:49" ht="15" customHeight="1" x14ac:dyDescent="0.35">
      <c r="AW1443" s="114">
        <v>1154</v>
      </c>
    </row>
    <row r="1444" spans="49:49" ht="15" customHeight="1" x14ac:dyDescent="0.35">
      <c r="AW1444" s="114">
        <v>1155</v>
      </c>
    </row>
    <row r="1445" spans="49:49" ht="15" customHeight="1" x14ac:dyDescent="0.35">
      <c r="AW1445" s="114">
        <v>1156</v>
      </c>
    </row>
    <row r="1446" spans="49:49" ht="15" customHeight="1" x14ac:dyDescent="0.35">
      <c r="AW1446" s="114">
        <v>1157</v>
      </c>
    </row>
    <row r="1447" spans="49:49" ht="15" customHeight="1" x14ac:dyDescent="0.35">
      <c r="AW1447" s="114">
        <v>1158</v>
      </c>
    </row>
    <row r="1448" spans="49:49" ht="15" customHeight="1" x14ac:dyDescent="0.35">
      <c r="AW1448" s="114">
        <v>1159</v>
      </c>
    </row>
    <row r="1449" spans="49:49" ht="15" customHeight="1" x14ac:dyDescent="0.35">
      <c r="AW1449" s="114">
        <v>1160</v>
      </c>
    </row>
    <row r="1450" spans="49:49" ht="15" customHeight="1" x14ac:dyDescent="0.35">
      <c r="AW1450" s="114">
        <v>1161</v>
      </c>
    </row>
    <row r="1451" spans="49:49" ht="15" customHeight="1" x14ac:dyDescent="0.35">
      <c r="AW1451" s="114">
        <v>1162</v>
      </c>
    </row>
    <row r="1452" spans="49:49" ht="15" customHeight="1" x14ac:dyDescent="0.35">
      <c r="AW1452" s="114">
        <v>1163</v>
      </c>
    </row>
    <row r="1453" spans="49:49" ht="15" customHeight="1" x14ac:dyDescent="0.35">
      <c r="AW1453" s="114">
        <v>1164</v>
      </c>
    </row>
    <row r="1454" spans="49:49" ht="15" customHeight="1" x14ac:dyDescent="0.35">
      <c r="AW1454" s="114">
        <v>1165</v>
      </c>
    </row>
    <row r="1455" spans="49:49" ht="15" customHeight="1" x14ac:dyDescent="0.35">
      <c r="AW1455" s="114">
        <v>1166</v>
      </c>
    </row>
    <row r="1456" spans="49:49" ht="15" customHeight="1" x14ac:dyDescent="0.35">
      <c r="AW1456" s="114">
        <v>1167</v>
      </c>
    </row>
    <row r="1457" spans="49:49" ht="15" customHeight="1" x14ac:dyDescent="0.35">
      <c r="AW1457" s="114">
        <v>1168</v>
      </c>
    </row>
    <row r="1458" spans="49:49" ht="15" customHeight="1" x14ac:dyDescent="0.35">
      <c r="AW1458" s="114">
        <v>1169</v>
      </c>
    </row>
    <row r="1459" spans="49:49" ht="15" customHeight="1" x14ac:dyDescent="0.35">
      <c r="AW1459" s="114">
        <v>1170</v>
      </c>
    </row>
    <row r="1460" spans="49:49" ht="15" customHeight="1" x14ac:dyDescent="0.35">
      <c r="AW1460" s="114">
        <v>1171</v>
      </c>
    </row>
    <row r="1461" spans="49:49" ht="15" customHeight="1" x14ac:dyDescent="0.35">
      <c r="AW1461" s="114">
        <v>1172</v>
      </c>
    </row>
    <row r="1462" spans="49:49" ht="15" customHeight="1" x14ac:dyDescent="0.35">
      <c r="AW1462" s="114">
        <v>1173</v>
      </c>
    </row>
    <row r="1463" spans="49:49" ht="15" customHeight="1" x14ac:dyDescent="0.35">
      <c r="AW1463" s="114">
        <v>1174</v>
      </c>
    </row>
    <row r="1464" spans="49:49" ht="15" customHeight="1" x14ac:dyDescent="0.35">
      <c r="AW1464" s="114">
        <v>1175</v>
      </c>
    </row>
    <row r="1465" spans="49:49" ht="15" customHeight="1" x14ac:dyDescent="0.35">
      <c r="AW1465" s="114">
        <v>1176</v>
      </c>
    </row>
    <row r="1466" spans="49:49" ht="15" customHeight="1" x14ac:dyDescent="0.35">
      <c r="AW1466" s="114">
        <v>1177</v>
      </c>
    </row>
    <row r="1467" spans="49:49" ht="15" customHeight="1" x14ac:dyDescent="0.35">
      <c r="AW1467" s="114">
        <v>1178</v>
      </c>
    </row>
    <row r="1468" spans="49:49" ht="15" customHeight="1" x14ac:dyDescent="0.35">
      <c r="AW1468" s="114">
        <v>1179</v>
      </c>
    </row>
    <row r="1469" spans="49:49" ht="15" customHeight="1" x14ac:dyDescent="0.35">
      <c r="AW1469" s="114">
        <v>1180</v>
      </c>
    </row>
    <row r="1470" spans="49:49" ht="15" customHeight="1" x14ac:dyDescent="0.35">
      <c r="AW1470" s="114">
        <v>1181</v>
      </c>
    </row>
    <row r="1471" spans="49:49" ht="15" customHeight="1" x14ac:dyDescent="0.35">
      <c r="AW1471" s="114">
        <v>1182</v>
      </c>
    </row>
    <row r="1472" spans="49:49" ht="15" customHeight="1" x14ac:dyDescent="0.35">
      <c r="AW1472" s="114">
        <v>1183</v>
      </c>
    </row>
    <row r="1473" spans="49:49" ht="15" customHeight="1" x14ac:dyDescent="0.35">
      <c r="AW1473" s="114">
        <v>1184</v>
      </c>
    </row>
    <row r="1474" spans="49:49" ht="15" customHeight="1" x14ac:dyDescent="0.35">
      <c r="AW1474" s="114">
        <v>1185</v>
      </c>
    </row>
    <row r="1475" spans="49:49" ht="15" customHeight="1" x14ac:dyDescent="0.35">
      <c r="AW1475" s="114">
        <v>1186</v>
      </c>
    </row>
    <row r="1476" spans="49:49" ht="15" customHeight="1" x14ac:dyDescent="0.35">
      <c r="AW1476" s="114">
        <v>1187</v>
      </c>
    </row>
    <row r="1477" spans="49:49" ht="15" customHeight="1" x14ac:dyDescent="0.35">
      <c r="AW1477" s="114">
        <v>1188</v>
      </c>
    </row>
    <row r="1478" spans="49:49" ht="15" customHeight="1" x14ac:dyDescent="0.35">
      <c r="AW1478" s="114">
        <v>1189</v>
      </c>
    </row>
    <row r="1479" spans="49:49" ht="15" customHeight="1" x14ac:dyDescent="0.35">
      <c r="AW1479" s="114">
        <v>1190</v>
      </c>
    </row>
    <row r="1480" spans="49:49" ht="15" customHeight="1" x14ac:dyDescent="0.35">
      <c r="AW1480" s="114">
        <v>1191</v>
      </c>
    </row>
    <row r="1481" spans="49:49" ht="15" customHeight="1" x14ac:dyDescent="0.35">
      <c r="AW1481" s="114">
        <v>1192</v>
      </c>
    </row>
    <row r="1482" spans="49:49" ht="15" customHeight="1" x14ac:dyDescent="0.35">
      <c r="AW1482" s="114">
        <v>1193</v>
      </c>
    </row>
    <row r="1483" spans="49:49" ht="15" customHeight="1" x14ac:dyDescent="0.35">
      <c r="AW1483" s="114">
        <v>1194</v>
      </c>
    </row>
    <row r="1484" spans="49:49" ht="15" customHeight="1" x14ac:dyDescent="0.35">
      <c r="AW1484" s="114">
        <v>1195</v>
      </c>
    </row>
    <row r="1485" spans="49:49" ht="15" customHeight="1" x14ac:dyDescent="0.35">
      <c r="AW1485" s="114">
        <v>1196</v>
      </c>
    </row>
    <row r="1486" spans="49:49" ht="15" customHeight="1" x14ac:dyDescent="0.35">
      <c r="AW1486" s="114">
        <v>1197</v>
      </c>
    </row>
    <row r="1487" spans="49:49" ht="15" customHeight="1" x14ac:dyDescent="0.35">
      <c r="AW1487" s="114">
        <v>1198</v>
      </c>
    </row>
    <row r="1488" spans="49:49" ht="15" customHeight="1" x14ac:dyDescent="0.35">
      <c r="AW1488" s="114">
        <v>1199</v>
      </c>
    </row>
    <row r="1489" spans="49:49" ht="15" customHeight="1" x14ac:dyDescent="0.35">
      <c r="AW1489" s="114">
        <v>1200</v>
      </c>
    </row>
    <row r="1490" spans="49:49" ht="15" customHeight="1" x14ac:dyDescent="0.35">
      <c r="AW1490" s="114">
        <v>1201</v>
      </c>
    </row>
    <row r="1491" spans="49:49" ht="15" customHeight="1" x14ac:dyDescent="0.35">
      <c r="AW1491" s="114">
        <v>1202</v>
      </c>
    </row>
    <row r="1492" spans="49:49" ht="15" customHeight="1" x14ac:dyDescent="0.35">
      <c r="AW1492" s="114">
        <v>1203</v>
      </c>
    </row>
    <row r="1493" spans="49:49" ht="15" customHeight="1" x14ac:dyDescent="0.35">
      <c r="AW1493" s="114">
        <v>1204</v>
      </c>
    </row>
    <row r="1494" spans="49:49" ht="15" customHeight="1" x14ac:dyDescent="0.35">
      <c r="AW1494" s="114">
        <v>1205</v>
      </c>
    </row>
    <row r="1495" spans="49:49" ht="15" customHeight="1" x14ac:dyDescent="0.35">
      <c r="AW1495" s="114">
        <v>1206</v>
      </c>
    </row>
    <row r="1496" spans="49:49" ht="15" customHeight="1" x14ac:dyDescent="0.35">
      <c r="AW1496" s="114">
        <v>1207</v>
      </c>
    </row>
    <row r="1497" spans="49:49" ht="15" customHeight="1" x14ac:dyDescent="0.35">
      <c r="AW1497" s="114">
        <v>1208</v>
      </c>
    </row>
    <row r="1498" spans="49:49" ht="15" customHeight="1" x14ac:dyDescent="0.35">
      <c r="AW1498" s="114">
        <v>1209</v>
      </c>
    </row>
    <row r="1499" spans="49:49" ht="15" customHeight="1" x14ac:dyDescent="0.35">
      <c r="AW1499" s="114">
        <v>1210</v>
      </c>
    </row>
    <row r="1500" spans="49:49" ht="15" customHeight="1" x14ac:dyDescent="0.35">
      <c r="AW1500" s="114">
        <v>1211</v>
      </c>
    </row>
    <row r="1501" spans="49:49" ht="15" customHeight="1" x14ac:dyDescent="0.35">
      <c r="AW1501" s="114">
        <v>1212</v>
      </c>
    </row>
    <row r="1502" spans="49:49" ht="15" customHeight="1" x14ac:dyDescent="0.35">
      <c r="AW1502" s="114">
        <v>1213</v>
      </c>
    </row>
    <row r="1503" spans="49:49" ht="15" customHeight="1" x14ac:dyDescent="0.35">
      <c r="AW1503" s="114">
        <v>1214</v>
      </c>
    </row>
    <row r="1504" spans="49:49" ht="15" customHeight="1" x14ac:dyDescent="0.35">
      <c r="AW1504" s="114">
        <v>1215</v>
      </c>
    </row>
    <row r="1505" spans="49:49" ht="15" customHeight="1" x14ac:dyDescent="0.35">
      <c r="AW1505" s="114">
        <v>1216</v>
      </c>
    </row>
    <row r="1506" spans="49:49" ht="15" customHeight="1" x14ac:dyDescent="0.35">
      <c r="AW1506" s="114">
        <v>1217</v>
      </c>
    </row>
    <row r="1507" spans="49:49" ht="15" customHeight="1" x14ac:dyDescent="0.35">
      <c r="AW1507" s="114">
        <v>1218</v>
      </c>
    </row>
    <row r="1508" spans="49:49" ht="15" customHeight="1" x14ac:dyDescent="0.35">
      <c r="AW1508" s="114">
        <v>1219</v>
      </c>
    </row>
    <row r="1509" spans="49:49" ht="15" customHeight="1" x14ac:dyDescent="0.35">
      <c r="AW1509" s="114">
        <v>1220</v>
      </c>
    </row>
    <row r="1510" spans="49:49" ht="15" customHeight="1" x14ac:dyDescent="0.35">
      <c r="AW1510" s="114">
        <v>1221</v>
      </c>
    </row>
    <row r="1511" spans="49:49" ht="15" customHeight="1" x14ac:dyDescent="0.35">
      <c r="AW1511" s="114">
        <v>1222</v>
      </c>
    </row>
    <row r="1512" spans="49:49" ht="15" customHeight="1" x14ac:dyDescent="0.35">
      <c r="AW1512" s="114">
        <v>1223</v>
      </c>
    </row>
    <row r="1513" spans="49:49" ht="15" customHeight="1" x14ac:dyDescent="0.35">
      <c r="AW1513" s="114">
        <v>1224</v>
      </c>
    </row>
    <row r="1514" spans="49:49" ht="15" customHeight="1" x14ac:dyDescent="0.35">
      <c r="AW1514" s="114">
        <v>1225</v>
      </c>
    </row>
    <row r="1515" spans="49:49" ht="15" customHeight="1" x14ac:dyDescent="0.35">
      <c r="AW1515" s="114">
        <v>1226</v>
      </c>
    </row>
    <row r="1516" spans="49:49" ht="15" customHeight="1" x14ac:dyDescent="0.35">
      <c r="AW1516" s="114">
        <v>1227</v>
      </c>
    </row>
    <row r="1517" spans="49:49" ht="15" customHeight="1" x14ac:dyDescent="0.35">
      <c r="AW1517" s="114">
        <v>1228</v>
      </c>
    </row>
    <row r="1518" spans="49:49" ht="15" customHeight="1" x14ac:dyDescent="0.35">
      <c r="AW1518" s="114">
        <v>1229</v>
      </c>
    </row>
    <row r="1519" spans="49:49" ht="15" customHeight="1" x14ac:dyDescent="0.35">
      <c r="AW1519" s="114">
        <v>1230</v>
      </c>
    </row>
    <row r="1520" spans="49:49" ht="15" customHeight="1" x14ac:dyDescent="0.35">
      <c r="AW1520" s="114">
        <v>1231</v>
      </c>
    </row>
    <row r="1521" spans="49:49" ht="15" customHeight="1" x14ac:dyDescent="0.35">
      <c r="AW1521" s="114">
        <v>1232</v>
      </c>
    </row>
    <row r="1522" spans="49:49" ht="15" customHeight="1" x14ac:dyDescent="0.35">
      <c r="AW1522" s="114">
        <v>1233</v>
      </c>
    </row>
    <row r="1523" spans="49:49" ht="15" customHeight="1" x14ac:dyDescent="0.35">
      <c r="AW1523" s="114">
        <v>1234</v>
      </c>
    </row>
    <row r="1524" spans="49:49" ht="15" customHeight="1" x14ac:dyDescent="0.35">
      <c r="AW1524" s="114">
        <v>1235</v>
      </c>
    </row>
    <row r="1525" spans="49:49" ht="15" customHeight="1" x14ac:dyDescent="0.35">
      <c r="AW1525" s="114">
        <v>1236</v>
      </c>
    </row>
    <row r="1526" spans="49:49" ht="15" customHeight="1" x14ac:dyDescent="0.35">
      <c r="AW1526" s="114">
        <v>1237</v>
      </c>
    </row>
    <row r="1527" spans="49:49" ht="15" customHeight="1" x14ac:dyDescent="0.35">
      <c r="AW1527" s="114">
        <v>1238</v>
      </c>
    </row>
    <row r="1528" spans="49:49" ht="15" customHeight="1" x14ac:dyDescent="0.35">
      <c r="AW1528" s="114">
        <v>1239</v>
      </c>
    </row>
    <row r="1529" spans="49:49" ht="15" customHeight="1" x14ac:dyDescent="0.35">
      <c r="AW1529" s="114">
        <v>1240</v>
      </c>
    </row>
    <row r="1530" spans="49:49" ht="15" customHeight="1" x14ac:dyDescent="0.35">
      <c r="AW1530" s="114">
        <v>1241</v>
      </c>
    </row>
    <row r="1531" spans="49:49" ht="15" customHeight="1" x14ac:dyDescent="0.35">
      <c r="AW1531" s="114">
        <v>1242</v>
      </c>
    </row>
    <row r="1532" spans="49:49" ht="15" customHeight="1" x14ac:dyDescent="0.35">
      <c r="AW1532" s="114">
        <v>1243</v>
      </c>
    </row>
    <row r="1533" spans="49:49" ht="15" customHeight="1" x14ac:dyDescent="0.35">
      <c r="AW1533" s="114">
        <v>1244</v>
      </c>
    </row>
    <row r="1534" spans="49:49" ht="15" customHeight="1" x14ac:dyDescent="0.35">
      <c r="AW1534" s="114">
        <v>1245</v>
      </c>
    </row>
    <row r="1535" spans="49:49" ht="15" customHeight="1" x14ac:dyDescent="0.35">
      <c r="AW1535" s="114">
        <v>1246</v>
      </c>
    </row>
    <row r="1536" spans="49:49" ht="15" customHeight="1" x14ac:dyDescent="0.35">
      <c r="AW1536" s="114">
        <v>1247</v>
      </c>
    </row>
    <row r="1537" spans="49:49" ht="15" customHeight="1" x14ac:dyDescent="0.35">
      <c r="AW1537" s="114">
        <v>1248</v>
      </c>
    </row>
    <row r="1538" spans="49:49" ht="15" customHeight="1" x14ac:dyDescent="0.35">
      <c r="AW1538" s="114">
        <v>1249</v>
      </c>
    </row>
    <row r="1539" spans="49:49" ht="15" customHeight="1" x14ac:dyDescent="0.35">
      <c r="AW1539" s="114">
        <v>1250</v>
      </c>
    </row>
    <row r="1540" spans="49:49" ht="15" customHeight="1" x14ac:dyDescent="0.35">
      <c r="AW1540" s="114">
        <v>1251</v>
      </c>
    </row>
    <row r="1541" spans="49:49" ht="15" customHeight="1" x14ac:dyDescent="0.35">
      <c r="AW1541" s="114">
        <v>1252</v>
      </c>
    </row>
    <row r="1542" spans="49:49" ht="15" customHeight="1" x14ac:dyDescent="0.35">
      <c r="AW1542" s="114">
        <v>1253</v>
      </c>
    </row>
    <row r="1543" spans="49:49" ht="15" customHeight="1" x14ac:dyDescent="0.35">
      <c r="AW1543" s="114">
        <v>1254</v>
      </c>
    </row>
    <row r="1544" spans="49:49" ht="15" customHeight="1" x14ac:dyDescent="0.35">
      <c r="AW1544" s="114">
        <v>1255</v>
      </c>
    </row>
    <row r="1545" spans="49:49" ht="15" customHeight="1" x14ac:dyDescent="0.35">
      <c r="AW1545" s="114">
        <v>1256</v>
      </c>
    </row>
    <row r="1546" spans="49:49" ht="15" customHeight="1" x14ac:dyDescent="0.35">
      <c r="AW1546" s="114">
        <v>1257</v>
      </c>
    </row>
    <row r="1547" spans="49:49" ht="15" customHeight="1" x14ac:dyDescent="0.35">
      <c r="AW1547" s="114">
        <v>1258</v>
      </c>
    </row>
    <row r="1548" spans="49:49" ht="15" customHeight="1" x14ac:dyDescent="0.35">
      <c r="AW1548" s="114">
        <v>1259</v>
      </c>
    </row>
    <row r="1549" spans="49:49" ht="15" customHeight="1" x14ac:dyDescent="0.35">
      <c r="AW1549" s="114">
        <v>1260</v>
      </c>
    </row>
    <row r="1550" spans="49:49" ht="15" customHeight="1" x14ac:dyDescent="0.35">
      <c r="AW1550" s="114">
        <v>1261</v>
      </c>
    </row>
    <row r="1551" spans="49:49" ht="15" customHeight="1" x14ac:dyDescent="0.35">
      <c r="AW1551" s="114">
        <v>1262</v>
      </c>
    </row>
    <row r="1552" spans="49:49" ht="15" customHeight="1" x14ac:dyDescent="0.35">
      <c r="AW1552" s="114">
        <v>1263</v>
      </c>
    </row>
    <row r="1553" spans="49:49" ht="15" customHeight="1" x14ac:dyDescent="0.35">
      <c r="AW1553" s="114">
        <v>1264</v>
      </c>
    </row>
    <row r="1554" spans="49:49" ht="15" customHeight="1" x14ac:dyDescent="0.35">
      <c r="AW1554" s="114">
        <v>1265</v>
      </c>
    </row>
    <row r="1555" spans="49:49" ht="15" customHeight="1" x14ac:dyDescent="0.35">
      <c r="AW1555" s="114">
        <v>1266</v>
      </c>
    </row>
    <row r="1556" spans="49:49" ht="15" customHeight="1" x14ac:dyDescent="0.35">
      <c r="AW1556" s="114">
        <v>1267</v>
      </c>
    </row>
    <row r="1557" spans="49:49" ht="15" customHeight="1" x14ac:dyDescent="0.35">
      <c r="AW1557" s="114">
        <v>1268</v>
      </c>
    </row>
    <row r="1558" spans="49:49" ht="15" customHeight="1" x14ac:dyDescent="0.35">
      <c r="AW1558" s="114">
        <v>1269</v>
      </c>
    </row>
    <row r="1559" spans="49:49" ht="15" customHeight="1" x14ac:dyDescent="0.35">
      <c r="AW1559" s="114">
        <v>1270</v>
      </c>
    </row>
    <row r="1560" spans="49:49" ht="15" customHeight="1" x14ac:dyDescent="0.35">
      <c r="AW1560" s="114">
        <v>1271</v>
      </c>
    </row>
    <row r="1561" spans="49:49" ht="15" customHeight="1" x14ac:dyDescent="0.35">
      <c r="AW1561" s="114">
        <v>1272</v>
      </c>
    </row>
    <row r="1562" spans="49:49" ht="15" customHeight="1" x14ac:dyDescent="0.35">
      <c r="AW1562" s="114">
        <v>1273</v>
      </c>
    </row>
    <row r="1563" spans="49:49" ht="15" customHeight="1" x14ac:dyDescent="0.35">
      <c r="AW1563" s="114">
        <v>1274</v>
      </c>
    </row>
    <row r="1564" spans="49:49" ht="15" customHeight="1" x14ac:dyDescent="0.35">
      <c r="AW1564" s="114">
        <v>1275</v>
      </c>
    </row>
    <row r="1565" spans="49:49" ht="15" customHeight="1" x14ac:dyDescent="0.35">
      <c r="AW1565" s="114">
        <v>1276</v>
      </c>
    </row>
    <row r="1566" spans="49:49" ht="15" customHeight="1" x14ac:dyDescent="0.35">
      <c r="AW1566" s="114">
        <v>1277</v>
      </c>
    </row>
    <row r="1567" spans="49:49" ht="15" customHeight="1" x14ac:dyDescent="0.35">
      <c r="AW1567" s="114">
        <v>1278</v>
      </c>
    </row>
    <row r="1568" spans="49:49" ht="15" customHeight="1" x14ac:dyDescent="0.35">
      <c r="AW1568" s="114">
        <v>1279</v>
      </c>
    </row>
    <row r="1569" spans="49:49" ht="15" customHeight="1" x14ac:dyDescent="0.35">
      <c r="AW1569" s="114">
        <v>1280</v>
      </c>
    </row>
    <row r="1570" spans="49:49" ht="15" customHeight="1" x14ac:dyDescent="0.35">
      <c r="AW1570" s="114">
        <v>1281</v>
      </c>
    </row>
    <row r="1571" spans="49:49" ht="15" customHeight="1" x14ac:dyDescent="0.35">
      <c r="AW1571" s="114">
        <v>1282</v>
      </c>
    </row>
    <row r="1572" spans="49:49" ht="15" customHeight="1" x14ac:dyDescent="0.35">
      <c r="AW1572" s="114">
        <v>1283</v>
      </c>
    </row>
    <row r="1573" spans="49:49" ht="15" customHeight="1" x14ac:dyDescent="0.35">
      <c r="AW1573" s="114">
        <v>1284</v>
      </c>
    </row>
    <row r="1574" spans="49:49" ht="15" customHeight="1" x14ac:dyDescent="0.35">
      <c r="AW1574" s="114">
        <v>1285</v>
      </c>
    </row>
    <row r="1575" spans="49:49" ht="15" customHeight="1" x14ac:dyDescent="0.35">
      <c r="AW1575" s="114">
        <v>1286</v>
      </c>
    </row>
    <row r="1576" spans="49:49" ht="15" customHeight="1" x14ac:dyDescent="0.35">
      <c r="AW1576" s="114">
        <v>1287</v>
      </c>
    </row>
    <row r="1577" spans="49:49" ht="15" customHeight="1" x14ac:dyDescent="0.35">
      <c r="AW1577" s="114">
        <v>1288</v>
      </c>
    </row>
    <row r="1578" spans="49:49" ht="15" customHeight="1" x14ac:dyDescent="0.35">
      <c r="AW1578" s="114">
        <v>1289</v>
      </c>
    </row>
    <row r="1579" spans="49:49" ht="15" customHeight="1" x14ac:dyDescent="0.35">
      <c r="AW1579" s="114">
        <v>1290</v>
      </c>
    </row>
    <row r="1580" spans="49:49" ht="15" customHeight="1" x14ac:dyDescent="0.35">
      <c r="AW1580" s="114">
        <v>1291</v>
      </c>
    </row>
    <row r="1581" spans="49:49" ht="15" customHeight="1" x14ac:dyDescent="0.35">
      <c r="AW1581" s="114">
        <v>1292</v>
      </c>
    </row>
    <row r="1582" spans="49:49" ht="15" customHeight="1" x14ac:dyDescent="0.35">
      <c r="AW1582" s="114">
        <v>1293</v>
      </c>
    </row>
    <row r="1583" spans="49:49" ht="15" customHeight="1" x14ac:dyDescent="0.35">
      <c r="AW1583" s="114">
        <v>1294</v>
      </c>
    </row>
    <row r="1584" spans="49:49" ht="15" customHeight="1" x14ac:dyDescent="0.35">
      <c r="AW1584" s="114">
        <v>1295</v>
      </c>
    </row>
    <row r="1585" spans="49:49" ht="15" customHeight="1" x14ac:dyDescent="0.35">
      <c r="AW1585" s="114">
        <v>1296</v>
      </c>
    </row>
    <row r="1586" spans="49:49" ht="15" customHeight="1" x14ac:dyDescent="0.35">
      <c r="AW1586" s="114">
        <v>1297</v>
      </c>
    </row>
    <row r="1587" spans="49:49" ht="15" customHeight="1" x14ac:dyDescent="0.35">
      <c r="AW1587" s="114">
        <v>1298</v>
      </c>
    </row>
    <row r="1588" spans="49:49" ht="15" customHeight="1" x14ac:dyDescent="0.35">
      <c r="AW1588" s="114">
        <v>1299</v>
      </c>
    </row>
    <row r="1589" spans="49:49" ht="15" customHeight="1" x14ac:dyDescent="0.35">
      <c r="AW1589" s="114">
        <v>1300</v>
      </c>
    </row>
    <row r="1590" spans="49:49" ht="15" customHeight="1" x14ac:dyDescent="0.35">
      <c r="AW1590" s="114">
        <v>1301</v>
      </c>
    </row>
    <row r="1591" spans="49:49" ht="15" customHeight="1" x14ac:dyDescent="0.35">
      <c r="AW1591" s="114">
        <v>1302</v>
      </c>
    </row>
    <row r="1592" spans="49:49" ht="15" customHeight="1" x14ac:dyDescent="0.35">
      <c r="AW1592" s="114">
        <v>1303</v>
      </c>
    </row>
    <row r="1593" spans="49:49" ht="15" customHeight="1" x14ac:dyDescent="0.35">
      <c r="AW1593" s="114">
        <v>1304</v>
      </c>
    </row>
    <row r="1594" spans="49:49" ht="15" customHeight="1" x14ac:dyDescent="0.35">
      <c r="AW1594" s="114">
        <v>1305</v>
      </c>
    </row>
    <row r="1595" spans="49:49" ht="15" customHeight="1" x14ac:dyDescent="0.35">
      <c r="AW1595" s="114">
        <v>1306</v>
      </c>
    </row>
    <row r="1596" spans="49:49" ht="15" customHeight="1" x14ac:dyDescent="0.35">
      <c r="AW1596" s="114">
        <v>1307</v>
      </c>
    </row>
    <row r="1597" spans="49:49" ht="15" customHeight="1" x14ac:dyDescent="0.35">
      <c r="AW1597" s="114">
        <v>1308</v>
      </c>
    </row>
    <row r="1598" spans="49:49" ht="15" customHeight="1" x14ac:dyDescent="0.35">
      <c r="AW1598" s="114">
        <v>1309</v>
      </c>
    </row>
    <row r="1599" spans="49:49" ht="15" customHeight="1" x14ac:dyDescent="0.35">
      <c r="AW1599" s="114">
        <v>1310</v>
      </c>
    </row>
    <row r="1600" spans="49:49" ht="15" customHeight="1" x14ac:dyDescent="0.35">
      <c r="AW1600" s="114">
        <v>1311</v>
      </c>
    </row>
    <row r="1601" spans="49:49" ht="15" customHeight="1" x14ac:dyDescent="0.35">
      <c r="AW1601" s="114">
        <v>1312</v>
      </c>
    </row>
    <row r="1602" spans="49:49" ht="15" customHeight="1" x14ac:dyDescent="0.35">
      <c r="AW1602" s="114">
        <v>1313</v>
      </c>
    </row>
    <row r="1603" spans="49:49" ht="15" customHeight="1" x14ac:dyDescent="0.35">
      <c r="AW1603" s="114">
        <v>1314</v>
      </c>
    </row>
    <row r="1604" spans="49:49" ht="15" customHeight="1" x14ac:dyDescent="0.35">
      <c r="AW1604" s="114">
        <v>1315</v>
      </c>
    </row>
    <row r="1605" spans="49:49" ht="15" customHeight="1" x14ac:dyDescent="0.35">
      <c r="AW1605" s="114">
        <v>1316</v>
      </c>
    </row>
    <row r="1606" spans="49:49" ht="15" customHeight="1" x14ac:dyDescent="0.35">
      <c r="AW1606" s="114">
        <v>1317</v>
      </c>
    </row>
    <row r="1607" spans="49:49" ht="15" customHeight="1" x14ac:dyDescent="0.35">
      <c r="AW1607" s="114">
        <v>1318</v>
      </c>
    </row>
    <row r="1608" spans="49:49" ht="15" customHeight="1" x14ac:dyDescent="0.35">
      <c r="AW1608" s="114">
        <v>1319</v>
      </c>
    </row>
    <row r="1609" spans="49:49" ht="15" customHeight="1" x14ac:dyDescent="0.35">
      <c r="AW1609" s="114">
        <v>1320</v>
      </c>
    </row>
    <row r="1610" spans="49:49" ht="15" customHeight="1" x14ac:dyDescent="0.35">
      <c r="AW1610" s="114">
        <v>1321</v>
      </c>
    </row>
    <row r="1611" spans="49:49" ht="15" customHeight="1" x14ac:dyDescent="0.35">
      <c r="AW1611" s="114">
        <v>1322</v>
      </c>
    </row>
    <row r="1612" spans="49:49" ht="15" customHeight="1" x14ac:dyDescent="0.35">
      <c r="AW1612" s="114">
        <v>1323</v>
      </c>
    </row>
    <row r="1613" spans="49:49" ht="15" customHeight="1" x14ac:dyDescent="0.35">
      <c r="AW1613" s="114">
        <v>1324</v>
      </c>
    </row>
    <row r="1614" spans="49:49" ht="15" customHeight="1" x14ac:dyDescent="0.35">
      <c r="AW1614" s="114">
        <v>1325</v>
      </c>
    </row>
    <row r="1615" spans="49:49" ht="15" customHeight="1" x14ac:dyDescent="0.35">
      <c r="AW1615" s="114">
        <v>1326</v>
      </c>
    </row>
    <row r="1616" spans="49:49" ht="15" customHeight="1" x14ac:dyDescent="0.35">
      <c r="AW1616" s="114">
        <v>1327</v>
      </c>
    </row>
    <row r="1617" spans="49:49" ht="15" customHeight="1" x14ac:dyDescent="0.35">
      <c r="AW1617" s="114">
        <v>1328</v>
      </c>
    </row>
    <row r="1618" spans="49:49" ht="15" customHeight="1" x14ac:dyDescent="0.35">
      <c r="AW1618" s="114">
        <v>1329</v>
      </c>
    </row>
    <row r="1619" spans="49:49" ht="15" customHeight="1" x14ac:dyDescent="0.35">
      <c r="AW1619" s="114">
        <v>1330</v>
      </c>
    </row>
    <row r="1620" spans="49:49" ht="15" customHeight="1" x14ac:dyDescent="0.35">
      <c r="AW1620" s="114">
        <v>1331</v>
      </c>
    </row>
    <row r="1621" spans="49:49" ht="15" customHeight="1" x14ac:dyDescent="0.35">
      <c r="AW1621" s="114">
        <v>1332</v>
      </c>
    </row>
    <row r="1622" spans="49:49" ht="15" customHeight="1" x14ac:dyDescent="0.35">
      <c r="AW1622" s="114">
        <v>1333</v>
      </c>
    </row>
    <row r="1623" spans="49:49" ht="15" customHeight="1" x14ac:dyDescent="0.35">
      <c r="AW1623" s="114">
        <v>1334</v>
      </c>
    </row>
    <row r="1624" spans="49:49" ht="15" customHeight="1" x14ac:dyDescent="0.35">
      <c r="AW1624" s="114">
        <v>1335</v>
      </c>
    </row>
    <row r="1625" spans="49:49" ht="15" customHeight="1" x14ac:dyDescent="0.35">
      <c r="AW1625" s="114">
        <v>1336</v>
      </c>
    </row>
    <row r="1626" spans="49:49" ht="15" customHeight="1" x14ac:dyDescent="0.35">
      <c r="AW1626" s="114">
        <v>1337</v>
      </c>
    </row>
    <row r="1627" spans="49:49" ht="15" customHeight="1" x14ac:dyDescent="0.35">
      <c r="AW1627" s="114">
        <v>1338</v>
      </c>
    </row>
    <row r="1628" spans="49:49" ht="15" customHeight="1" x14ac:dyDescent="0.35">
      <c r="AW1628" s="114">
        <v>1339</v>
      </c>
    </row>
    <row r="1629" spans="49:49" ht="15" customHeight="1" x14ac:dyDescent="0.35">
      <c r="AW1629" s="114">
        <v>1340</v>
      </c>
    </row>
    <row r="1630" spans="49:49" ht="15" customHeight="1" x14ac:dyDescent="0.35">
      <c r="AW1630" s="114">
        <v>1341</v>
      </c>
    </row>
    <row r="1631" spans="49:49" ht="15" customHeight="1" x14ac:dyDescent="0.35">
      <c r="AW1631" s="114">
        <v>1342</v>
      </c>
    </row>
    <row r="1632" spans="49:49" ht="15" customHeight="1" x14ac:dyDescent="0.35">
      <c r="AW1632" s="114">
        <v>1343</v>
      </c>
    </row>
    <row r="1633" spans="49:49" ht="15" customHeight="1" x14ac:dyDescent="0.35">
      <c r="AW1633" s="114">
        <v>1344</v>
      </c>
    </row>
    <row r="1634" spans="49:49" ht="15" customHeight="1" x14ac:dyDescent="0.35">
      <c r="AW1634" s="114">
        <v>1345</v>
      </c>
    </row>
    <row r="1635" spans="49:49" ht="15" customHeight="1" x14ac:dyDescent="0.35">
      <c r="AW1635" s="114">
        <v>1346</v>
      </c>
    </row>
    <row r="1636" spans="49:49" ht="15" customHeight="1" x14ac:dyDescent="0.35">
      <c r="AW1636" s="114">
        <v>1347</v>
      </c>
    </row>
    <row r="1637" spans="49:49" ht="15" customHeight="1" x14ac:dyDescent="0.35">
      <c r="AW1637" s="114">
        <v>1348</v>
      </c>
    </row>
    <row r="1638" spans="49:49" ht="15" customHeight="1" x14ac:dyDescent="0.35">
      <c r="AW1638" s="114">
        <v>1349</v>
      </c>
    </row>
    <row r="1639" spans="49:49" ht="15" customHeight="1" x14ac:dyDescent="0.35">
      <c r="AW1639" s="114">
        <v>1350</v>
      </c>
    </row>
    <row r="1640" spans="49:49" ht="15" customHeight="1" x14ac:dyDescent="0.35">
      <c r="AW1640" s="114">
        <v>1351</v>
      </c>
    </row>
    <row r="1641" spans="49:49" ht="15" customHeight="1" x14ac:dyDescent="0.35">
      <c r="AW1641" s="114">
        <v>1352</v>
      </c>
    </row>
    <row r="1642" spans="49:49" ht="15" customHeight="1" x14ac:dyDescent="0.35">
      <c r="AW1642" s="114">
        <v>1353</v>
      </c>
    </row>
    <row r="1643" spans="49:49" ht="15" customHeight="1" x14ac:dyDescent="0.35">
      <c r="AW1643" s="114">
        <v>1354</v>
      </c>
    </row>
    <row r="1644" spans="49:49" ht="15" customHeight="1" x14ac:dyDescent="0.35">
      <c r="AW1644" s="114">
        <v>1355</v>
      </c>
    </row>
    <row r="1645" spans="49:49" ht="15" customHeight="1" x14ac:dyDescent="0.35">
      <c r="AW1645" s="114">
        <v>1356</v>
      </c>
    </row>
    <row r="1646" spans="49:49" ht="15" customHeight="1" x14ac:dyDescent="0.35">
      <c r="AW1646" s="114">
        <v>1357</v>
      </c>
    </row>
    <row r="1647" spans="49:49" ht="15" customHeight="1" x14ac:dyDescent="0.35">
      <c r="AW1647" s="114">
        <v>1358</v>
      </c>
    </row>
    <row r="1648" spans="49:49" ht="15" customHeight="1" x14ac:dyDescent="0.35">
      <c r="AW1648" s="114">
        <v>1359</v>
      </c>
    </row>
    <row r="1649" spans="49:49" ht="15" customHeight="1" x14ac:dyDescent="0.35">
      <c r="AW1649" s="114">
        <v>1360</v>
      </c>
    </row>
    <row r="1650" spans="49:49" ht="15" customHeight="1" x14ac:dyDescent="0.35">
      <c r="AW1650" s="114">
        <v>1361</v>
      </c>
    </row>
    <row r="1651" spans="49:49" ht="15" customHeight="1" x14ac:dyDescent="0.35">
      <c r="AW1651" s="114">
        <v>1362</v>
      </c>
    </row>
    <row r="1652" spans="49:49" ht="15" customHeight="1" x14ac:dyDescent="0.35">
      <c r="AW1652" s="114">
        <v>1363</v>
      </c>
    </row>
    <row r="1653" spans="49:49" ht="15" customHeight="1" x14ac:dyDescent="0.35">
      <c r="AW1653" s="114">
        <v>1364</v>
      </c>
    </row>
    <row r="1654" spans="49:49" ht="15" customHeight="1" x14ac:dyDescent="0.35">
      <c r="AW1654" s="114">
        <v>1365</v>
      </c>
    </row>
    <row r="1655" spans="49:49" ht="15" customHeight="1" x14ac:dyDescent="0.35">
      <c r="AW1655" s="114">
        <v>1366</v>
      </c>
    </row>
    <row r="1656" spans="49:49" ht="15" customHeight="1" x14ac:dyDescent="0.35">
      <c r="AW1656" s="114">
        <v>1367</v>
      </c>
    </row>
    <row r="1657" spans="49:49" ht="15" customHeight="1" x14ac:dyDescent="0.35">
      <c r="AW1657" s="114">
        <v>1368</v>
      </c>
    </row>
    <row r="1658" spans="49:49" ht="15" customHeight="1" x14ac:dyDescent="0.35">
      <c r="AW1658" s="114">
        <v>1369</v>
      </c>
    </row>
    <row r="1659" spans="49:49" ht="15" customHeight="1" x14ac:dyDescent="0.35">
      <c r="AW1659" s="114">
        <v>1370</v>
      </c>
    </row>
    <row r="1660" spans="49:49" ht="15" customHeight="1" x14ac:dyDescent="0.35">
      <c r="AW1660" s="114">
        <v>1371</v>
      </c>
    </row>
    <row r="1661" spans="49:49" ht="15" customHeight="1" x14ac:dyDescent="0.35">
      <c r="AW1661" s="114">
        <v>1372</v>
      </c>
    </row>
    <row r="1662" spans="49:49" ht="15" customHeight="1" x14ac:dyDescent="0.35">
      <c r="AW1662" s="114">
        <v>1373</v>
      </c>
    </row>
    <row r="1663" spans="49:49" ht="15" customHeight="1" x14ac:dyDescent="0.35">
      <c r="AW1663" s="114">
        <v>1374</v>
      </c>
    </row>
    <row r="1664" spans="49:49" ht="15" customHeight="1" x14ac:dyDescent="0.35">
      <c r="AW1664" s="114">
        <v>1375</v>
      </c>
    </row>
    <row r="1665" spans="49:49" ht="15" customHeight="1" x14ac:dyDescent="0.35">
      <c r="AW1665" s="114">
        <v>1376</v>
      </c>
    </row>
    <row r="1666" spans="49:49" ht="15" customHeight="1" x14ac:dyDescent="0.35">
      <c r="AW1666" s="114">
        <v>1377</v>
      </c>
    </row>
    <row r="1667" spans="49:49" ht="15" customHeight="1" x14ac:dyDescent="0.35">
      <c r="AW1667" s="114">
        <v>1378</v>
      </c>
    </row>
    <row r="1668" spans="49:49" ht="15" customHeight="1" x14ac:dyDescent="0.35">
      <c r="AW1668" s="114">
        <v>1379</v>
      </c>
    </row>
    <row r="1669" spans="49:49" ht="15" customHeight="1" x14ac:dyDescent="0.35">
      <c r="AW1669" s="114">
        <v>1380</v>
      </c>
    </row>
    <row r="1670" spans="49:49" ht="15" customHeight="1" x14ac:dyDescent="0.35">
      <c r="AW1670" s="114">
        <v>1381</v>
      </c>
    </row>
    <row r="1671" spans="49:49" ht="15" customHeight="1" x14ac:dyDescent="0.35">
      <c r="AW1671" s="114">
        <v>1382</v>
      </c>
    </row>
    <row r="1672" spans="49:49" ht="15" customHeight="1" x14ac:dyDescent="0.35">
      <c r="AW1672" s="114">
        <v>1383</v>
      </c>
    </row>
    <row r="1673" spans="49:49" ht="15" customHeight="1" x14ac:dyDescent="0.35">
      <c r="AW1673" s="114">
        <v>1384</v>
      </c>
    </row>
    <row r="1674" spans="49:49" ht="15" customHeight="1" x14ac:dyDescent="0.35">
      <c r="AW1674" s="114">
        <v>1385</v>
      </c>
    </row>
    <row r="1675" spans="49:49" ht="15" customHeight="1" x14ac:dyDescent="0.35">
      <c r="AW1675" s="114">
        <v>1386</v>
      </c>
    </row>
    <row r="1676" spans="49:49" ht="15" customHeight="1" x14ac:dyDescent="0.35">
      <c r="AW1676" s="114">
        <v>1387</v>
      </c>
    </row>
    <row r="1677" spans="49:49" ht="15" customHeight="1" x14ac:dyDescent="0.35">
      <c r="AW1677" s="114">
        <v>1388</v>
      </c>
    </row>
    <row r="1678" spans="49:49" ht="15" customHeight="1" x14ac:dyDescent="0.35">
      <c r="AW1678" s="114">
        <v>1389</v>
      </c>
    </row>
    <row r="1679" spans="49:49" ht="15" customHeight="1" x14ac:dyDescent="0.35">
      <c r="AW1679" s="114">
        <v>1390</v>
      </c>
    </row>
    <row r="1680" spans="49:49" ht="15" customHeight="1" x14ac:dyDescent="0.35">
      <c r="AW1680" s="114">
        <v>1391</v>
      </c>
    </row>
    <row r="1681" spans="49:49" ht="15" customHeight="1" x14ac:dyDescent="0.35">
      <c r="AW1681" s="114">
        <v>1392</v>
      </c>
    </row>
    <row r="1682" spans="49:49" ht="15" customHeight="1" x14ac:dyDescent="0.35">
      <c r="AW1682" s="114">
        <v>1393</v>
      </c>
    </row>
    <row r="1683" spans="49:49" ht="15" customHeight="1" x14ac:dyDescent="0.35">
      <c r="AW1683" s="114">
        <v>1394</v>
      </c>
    </row>
    <row r="1684" spans="49:49" ht="15" customHeight="1" x14ac:dyDescent="0.35">
      <c r="AW1684" s="114">
        <v>1395</v>
      </c>
    </row>
    <row r="1685" spans="49:49" ht="15" customHeight="1" x14ac:dyDescent="0.35">
      <c r="AW1685" s="114">
        <v>1396</v>
      </c>
    </row>
    <row r="1686" spans="49:49" ht="15" customHeight="1" x14ac:dyDescent="0.35">
      <c r="AW1686" s="114">
        <v>1397</v>
      </c>
    </row>
    <row r="1687" spans="49:49" ht="15" customHeight="1" x14ac:dyDescent="0.35">
      <c r="AW1687" s="114">
        <v>1398</v>
      </c>
    </row>
    <row r="1688" spans="49:49" ht="15" customHeight="1" x14ac:dyDescent="0.35">
      <c r="AW1688" s="114">
        <v>1399</v>
      </c>
    </row>
    <row r="1689" spans="49:49" ht="15" customHeight="1" x14ac:dyDescent="0.35">
      <c r="AW1689" s="114">
        <v>1400</v>
      </c>
    </row>
    <row r="1690" spans="49:49" ht="15" customHeight="1" x14ac:dyDescent="0.35">
      <c r="AW1690" s="114">
        <v>1401</v>
      </c>
    </row>
    <row r="1691" spans="49:49" ht="15" customHeight="1" x14ac:dyDescent="0.35">
      <c r="AW1691" s="114">
        <v>1402</v>
      </c>
    </row>
    <row r="1692" spans="49:49" ht="15" customHeight="1" x14ac:dyDescent="0.35">
      <c r="AW1692" s="114">
        <v>1403</v>
      </c>
    </row>
    <row r="1693" spans="49:49" ht="15" customHeight="1" x14ac:dyDescent="0.35">
      <c r="AW1693" s="114">
        <v>1404</v>
      </c>
    </row>
    <row r="1694" spans="49:49" ht="15" customHeight="1" x14ac:dyDescent="0.35">
      <c r="AW1694" s="114">
        <v>1405</v>
      </c>
    </row>
    <row r="1695" spans="49:49" ht="15" customHeight="1" x14ac:dyDescent="0.35">
      <c r="AW1695" s="114">
        <v>1406</v>
      </c>
    </row>
    <row r="1696" spans="49:49" ht="15" customHeight="1" x14ac:dyDescent="0.35">
      <c r="AW1696" s="114">
        <v>1407</v>
      </c>
    </row>
    <row r="1697" spans="49:49" ht="15" customHeight="1" x14ac:dyDescent="0.35">
      <c r="AW1697" s="114">
        <v>1408</v>
      </c>
    </row>
    <row r="1698" spans="49:49" ht="15" customHeight="1" x14ac:dyDescent="0.35">
      <c r="AW1698" s="114">
        <v>1409</v>
      </c>
    </row>
    <row r="1699" spans="49:49" ht="15" customHeight="1" x14ac:dyDescent="0.35">
      <c r="AW1699" s="114">
        <v>1410</v>
      </c>
    </row>
    <row r="1700" spans="49:49" ht="15" customHeight="1" x14ac:dyDescent="0.35">
      <c r="AW1700" s="114">
        <v>1411</v>
      </c>
    </row>
    <row r="1701" spans="49:49" ht="15" customHeight="1" x14ac:dyDescent="0.35">
      <c r="AW1701" s="114">
        <v>1412</v>
      </c>
    </row>
    <row r="1702" spans="49:49" ht="15" customHeight="1" x14ac:dyDescent="0.35">
      <c r="AW1702" s="114">
        <v>1413</v>
      </c>
    </row>
    <row r="1703" spans="49:49" ht="15" customHeight="1" x14ac:dyDescent="0.35">
      <c r="AW1703" s="114">
        <v>1414</v>
      </c>
    </row>
    <row r="1704" spans="49:49" ht="15" customHeight="1" x14ac:dyDescent="0.35">
      <c r="AW1704" s="114">
        <v>1415</v>
      </c>
    </row>
    <row r="1705" spans="49:49" ht="15" customHeight="1" x14ac:dyDescent="0.35">
      <c r="AW1705" s="114">
        <v>1416</v>
      </c>
    </row>
    <row r="1706" spans="49:49" ht="15" customHeight="1" x14ac:dyDescent="0.35">
      <c r="AW1706" s="114">
        <v>1417</v>
      </c>
    </row>
    <row r="1707" spans="49:49" ht="15" customHeight="1" x14ac:dyDescent="0.35">
      <c r="AW1707" s="114">
        <v>1418</v>
      </c>
    </row>
    <row r="1708" spans="49:49" ht="15" customHeight="1" x14ac:dyDescent="0.35">
      <c r="AW1708" s="114">
        <v>1419</v>
      </c>
    </row>
    <row r="1709" spans="49:49" ht="15" customHeight="1" x14ac:dyDescent="0.35">
      <c r="AW1709" s="114">
        <v>1420</v>
      </c>
    </row>
    <row r="1710" spans="49:49" ht="15" customHeight="1" x14ac:dyDescent="0.35">
      <c r="AW1710" s="114">
        <v>1421</v>
      </c>
    </row>
    <row r="1711" spans="49:49" ht="15" customHeight="1" x14ac:dyDescent="0.35">
      <c r="AW1711" s="114">
        <v>1422</v>
      </c>
    </row>
    <row r="1712" spans="49:49" ht="15" customHeight="1" x14ac:dyDescent="0.35">
      <c r="AW1712" s="114">
        <v>1423</v>
      </c>
    </row>
    <row r="1713" spans="49:49" ht="15" customHeight="1" x14ac:dyDescent="0.35">
      <c r="AW1713" s="114">
        <v>1424</v>
      </c>
    </row>
    <row r="1714" spans="49:49" ht="15" customHeight="1" x14ac:dyDescent="0.35">
      <c r="AW1714" s="114">
        <v>1425</v>
      </c>
    </row>
    <row r="1715" spans="49:49" ht="15" customHeight="1" x14ac:dyDescent="0.35">
      <c r="AW1715" s="114">
        <v>1426</v>
      </c>
    </row>
    <row r="1716" spans="49:49" ht="15" customHeight="1" x14ac:dyDescent="0.35">
      <c r="AW1716" s="114">
        <v>1427</v>
      </c>
    </row>
    <row r="1717" spans="49:49" ht="15" customHeight="1" x14ac:dyDescent="0.35">
      <c r="AW1717" s="114">
        <v>1428</v>
      </c>
    </row>
    <row r="1718" spans="49:49" ht="15" customHeight="1" x14ac:dyDescent="0.35">
      <c r="AW1718" s="114">
        <v>1429</v>
      </c>
    </row>
    <row r="1719" spans="49:49" ht="15" customHeight="1" x14ac:dyDescent="0.35">
      <c r="AW1719" s="114">
        <v>1430</v>
      </c>
    </row>
    <row r="1720" spans="49:49" ht="15" customHeight="1" x14ac:dyDescent="0.35">
      <c r="AW1720" s="114">
        <v>1431</v>
      </c>
    </row>
    <row r="1721" spans="49:49" ht="15" customHeight="1" x14ac:dyDescent="0.35">
      <c r="AW1721" s="114">
        <v>1432</v>
      </c>
    </row>
    <row r="1722" spans="49:49" ht="15" customHeight="1" x14ac:dyDescent="0.35">
      <c r="AW1722" s="114">
        <v>1433</v>
      </c>
    </row>
    <row r="1723" spans="49:49" ht="15" customHeight="1" x14ac:dyDescent="0.35">
      <c r="AW1723" s="114">
        <v>1434</v>
      </c>
    </row>
    <row r="1724" spans="49:49" ht="15" customHeight="1" x14ac:dyDescent="0.35">
      <c r="AW1724" s="114">
        <v>1435</v>
      </c>
    </row>
    <row r="1725" spans="49:49" ht="15" customHeight="1" x14ac:dyDescent="0.35">
      <c r="AW1725" s="114">
        <v>1436</v>
      </c>
    </row>
    <row r="1726" spans="49:49" ht="15" customHeight="1" x14ac:dyDescent="0.35">
      <c r="AW1726" s="114">
        <v>1437</v>
      </c>
    </row>
    <row r="1727" spans="49:49" ht="15" customHeight="1" x14ac:dyDescent="0.35">
      <c r="AW1727" s="114">
        <v>1438</v>
      </c>
    </row>
    <row r="1728" spans="49:49" ht="15" customHeight="1" x14ac:dyDescent="0.35">
      <c r="AW1728" s="114">
        <v>1439</v>
      </c>
    </row>
    <row r="1729" spans="49:49" ht="15" customHeight="1" x14ac:dyDescent="0.35">
      <c r="AW1729" s="114">
        <v>1440</v>
      </c>
    </row>
    <row r="1730" spans="49:49" ht="15" customHeight="1" x14ac:dyDescent="0.35">
      <c r="AW1730" s="114">
        <v>1441</v>
      </c>
    </row>
    <row r="1731" spans="49:49" ht="15" customHeight="1" x14ac:dyDescent="0.35">
      <c r="AW1731" s="114">
        <v>1442</v>
      </c>
    </row>
    <row r="1732" spans="49:49" ht="15" customHeight="1" x14ac:dyDescent="0.35">
      <c r="AW1732" s="114">
        <v>1443</v>
      </c>
    </row>
    <row r="1733" spans="49:49" ht="15" customHeight="1" x14ac:dyDescent="0.35">
      <c r="AW1733" s="114">
        <v>1444</v>
      </c>
    </row>
    <row r="1734" spans="49:49" ht="15" customHeight="1" x14ac:dyDescent="0.35">
      <c r="AW1734" s="114">
        <v>1445</v>
      </c>
    </row>
    <row r="1735" spans="49:49" ht="15" customHeight="1" x14ac:dyDescent="0.35">
      <c r="AW1735" s="114">
        <v>1446</v>
      </c>
    </row>
    <row r="1736" spans="49:49" ht="15" customHeight="1" x14ac:dyDescent="0.35">
      <c r="AW1736" s="114">
        <v>1447</v>
      </c>
    </row>
    <row r="1737" spans="49:49" ht="15" customHeight="1" x14ac:dyDescent="0.35">
      <c r="AW1737" s="114">
        <v>1448</v>
      </c>
    </row>
    <row r="1738" spans="49:49" ht="15" customHeight="1" x14ac:dyDescent="0.35">
      <c r="AW1738" s="114">
        <v>1449</v>
      </c>
    </row>
    <row r="1739" spans="49:49" ht="15" customHeight="1" x14ac:dyDescent="0.35">
      <c r="AW1739" s="114">
        <v>1450</v>
      </c>
    </row>
    <row r="1740" spans="49:49" ht="15" customHeight="1" x14ac:dyDescent="0.35">
      <c r="AW1740" s="114">
        <v>1451</v>
      </c>
    </row>
    <row r="1741" spans="49:49" ht="15" customHeight="1" x14ac:dyDescent="0.35">
      <c r="AW1741" s="114">
        <v>1452</v>
      </c>
    </row>
    <row r="1742" spans="49:49" ht="15" customHeight="1" x14ac:dyDescent="0.35">
      <c r="AW1742" s="114">
        <v>1453</v>
      </c>
    </row>
    <row r="1743" spans="49:49" ht="15" customHeight="1" x14ac:dyDescent="0.35">
      <c r="AW1743" s="114">
        <v>1454</v>
      </c>
    </row>
    <row r="1744" spans="49:49" ht="15" customHeight="1" x14ac:dyDescent="0.35">
      <c r="AW1744" s="114">
        <v>1455</v>
      </c>
    </row>
    <row r="1745" spans="49:49" ht="15" customHeight="1" x14ac:dyDescent="0.35">
      <c r="AW1745" s="114">
        <v>1456</v>
      </c>
    </row>
    <row r="1746" spans="49:49" ht="15" customHeight="1" x14ac:dyDescent="0.35">
      <c r="AW1746" s="114">
        <v>1457</v>
      </c>
    </row>
    <row r="1747" spans="49:49" ht="15" customHeight="1" x14ac:dyDescent="0.35">
      <c r="AW1747" s="114">
        <v>1458</v>
      </c>
    </row>
    <row r="1748" spans="49:49" ht="15" customHeight="1" x14ac:dyDescent="0.35">
      <c r="AW1748" s="114">
        <v>1459</v>
      </c>
    </row>
    <row r="1749" spans="49:49" ht="15" customHeight="1" x14ac:dyDescent="0.35">
      <c r="AW1749" s="114">
        <v>1460</v>
      </c>
    </row>
    <row r="1750" spans="49:49" ht="15" customHeight="1" x14ac:dyDescent="0.35">
      <c r="AW1750" s="114">
        <v>1461</v>
      </c>
    </row>
    <row r="1751" spans="49:49" ht="15" customHeight="1" x14ac:dyDescent="0.35">
      <c r="AW1751" s="114">
        <v>1462</v>
      </c>
    </row>
    <row r="1752" spans="49:49" ht="15" customHeight="1" x14ac:dyDescent="0.35">
      <c r="AW1752" s="114">
        <v>1463</v>
      </c>
    </row>
    <row r="1753" spans="49:49" ht="15" customHeight="1" x14ac:dyDescent="0.35">
      <c r="AW1753" s="114">
        <v>1464</v>
      </c>
    </row>
    <row r="1754" spans="49:49" ht="15" customHeight="1" x14ac:dyDescent="0.35">
      <c r="AW1754" s="114">
        <v>1465</v>
      </c>
    </row>
    <row r="1755" spans="49:49" ht="15" customHeight="1" x14ac:dyDescent="0.35">
      <c r="AW1755" s="114">
        <v>1466</v>
      </c>
    </row>
    <row r="1756" spans="49:49" ht="15" customHeight="1" x14ac:dyDescent="0.35">
      <c r="AW1756" s="114">
        <v>1467</v>
      </c>
    </row>
    <row r="1757" spans="49:49" ht="15" customHeight="1" x14ac:dyDescent="0.35">
      <c r="AW1757" s="114">
        <v>1468</v>
      </c>
    </row>
    <row r="1758" spans="49:49" ht="15" customHeight="1" x14ac:dyDescent="0.35">
      <c r="AW1758" s="114">
        <v>1469</v>
      </c>
    </row>
    <row r="1759" spans="49:49" ht="15" customHeight="1" x14ac:dyDescent="0.35">
      <c r="AW1759" s="114">
        <v>1470</v>
      </c>
    </row>
    <row r="1760" spans="49:49" ht="15" customHeight="1" x14ac:dyDescent="0.35">
      <c r="AW1760" s="114">
        <v>1471</v>
      </c>
    </row>
    <row r="1761" spans="49:49" ht="15" customHeight="1" x14ac:dyDescent="0.35">
      <c r="AW1761" s="114">
        <v>1472</v>
      </c>
    </row>
    <row r="1762" spans="49:49" ht="15" customHeight="1" x14ac:dyDescent="0.35">
      <c r="AW1762" s="114">
        <v>1473</v>
      </c>
    </row>
    <row r="1763" spans="49:49" ht="15" customHeight="1" x14ac:dyDescent="0.35">
      <c r="AW1763" s="114">
        <v>1474</v>
      </c>
    </row>
    <row r="1764" spans="49:49" ht="15" customHeight="1" x14ac:dyDescent="0.35">
      <c r="AW1764" s="114">
        <v>1475</v>
      </c>
    </row>
    <row r="1765" spans="49:49" ht="15" customHeight="1" x14ac:dyDescent="0.35">
      <c r="AW1765" s="114">
        <v>1476</v>
      </c>
    </row>
    <row r="1766" spans="49:49" ht="15" customHeight="1" x14ac:dyDescent="0.35">
      <c r="AW1766" s="114">
        <v>1477</v>
      </c>
    </row>
    <row r="1767" spans="49:49" ht="15" customHeight="1" x14ac:dyDescent="0.35">
      <c r="AW1767" s="114">
        <v>1478</v>
      </c>
    </row>
    <row r="1768" spans="49:49" ht="15" customHeight="1" x14ac:dyDescent="0.35">
      <c r="AW1768" s="114">
        <v>1479</v>
      </c>
    </row>
    <row r="1769" spans="49:49" ht="15" customHeight="1" x14ac:dyDescent="0.35">
      <c r="AW1769" s="114">
        <v>1480</v>
      </c>
    </row>
    <row r="1770" spans="49:49" ht="15" customHeight="1" x14ac:dyDescent="0.35">
      <c r="AW1770" s="114">
        <v>1481</v>
      </c>
    </row>
    <row r="1771" spans="49:49" ht="15" customHeight="1" x14ac:dyDescent="0.35">
      <c r="AW1771" s="114">
        <v>1482</v>
      </c>
    </row>
    <row r="1772" spans="49:49" ht="15" customHeight="1" x14ac:dyDescent="0.35">
      <c r="AW1772" s="114">
        <v>1483</v>
      </c>
    </row>
    <row r="1773" spans="49:49" ht="15" customHeight="1" x14ac:dyDescent="0.35">
      <c r="AW1773" s="114">
        <v>1484</v>
      </c>
    </row>
    <row r="1774" spans="49:49" ht="15" customHeight="1" x14ac:dyDescent="0.35">
      <c r="AW1774" s="114">
        <v>1485</v>
      </c>
    </row>
    <row r="1775" spans="49:49" ht="15" customHeight="1" x14ac:dyDescent="0.35">
      <c r="AW1775" s="114">
        <v>1486</v>
      </c>
    </row>
    <row r="1776" spans="49:49" ht="15" customHeight="1" x14ac:dyDescent="0.35">
      <c r="AW1776" s="114">
        <v>1487</v>
      </c>
    </row>
    <row r="1777" spans="49:49" ht="15" customHeight="1" x14ac:dyDescent="0.35">
      <c r="AW1777" s="114">
        <v>1488</v>
      </c>
    </row>
    <row r="1778" spans="49:49" ht="15" customHeight="1" x14ac:dyDescent="0.35">
      <c r="AW1778" s="114">
        <v>1489</v>
      </c>
    </row>
    <row r="1779" spans="49:49" ht="15" customHeight="1" x14ac:dyDescent="0.35">
      <c r="AW1779" s="114">
        <v>1490</v>
      </c>
    </row>
    <row r="1780" spans="49:49" ht="15" customHeight="1" x14ac:dyDescent="0.35">
      <c r="AW1780" s="114">
        <v>1491</v>
      </c>
    </row>
    <row r="1781" spans="49:49" ht="15" customHeight="1" x14ac:dyDescent="0.35">
      <c r="AW1781" s="114">
        <v>1492</v>
      </c>
    </row>
  </sheetData>
  <mergeCells count="19">
    <mergeCell ref="B288:C288"/>
    <mergeCell ref="D287:N287"/>
    <mergeCell ref="D288:N288"/>
    <mergeCell ref="B284:C284"/>
    <mergeCell ref="D284:N284"/>
    <mergeCell ref="B285:C285"/>
    <mergeCell ref="D285:O285"/>
    <mergeCell ref="B286:C286"/>
    <mergeCell ref="D286:O286"/>
    <mergeCell ref="B279:C279"/>
    <mergeCell ref="D279:O279"/>
    <mergeCell ref="B280:C280"/>
    <mergeCell ref="D280:N280"/>
    <mergeCell ref="B283:C283"/>
    <mergeCell ref="D283:N283"/>
    <mergeCell ref="B282:C282"/>
    <mergeCell ref="D282:O282"/>
    <mergeCell ref="B281:C281"/>
    <mergeCell ref="D281:N281"/>
  </mergeCells>
  <conditionalFormatting sqref="AP294:AT298 AP307:AT308 AP304:AR306 AS302:AT306">
    <cfRule type="colorScale" priority="94">
      <colorScale>
        <cfvo type="formula" val="$Q$216*0.5"/>
        <cfvo type="num" val="$Q$216"/>
        <cfvo type="formula" val="$Q$216*2"/>
        <color rgb="FFF8696B"/>
        <color rgb="FFFCFCFF"/>
        <color rgb="FF63BE7B"/>
      </colorScale>
    </cfRule>
  </conditionalFormatting>
  <conditionalFormatting sqref="AU201:AW203">
    <cfRule type="colorScale" priority="1">
      <colorScale>
        <cfvo type="formula" val="$Q$216*0.5"/>
        <cfvo type="num" val="$Q$216"/>
        <cfvo type="formula" val="$Q$216*2"/>
        <color rgb="FFF8696B"/>
        <color rgb="FFFCFCFF"/>
        <color rgb="FF63BE7B"/>
      </colorScale>
    </cfRule>
  </conditionalFormatting>
  <hyperlinks>
    <hyperlink ref="D280:N280" r:id="rId1" display="10.57% CAGR. Stellar" xr:uid="{A408725B-A3DA-4C8A-84EA-577CE0DAF1F7}"/>
    <hyperlink ref="D283:N283" r:id="rId2" display="5.60% CAGR. Source: Global Market Insights" xr:uid="{0A73FCE6-2A0C-454F-98F3-4824CBB66E5B}"/>
  </hyperlinks>
  <pageMargins left="0.7" right="0.7" top="0.75" bottom="0.75" header="0.3" footer="0.3"/>
  <pageSetup paperSize="9" orientation="portrait"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249977111117893"/>
  </sheetPr>
  <dimension ref="A2:AH395"/>
  <sheetViews>
    <sheetView showGridLines="0" zoomScale="103" zoomScaleNormal="85" workbookViewId="0"/>
  </sheetViews>
  <sheetFormatPr defaultRowHeight="14" x14ac:dyDescent="0.3"/>
  <cols>
    <col min="1" max="1" width="2.25" customWidth="1"/>
    <col min="2" max="2" width="18.08203125" customWidth="1"/>
    <col min="3" max="3" width="25.08203125" bestFit="1" customWidth="1"/>
    <col min="6" max="6" width="13.25" customWidth="1"/>
    <col min="7" max="16" width="11.25" style="20" customWidth="1"/>
    <col min="17" max="17" width="12.08203125" style="20" customWidth="1"/>
    <col min="18" max="18" width="21.75" style="6" customWidth="1"/>
    <col min="20" max="20" width="15.5" customWidth="1"/>
  </cols>
  <sheetData>
    <row r="2" spans="1:30" s="35" customFormat="1" ht="20.25" customHeight="1" x14ac:dyDescent="0.4">
      <c r="B2" s="34" t="s">
        <v>580</v>
      </c>
      <c r="G2" s="205"/>
      <c r="H2" s="205"/>
      <c r="I2" s="205"/>
      <c r="J2" s="205"/>
      <c r="K2" s="205"/>
      <c r="L2" s="205"/>
      <c r="M2" s="205"/>
      <c r="N2" s="205"/>
      <c r="O2" s="205"/>
      <c r="P2" s="205"/>
      <c r="Q2" s="205"/>
      <c r="R2" s="36"/>
    </row>
    <row r="3" spans="1:30" ht="14.5" x14ac:dyDescent="0.35">
      <c r="B3" s="76" t="s">
        <v>581</v>
      </c>
      <c r="Q3" s="241"/>
    </row>
    <row r="4" spans="1:30" ht="15.5" x14ac:dyDescent="0.35">
      <c r="A4" t="s">
        <v>440</v>
      </c>
      <c r="B4" s="206" t="s">
        <v>266</v>
      </c>
      <c r="C4" s="47"/>
      <c r="D4" s="47"/>
      <c r="E4" s="47"/>
      <c r="F4" s="47"/>
      <c r="G4" s="207">
        <v>2014</v>
      </c>
      <c r="H4" s="207">
        <f>+G4+1</f>
        <v>2015</v>
      </c>
      <c r="I4" s="207">
        <f t="shared" ref="I4:M4" si="0">+H4+1</f>
        <v>2016</v>
      </c>
      <c r="J4" s="207">
        <f t="shared" si="0"/>
        <v>2017</v>
      </c>
      <c r="K4" s="207">
        <f t="shared" si="0"/>
        <v>2018</v>
      </c>
      <c r="L4" s="207">
        <f t="shared" si="0"/>
        <v>2019</v>
      </c>
      <c r="M4" s="207">
        <f t="shared" si="0"/>
        <v>2020</v>
      </c>
      <c r="N4" s="207">
        <f>+M4+1</f>
        <v>2021</v>
      </c>
      <c r="O4" s="207">
        <f>+N4+1</f>
        <v>2022</v>
      </c>
      <c r="P4" s="207">
        <f t="shared" ref="P4" si="1">+O4+1</f>
        <v>2023</v>
      </c>
      <c r="Q4" s="207">
        <f>+P4+1</f>
        <v>2024</v>
      </c>
      <c r="R4" s="49" t="str">
        <f>"CAGR "&amp;$G$4&amp;" - "&amp;$Q$4</f>
        <v>CAGR 2014 - 2024</v>
      </c>
    </row>
    <row r="5" spans="1:30" ht="4.1500000000000004" customHeight="1" x14ac:dyDescent="0.35">
      <c r="B5" s="44"/>
      <c r="C5" s="44"/>
      <c r="D5" s="44"/>
      <c r="E5" s="44"/>
      <c r="F5" s="44"/>
      <c r="G5" s="208"/>
      <c r="H5" s="208"/>
      <c r="I5" s="208"/>
      <c r="J5" s="208"/>
      <c r="K5" s="208"/>
      <c r="L5" s="208"/>
      <c r="M5" s="208"/>
      <c r="N5" s="208"/>
      <c r="O5" s="208"/>
      <c r="P5" s="208"/>
      <c r="Q5" s="208"/>
      <c r="R5" s="51"/>
    </row>
    <row r="6" spans="1:30" x14ac:dyDescent="0.3">
      <c r="B6" s="1" t="s">
        <v>476</v>
      </c>
      <c r="G6" s="209">
        <f>IS!B6</f>
        <v>17125.599999999999</v>
      </c>
      <c r="H6" s="209">
        <f>IS!C6</f>
        <v>18798</v>
      </c>
      <c r="I6" s="209">
        <f>IS!D6</f>
        <v>17198</v>
      </c>
      <c r="J6" s="209">
        <f>IS!E6</f>
        <v>30109.4</v>
      </c>
      <c r="K6" s="209">
        <f>IS!F6</f>
        <v>40445.1</v>
      </c>
      <c r="L6" s="209">
        <f>IS!G6</f>
        <v>26990.7</v>
      </c>
      <c r="M6" s="209">
        <f>IS!H6</f>
        <v>31900.400000000001</v>
      </c>
      <c r="N6" s="209">
        <f>IS!I6</f>
        <v>42997.8</v>
      </c>
      <c r="O6" s="209">
        <f>IS!J6</f>
        <v>44621.599999999999</v>
      </c>
      <c r="P6" s="209">
        <f>IS!K6</f>
        <v>32765.7</v>
      </c>
      <c r="Q6" s="209">
        <f>IS!L6</f>
        <v>66193</v>
      </c>
      <c r="R6" s="53">
        <f t="shared" ref="R6:R26" si="2">IFERROR((Q6/G6)^(1/COUNT($G$4:$Q$4))-1,"")</f>
        <v>0.13078164849128093</v>
      </c>
      <c r="S6">
        <v>11</v>
      </c>
      <c r="T6">
        <f>+S6-1</f>
        <v>10</v>
      </c>
      <c r="U6">
        <f t="shared" ref="U6:AB6" si="3">+T6-1</f>
        <v>9</v>
      </c>
      <c r="V6">
        <f t="shared" si="3"/>
        <v>8</v>
      </c>
      <c r="W6">
        <f t="shared" si="3"/>
        <v>7</v>
      </c>
      <c r="X6">
        <f t="shared" si="3"/>
        <v>6</v>
      </c>
      <c r="Y6">
        <f t="shared" si="3"/>
        <v>5</v>
      </c>
      <c r="Z6">
        <f t="shared" si="3"/>
        <v>4</v>
      </c>
      <c r="AA6">
        <f t="shared" si="3"/>
        <v>3</v>
      </c>
      <c r="AB6">
        <f t="shared" si="3"/>
        <v>2</v>
      </c>
    </row>
    <row r="7" spans="1:30" x14ac:dyDescent="0.3">
      <c r="B7" t="s">
        <v>275</v>
      </c>
      <c r="G7" s="209">
        <f>IS!B9</f>
        <v>9461.7000000000007</v>
      </c>
      <c r="H7" s="209">
        <f>IS!C9</f>
        <v>10515.4</v>
      </c>
      <c r="I7" s="209">
        <f>IS!D9</f>
        <v>10787.1</v>
      </c>
      <c r="J7" s="209">
        <f>IS!E9</f>
        <v>12701.8</v>
      </c>
      <c r="K7" s="209">
        <f>IS!F9</f>
        <v>15180.8</v>
      </c>
      <c r="L7" s="209">
        <f>IS!G9</f>
        <v>18818.8</v>
      </c>
      <c r="M7" s="209">
        <f>IS!H9</f>
        <v>21089.8</v>
      </c>
      <c r="N7" s="209">
        <f>IS!I9</f>
        <v>24045.599999999999</v>
      </c>
      <c r="O7" s="209">
        <f>IS!J9</f>
        <v>28993.7</v>
      </c>
      <c r="P7" s="209">
        <f>IS!K9</f>
        <v>33299.199999999997</v>
      </c>
      <c r="Q7" s="209">
        <f>IS!L9</f>
        <v>34364.800000000003</v>
      </c>
      <c r="R7" s="53">
        <f t="shared" si="2"/>
        <v>0.12440363418864542</v>
      </c>
      <c r="S7" s="845">
        <f>+SLOPE(G6:$Q$6,G9:$Q$9)</f>
        <v>12.099543756977889</v>
      </c>
      <c r="T7" s="845">
        <f>+SLOPE(H9:$Q$9,H6:$Q$6)</f>
        <v>5.2642290635487428E-2</v>
      </c>
      <c r="U7" s="845">
        <f>+SLOPE(I9:$Q$9,I6:$Q$6)</f>
        <v>5.0518312359918015E-2</v>
      </c>
      <c r="V7" s="845">
        <f>+SLOPE(J9:$Q$9,J6:$Q$6)</f>
        <v>4.7846426288887176E-2</v>
      </c>
      <c r="W7" s="845">
        <f>+SLOPE(K9:$Q$9,K6:$Q$6)</f>
        <v>4.1314075774423011E-2</v>
      </c>
      <c r="X7" s="845">
        <f>+SLOPE(L9:$Q$9,L6:$Q$6)</f>
        <v>4.08960801777472E-2</v>
      </c>
      <c r="Y7" s="845">
        <f>+SLOPE(M9:$Q$9,M6:$Q$6)</f>
        <v>3.3906633141694044E-2</v>
      </c>
      <c r="Z7" s="848">
        <f>+SLOPE(N9:$Q$9,N6:$Q$6)</f>
        <v>1.7723201985159583E-2</v>
      </c>
      <c r="AA7" s="848">
        <f>+SLOPE(O9:$Q$9,O6:$Q$6)</f>
        <v>1.1602044368158804E-2</v>
      </c>
      <c r="AB7" s="848">
        <f>+SLOPE(P9:$Q$9,P6:$Q$6)</f>
        <v>1.5131344739180255E-2</v>
      </c>
      <c r="AC7" s="846" t="s">
        <v>582</v>
      </c>
      <c r="AD7" s="14"/>
    </row>
    <row r="8" spans="1:30" x14ac:dyDescent="0.3">
      <c r="B8" s="1" t="s">
        <v>276</v>
      </c>
      <c r="G8" s="210">
        <f>G6-G7</f>
        <v>7663.8999999999978</v>
      </c>
      <c r="H8" s="210">
        <f t="shared" ref="H8:Q8" si="4">H6-H7</f>
        <v>8282.6</v>
      </c>
      <c r="I8" s="210">
        <f t="shared" si="4"/>
        <v>6410.9</v>
      </c>
      <c r="J8" s="210">
        <f t="shared" si="4"/>
        <v>17407.600000000002</v>
      </c>
      <c r="K8" s="210">
        <f t="shared" si="4"/>
        <v>25264.3</v>
      </c>
      <c r="L8" s="210">
        <f t="shared" si="4"/>
        <v>8171.9000000000015</v>
      </c>
      <c r="M8" s="210">
        <f t="shared" si="4"/>
        <v>10810.600000000002</v>
      </c>
      <c r="N8" s="210">
        <f t="shared" si="4"/>
        <v>18952.200000000004</v>
      </c>
      <c r="O8" s="210">
        <f t="shared" si="4"/>
        <v>15627.899999999998</v>
      </c>
      <c r="P8" s="210">
        <f>P6-P7</f>
        <v>-533.49999999999636</v>
      </c>
      <c r="Q8" s="210">
        <f t="shared" si="4"/>
        <v>31828.199999999997</v>
      </c>
      <c r="R8" s="55">
        <f t="shared" si="2"/>
        <v>0.13818995880750617</v>
      </c>
      <c r="S8" s="844">
        <f>+INTERCEPT(G9:$Q$9,G6:$Q$6)</f>
        <v>119.56057494614402</v>
      </c>
      <c r="T8" s="844">
        <f>+INTERCEPT(H9:$Q$9,H6:$Q$6)</f>
        <v>179.50766431829061</v>
      </c>
      <c r="U8" s="844">
        <f>+INTERCEPT(I9:$Q$9,I6:$Q$6)</f>
        <v>278.11134158856748</v>
      </c>
      <c r="V8" s="844">
        <f>+INTERCEPT(J9:$Q$9,J6:$Q$6)</f>
        <v>400.12441655107568</v>
      </c>
      <c r="W8" s="844">
        <f>+INTERCEPT(K9:$Q$9,K6:$Q$6)</f>
        <v>753.75927782984104</v>
      </c>
      <c r="X8" s="844">
        <f>+INTERCEPT(L9:$Q$9,L6:$Q$6)</f>
        <v>920.01198593875597</v>
      </c>
      <c r="Y8" s="844">
        <f>+INTERCEPT(M9:$Q$9,M6:$Q$6)</f>
        <v>1289.5259302304794</v>
      </c>
      <c r="Z8" s="844">
        <f>+INTERCEPT(N9:$Q$9,N6:$Q$6)</f>
        <v>2206.884661923174</v>
      </c>
      <c r="AA8" s="844">
        <f>+INTERCEPT(O9:$Q$9,O6:$Q$6)</f>
        <v>2740.8916630021495</v>
      </c>
      <c r="AB8" s="844">
        <f>+INTERCEPT(P9:$Q$9,P6:$Q$6)</f>
        <v>2363.3108976794415</v>
      </c>
      <c r="AC8" s="847" t="s">
        <v>583</v>
      </c>
    </row>
    <row r="9" spans="1:30" x14ac:dyDescent="0.3">
      <c r="B9" t="s">
        <v>480</v>
      </c>
      <c r="G9" s="209">
        <f>+IS!B16</f>
        <v>909.2</v>
      </c>
      <c r="H9" s="209">
        <f>+IS!C16</f>
        <v>989.4</v>
      </c>
      <c r="I9" s="209">
        <f>+IS!D16</f>
        <v>1015.2</v>
      </c>
      <c r="J9" s="209">
        <f>+IS!E16</f>
        <v>1233</v>
      </c>
      <c r="K9" s="209">
        <f>+IS!F16</f>
        <v>1529.8</v>
      </c>
      <c r="L9" s="209">
        <f>+IS!G16</f>
        <v>1703.3</v>
      </c>
      <c r="M9" s="209">
        <f>+IS!H16</f>
        <v>1721.2</v>
      </c>
      <c r="N9" s="209">
        <f>+IS!I16</f>
        <v>2245.8000000000002</v>
      </c>
      <c r="O9" s="209">
        <f>+IS!J16</f>
        <v>3664.5</v>
      </c>
      <c r="P9" s="209">
        <f>+IS!K16</f>
        <v>2859.1</v>
      </c>
      <c r="Q9" s="209">
        <f>+IS!L16</f>
        <v>3364.9</v>
      </c>
      <c r="R9" s="53">
        <f t="shared" si="2"/>
        <v>0.12632777563669118</v>
      </c>
    </row>
    <row r="10" spans="1:30" x14ac:dyDescent="0.3">
      <c r="B10" t="s">
        <v>283</v>
      </c>
      <c r="G10" s="209">
        <f>+IS!B19</f>
        <v>1409.5</v>
      </c>
      <c r="H10" s="209">
        <f>+IS!C19</f>
        <v>1620.3</v>
      </c>
      <c r="I10" s="209">
        <f>+IS!D19</f>
        <v>1744.7</v>
      </c>
      <c r="J10" s="209">
        <f>+IS!E19</f>
        <v>1975.4</v>
      </c>
      <c r="K10" s="209">
        <f>+IS!F19</f>
        <v>2284</v>
      </c>
      <c r="L10" s="209">
        <f>+IS!G19</f>
        <v>2855.6</v>
      </c>
      <c r="M10" s="209">
        <f>+IS!H19</f>
        <v>3111.3</v>
      </c>
      <c r="N10" s="209">
        <f>+IS!I19</f>
        <v>3551.2</v>
      </c>
      <c r="O10" s="209">
        <f>+IS!J19</f>
        <v>4474.6000000000004</v>
      </c>
      <c r="P10" s="209">
        <f>+IS!K19</f>
        <v>3750.7</v>
      </c>
      <c r="Q10" s="209">
        <f>+IS!L19</f>
        <v>4436.3</v>
      </c>
      <c r="R10" s="53">
        <f t="shared" si="2"/>
        <v>0.10986130867145616</v>
      </c>
      <c r="S10" t="s">
        <v>584</v>
      </c>
    </row>
    <row r="11" spans="1:30" x14ac:dyDescent="0.3">
      <c r="B11" t="s">
        <v>481</v>
      </c>
      <c r="G11" s="209">
        <f>+IS!B21</f>
        <v>0</v>
      </c>
      <c r="H11" s="209">
        <f>+IS!C21</f>
        <v>0</v>
      </c>
      <c r="I11" s="209">
        <f>+IS!D21</f>
        <v>0</v>
      </c>
      <c r="J11" s="209">
        <f>+IS!E21</f>
        <v>0</v>
      </c>
      <c r="K11" s="209">
        <f>+IS!F21</f>
        <v>0</v>
      </c>
      <c r="L11" s="209">
        <f>+IS!G21</f>
        <v>0</v>
      </c>
      <c r="M11" s="209">
        <f>+IS!H21</f>
        <v>0</v>
      </c>
      <c r="N11" s="209">
        <f>+IS!I21</f>
        <v>0</v>
      </c>
      <c r="O11" s="209">
        <f>+IS!J21</f>
        <v>0</v>
      </c>
      <c r="P11" s="209">
        <f>+IS!K21</f>
        <v>0</v>
      </c>
      <c r="Q11" s="209">
        <f>+IS!L21</f>
        <v>0</v>
      </c>
      <c r="R11" s="53" t="str">
        <f t="shared" si="2"/>
        <v/>
      </c>
    </row>
    <row r="12" spans="1:30" x14ac:dyDescent="0.3">
      <c r="B12" s="1" t="s">
        <v>216</v>
      </c>
      <c r="G12" s="211">
        <f>+G8-G9-G10-G11</f>
        <v>5345.199999999998</v>
      </c>
      <c r="H12" s="211">
        <f t="shared" ref="H12:Q12" si="5">+H8-H9-H10-H11</f>
        <v>5672.9000000000005</v>
      </c>
      <c r="I12" s="211">
        <f t="shared" si="5"/>
        <v>3651</v>
      </c>
      <c r="J12" s="211">
        <f t="shared" si="5"/>
        <v>14199.200000000003</v>
      </c>
      <c r="K12" s="211">
        <f t="shared" si="5"/>
        <v>21450.5</v>
      </c>
      <c r="L12" s="211">
        <f t="shared" si="5"/>
        <v>3613.0000000000014</v>
      </c>
      <c r="M12" s="211">
        <f t="shared" si="5"/>
        <v>5978.1000000000013</v>
      </c>
      <c r="N12" s="211">
        <f t="shared" si="5"/>
        <v>13155.200000000004</v>
      </c>
      <c r="O12" s="211">
        <f t="shared" si="5"/>
        <v>7488.7999999999975</v>
      </c>
      <c r="P12" s="211">
        <f t="shared" si="5"/>
        <v>-7143.2999999999956</v>
      </c>
      <c r="Q12" s="211">
        <f t="shared" si="5"/>
        <v>24026.999999999996</v>
      </c>
      <c r="R12" s="55">
        <f t="shared" si="2"/>
        <v>0.14640903192034127</v>
      </c>
      <c r="S12" t="s">
        <v>585</v>
      </c>
    </row>
    <row r="13" spans="1:30" x14ac:dyDescent="0.3">
      <c r="B13" t="s">
        <v>482</v>
      </c>
      <c r="G13" s="742">
        <f>+IS!B20</f>
        <v>228.5</v>
      </c>
      <c r="H13" s="742">
        <f>+IS!C20</f>
        <v>329.1</v>
      </c>
      <c r="I13" s="742">
        <f>+IS!D20</f>
        <v>364.9</v>
      </c>
      <c r="J13" s="742">
        <f>+IS!E20</f>
        <v>444.7</v>
      </c>
      <c r="K13" s="742">
        <f>+IS!F20</f>
        <v>572.6</v>
      </c>
      <c r="L13" s="742">
        <f>+IS!G20</f>
        <v>893.8</v>
      </c>
      <c r="M13" s="742">
        <f>+IS!H20</f>
        <v>965.5</v>
      </c>
      <c r="N13" s="742">
        <f>+IS!I20</f>
        <v>744.9</v>
      </c>
      <c r="O13" s="742">
        <f>+IS!J20</f>
        <v>679.4</v>
      </c>
      <c r="P13" s="742">
        <f>+IS!K20</f>
        <v>587.1</v>
      </c>
      <c r="Q13" s="742">
        <f>+IS!L20</f>
        <v>559.6</v>
      </c>
      <c r="R13" s="53">
        <f t="shared" si="2"/>
        <v>8.483294017727161E-2</v>
      </c>
      <c r="S13">
        <f>+AB8+AB7*Q6</f>
        <v>3364.9</v>
      </c>
    </row>
    <row r="14" spans="1:30" ht="14.5" x14ac:dyDescent="0.35">
      <c r="B14" s="244" t="s">
        <v>484</v>
      </c>
      <c r="G14" s="272">
        <v>59</v>
      </c>
      <c r="H14" s="272">
        <v>90</v>
      </c>
      <c r="I14" s="272">
        <v>82</v>
      </c>
      <c r="J14" s="272">
        <v>96</v>
      </c>
      <c r="K14" s="272">
        <v>130</v>
      </c>
      <c r="L14" s="272">
        <v>206</v>
      </c>
      <c r="M14" s="272">
        <v>246</v>
      </c>
      <c r="N14" s="272">
        <v>219</v>
      </c>
      <c r="O14" s="272">
        <v>265</v>
      </c>
      <c r="P14" s="272">
        <v>304</v>
      </c>
      <c r="Q14" s="272">
        <v>303</v>
      </c>
      <c r="R14" s="53">
        <f t="shared" si="2"/>
        <v>0.1603770934751545</v>
      </c>
      <c r="S14" s="61">
        <v>3365</v>
      </c>
    </row>
    <row r="15" spans="1:30" ht="14.5" x14ac:dyDescent="0.35">
      <c r="B15" s="244" t="s">
        <v>485</v>
      </c>
      <c r="G15" s="272">
        <v>170</v>
      </c>
      <c r="H15" s="272">
        <v>239</v>
      </c>
      <c r="I15" s="272">
        <v>282</v>
      </c>
      <c r="J15" s="272">
        <v>349</v>
      </c>
      <c r="K15" s="272">
        <v>442</v>
      </c>
      <c r="L15" s="272">
        <v>687</v>
      </c>
      <c r="M15" s="272">
        <v>720</v>
      </c>
      <c r="N15" s="272">
        <v>526</v>
      </c>
      <c r="O15" s="272">
        <v>414</v>
      </c>
      <c r="P15" s="272">
        <v>283</v>
      </c>
      <c r="Q15" s="272">
        <v>257</v>
      </c>
      <c r="R15" s="53">
        <f t="shared" si="2"/>
        <v>3.8285396341933398E-2</v>
      </c>
    </row>
    <row r="16" spans="1:30" x14ac:dyDescent="0.3">
      <c r="B16" s="1" t="s">
        <v>277</v>
      </c>
      <c r="G16" s="211">
        <f>+G12-G13</f>
        <v>5116.699999999998</v>
      </c>
      <c r="H16" s="211">
        <f t="shared" ref="H16:Q16" si="6">+H12-H13</f>
        <v>5343.8</v>
      </c>
      <c r="I16" s="211">
        <f t="shared" si="6"/>
        <v>3286.1</v>
      </c>
      <c r="J16" s="211">
        <f t="shared" si="6"/>
        <v>13754.500000000002</v>
      </c>
      <c r="K16" s="211">
        <f t="shared" si="6"/>
        <v>20877.900000000001</v>
      </c>
      <c r="L16" s="211">
        <f t="shared" si="6"/>
        <v>2719.2000000000016</v>
      </c>
      <c r="M16" s="211">
        <f t="shared" si="6"/>
        <v>5012.6000000000013</v>
      </c>
      <c r="N16" s="211">
        <f t="shared" si="6"/>
        <v>12410.300000000005</v>
      </c>
      <c r="O16" s="211">
        <f t="shared" si="6"/>
        <v>6809.3999999999978</v>
      </c>
      <c r="P16" s="211">
        <f t="shared" si="6"/>
        <v>-7730.399999999996</v>
      </c>
      <c r="Q16" s="211">
        <f t="shared" si="6"/>
        <v>23467.399999999998</v>
      </c>
      <c r="R16" s="55">
        <f t="shared" si="2"/>
        <v>0.14850818041756852</v>
      </c>
      <c r="T16" s="14"/>
      <c r="U16" s="14"/>
      <c r="V16" s="14"/>
      <c r="W16" s="14"/>
      <c r="X16" s="14"/>
      <c r="Y16" s="14"/>
      <c r="Z16" s="14"/>
      <c r="AA16" s="14"/>
      <c r="AB16" s="14"/>
    </row>
    <row r="17" spans="1:34" x14ac:dyDescent="0.3">
      <c r="B17" t="s">
        <v>278</v>
      </c>
      <c r="G17" s="224">
        <f>+G18-G19</f>
        <v>118.30000000000001</v>
      </c>
      <c r="H17" s="224">
        <f t="shared" ref="H17:Q17" si="7">+H18-H19</f>
        <v>77.8</v>
      </c>
      <c r="I17" s="224">
        <f t="shared" si="7"/>
        <v>85.899999999999991</v>
      </c>
      <c r="J17" s="224">
        <f t="shared" si="7"/>
        <v>69.600000000000009</v>
      </c>
      <c r="K17" s="224">
        <f t="shared" si="7"/>
        <v>32.099999999999994</v>
      </c>
      <c r="L17" s="224">
        <f t="shared" si="7"/>
        <v>215.3</v>
      </c>
      <c r="M17" s="224">
        <f t="shared" si="7"/>
        <v>225.6</v>
      </c>
      <c r="N17" s="224">
        <f t="shared" si="7"/>
        <v>237.6</v>
      </c>
      <c r="O17" s="224">
        <f t="shared" si="7"/>
        <v>443.5</v>
      </c>
      <c r="P17" s="224">
        <f t="shared" si="7"/>
        <v>1251.8999999999999</v>
      </c>
      <c r="Q17" s="224">
        <f t="shared" si="7"/>
        <v>1000.4000000000001</v>
      </c>
      <c r="R17" s="53">
        <f t="shared" si="2"/>
        <v>0.21419909124481884</v>
      </c>
    </row>
    <row r="18" spans="1:34" ht="14.5" x14ac:dyDescent="0.35">
      <c r="B18" s="244" t="s">
        <v>487</v>
      </c>
      <c r="C18" s="76"/>
      <c r="D18" s="76"/>
      <c r="E18" s="76"/>
      <c r="G18" s="245">
        <f>+IS!B25</f>
        <v>170.4</v>
      </c>
      <c r="H18" s="245">
        <f>+IS!C25</f>
        <v>118.5</v>
      </c>
      <c r="I18" s="245">
        <f>+IS!D25</f>
        <v>120.1</v>
      </c>
      <c r="J18" s="245">
        <f>+IS!E25</f>
        <v>123.9</v>
      </c>
      <c r="K18" s="245">
        <f>+IS!F25</f>
        <v>94.6</v>
      </c>
      <c r="L18" s="245">
        <f>+IS!G25</f>
        <v>245.4</v>
      </c>
      <c r="M18" s="245">
        <f>+IS!H25</f>
        <v>253.5</v>
      </c>
      <c r="N18" s="245">
        <f>+IS!I25</f>
        <v>260</v>
      </c>
      <c r="O18" s="245">
        <f>+IS!J25</f>
        <v>533.1</v>
      </c>
      <c r="P18" s="245">
        <f>+IS!K25</f>
        <v>1468.3</v>
      </c>
      <c r="Q18" s="245">
        <f>+IS!L25</f>
        <v>1345.2</v>
      </c>
      <c r="R18" s="53">
        <f t="shared" si="2"/>
        <v>0.20663049535767697</v>
      </c>
      <c r="T18" t="s">
        <v>586</v>
      </c>
      <c r="V18" s="79">
        <f>H6/G6-1</f>
        <v>9.7654972672490459E-2</v>
      </c>
      <c r="W18" s="79">
        <f t="shared" ref="W18:Z18" si="8">I6/H6-1</f>
        <v>-8.5115437812533279E-2</v>
      </c>
      <c r="X18" s="79">
        <f t="shared" si="8"/>
        <v>0.75075008721944414</v>
      </c>
      <c r="Y18" s="79">
        <f t="shared" si="8"/>
        <v>0.34327153646369557</v>
      </c>
      <c r="Z18" s="79">
        <f t="shared" si="8"/>
        <v>-0.33265834427409002</v>
      </c>
      <c r="AA18" s="79">
        <f t="shared" ref="AA18" si="9">M6/L6-1</f>
        <v>0.18190339635504094</v>
      </c>
      <c r="AB18" s="79">
        <f t="shared" ref="AB18" si="10">N6/M6-1</f>
        <v>0.34787651565497613</v>
      </c>
      <c r="AC18" s="79">
        <f t="shared" ref="AC18" si="11">O6/N6-1</f>
        <v>3.7764722846284959E-2</v>
      </c>
      <c r="AD18" s="79">
        <f t="shared" ref="AD18" si="12">P6/O6-1</f>
        <v>-0.26569867508112655</v>
      </c>
      <c r="AE18" s="79">
        <f t="shared" ref="AE18" si="13">Q6/P6-1</f>
        <v>1.0201918469619145</v>
      </c>
    </row>
    <row r="19" spans="1:34" ht="14.5" x14ac:dyDescent="0.35">
      <c r="B19" s="244" t="s">
        <v>489</v>
      </c>
      <c r="C19" s="76"/>
      <c r="D19" s="76"/>
      <c r="E19" s="76"/>
      <c r="G19" s="245">
        <f>+IS!B26</f>
        <v>52.1</v>
      </c>
      <c r="H19" s="245">
        <f>+IS!C26</f>
        <v>40.700000000000003</v>
      </c>
      <c r="I19" s="245">
        <f>+IS!D26</f>
        <v>34.200000000000003</v>
      </c>
      <c r="J19" s="245">
        <f>+IS!E26</f>
        <v>54.3</v>
      </c>
      <c r="K19" s="245">
        <f>+IS!F26</f>
        <v>62.5</v>
      </c>
      <c r="L19" s="245">
        <f>+IS!G26</f>
        <v>30.1</v>
      </c>
      <c r="M19" s="245">
        <f>+IS!H26</f>
        <v>27.9</v>
      </c>
      <c r="N19" s="245">
        <f>+IS!I26</f>
        <v>22.4</v>
      </c>
      <c r="O19" s="245">
        <f>+IS!J26</f>
        <v>89.6</v>
      </c>
      <c r="P19" s="245">
        <f>+IS!K26</f>
        <v>216.4</v>
      </c>
      <c r="Q19" s="245">
        <f>+IS!L26</f>
        <v>344.8</v>
      </c>
      <c r="R19" s="53">
        <f t="shared" si="2"/>
        <v>0.18744027714335965</v>
      </c>
      <c r="T19" t="s">
        <v>587</v>
      </c>
      <c r="V19">
        <f>_xlfn.STDEV.S(V18:AE18)</f>
        <v>0.4264227582228568</v>
      </c>
    </row>
    <row r="20" spans="1:34" x14ac:dyDescent="0.3">
      <c r="B20" t="s">
        <v>491</v>
      </c>
      <c r="G20" s="209">
        <f>+IS!B28</f>
        <v>-128.5</v>
      </c>
      <c r="H20" s="209">
        <f>+IS!C28</f>
        <v>-57.6</v>
      </c>
      <c r="I20" s="209">
        <f>+IS!D28</f>
        <v>-38.1</v>
      </c>
      <c r="J20" s="209">
        <f>+IS!E28</f>
        <v>231.6</v>
      </c>
      <c r="K20" s="209">
        <f>+IS!F28</f>
        <v>-340.1</v>
      </c>
      <c r="L20" s="209">
        <f>+IS!G28</f>
        <v>-99.4</v>
      </c>
      <c r="M20" s="209">
        <f>+IS!H28</f>
        <v>190.4</v>
      </c>
      <c r="N20" s="209">
        <f>+IS!I28</f>
        <v>-488.6</v>
      </c>
      <c r="O20" s="209">
        <f>+IS!J28</f>
        <v>405.2</v>
      </c>
      <c r="P20" s="209">
        <f>+IS!K28</f>
        <v>318.8</v>
      </c>
      <c r="Q20" s="209">
        <f>+IS!L28</f>
        <v>-268.8</v>
      </c>
      <c r="R20" s="53">
        <f t="shared" si="2"/>
        <v>6.9396454017056408E-2</v>
      </c>
    </row>
    <row r="21" spans="1:34" x14ac:dyDescent="0.3">
      <c r="B21" t="s">
        <v>492</v>
      </c>
      <c r="G21" s="209">
        <f>+IS!B30+IS!B29+IS!B27+IS!B32</f>
        <v>79.300000000000011</v>
      </c>
      <c r="H21" s="209">
        <f>+IS!C30+IS!C29+IS!C27+IS!C32</f>
        <v>54.5</v>
      </c>
      <c r="I21" s="209">
        <f>+IS!D30+IS!D29+IS!D27+IS!D32</f>
        <v>21.700000000000003</v>
      </c>
      <c r="J21" s="209">
        <f>+IS!E30+IS!E29+IS!E27+IS!E32</f>
        <v>13.700000000000003</v>
      </c>
      <c r="K21" s="209">
        <f>+IS!F30+IS!F29+IS!F27+IS!F32</f>
        <v>-155.30000000000001</v>
      </c>
      <c r="L21" s="209">
        <f>+IS!G30+IS!G29+IS!G27+IS!G32</f>
        <v>170.6</v>
      </c>
      <c r="M21" s="209">
        <f>+IS!H30+IS!H29+IS!H27+IS!H32</f>
        <v>-1640.3999999999999</v>
      </c>
      <c r="N21" s="209">
        <f>+IS!I30+IS!I29+IS!I27+IS!I32</f>
        <v>-754.69999999999993</v>
      </c>
      <c r="O21" s="209">
        <f>+IS!J30+IS!J29+IS!J27+IS!J32</f>
        <v>1957.9</v>
      </c>
      <c r="P21" s="209">
        <f>+IS!K30+IS!K29+IS!K27+IS!K32</f>
        <v>2356.8000000000002</v>
      </c>
      <c r="Q21" s="209">
        <f>+IS!L30+IS!L29+IS!L27+IS!L32</f>
        <v>-1149.7</v>
      </c>
      <c r="R21" s="53">
        <f t="shared" si="2"/>
        <v>-2.2751866533080971</v>
      </c>
      <c r="T21" t="s">
        <v>588</v>
      </c>
      <c r="U21" s="61">
        <f>+G67</f>
        <v>3444</v>
      </c>
      <c r="V21" s="61">
        <f t="shared" ref="V21:AE21" si="14">+H67</f>
        <v>3953.2</v>
      </c>
      <c r="W21" s="61">
        <f t="shared" si="14"/>
        <v>4456.3</v>
      </c>
      <c r="X21" s="61">
        <f t="shared" si="14"/>
        <v>5026.1000000000004</v>
      </c>
      <c r="Y21" s="61">
        <f t="shared" si="14"/>
        <v>6428.3</v>
      </c>
      <c r="Z21" s="61">
        <f t="shared" si="14"/>
        <v>8620.4</v>
      </c>
      <c r="AA21" s="61">
        <f t="shared" si="14"/>
        <v>9771.9</v>
      </c>
      <c r="AB21" s="61">
        <f t="shared" si="14"/>
        <v>10656.7</v>
      </c>
      <c r="AC21" s="61">
        <f t="shared" si="14"/>
        <v>14151.5</v>
      </c>
      <c r="AD21" s="61">
        <f t="shared" si="14"/>
        <v>13673.7</v>
      </c>
      <c r="AE21" s="61">
        <f t="shared" si="14"/>
        <v>12581.5</v>
      </c>
      <c r="AF21" s="61"/>
    </row>
    <row r="22" spans="1:34" x14ac:dyDescent="0.3">
      <c r="B22" s="1" t="s">
        <v>279</v>
      </c>
      <c r="D22" s="1"/>
      <c r="E22" s="1"/>
      <c r="G22" s="448">
        <f>+G16-G17-G20-G21</f>
        <v>5047.5999999999976</v>
      </c>
      <c r="H22" s="448">
        <f t="shared" ref="H22:Q22" si="15">+H16-H17-H20-H21</f>
        <v>5269.1</v>
      </c>
      <c r="I22" s="448">
        <f t="shared" si="15"/>
        <v>3216.6</v>
      </c>
      <c r="J22" s="448">
        <f t="shared" si="15"/>
        <v>13439.6</v>
      </c>
      <c r="K22" s="448">
        <f t="shared" si="15"/>
        <v>21341.200000000001</v>
      </c>
      <c r="L22" s="448">
        <f t="shared" si="15"/>
        <v>2432.7000000000016</v>
      </c>
      <c r="M22" s="448">
        <f t="shared" si="15"/>
        <v>6237.0000000000009</v>
      </c>
      <c r="N22" s="448">
        <f t="shared" si="15"/>
        <v>13416.000000000005</v>
      </c>
      <c r="O22" s="448">
        <f t="shared" si="15"/>
        <v>4002.7999999999979</v>
      </c>
      <c r="P22" s="448">
        <f t="shared" si="15"/>
        <v>-11657.899999999994</v>
      </c>
      <c r="Q22" s="448">
        <f t="shared" si="15"/>
        <v>23885.499999999996</v>
      </c>
      <c r="R22" s="55">
        <f t="shared" si="2"/>
        <v>0.15177627321378551</v>
      </c>
      <c r="T22" t="s">
        <v>589</v>
      </c>
      <c r="U22" s="61">
        <f>+G13</f>
        <v>228.5</v>
      </c>
      <c r="V22" s="61">
        <f t="shared" ref="V22:AE22" si="16">+H13</f>
        <v>329.1</v>
      </c>
      <c r="W22" s="61">
        <f t="shared" si="16"/>
        <v>364.9</v>
      </c>
      <c r="X22" s="61">
        <f t="shared" si="16"/>
        <v>444.7</v>
      </c>
      <c r="Y22" s="61">
        <f t="shared" si="16"/>
        <v>572.6</v>
      </c>
      <c r="Z22" s="61">
        <f t="shared" si="16"/>
        <v>893.8</v>
      </c>
      <c r="AA22" s="61">
        <f t="shared" si="16"/>
        <v>965.5</v>
      </c>
      <c r="AB22" s="61">
        <f t="shared" si="16"/>
        <v>744.9</v>
      </c>
      <c r="AC22" s="61">
        <f t="shared" si="16"/>
        <v>679.4</v>
      </c>
      <c r="AD22" s="61">
        <f t="shared" si="16"/>
        <v>587.1</v>
      </c>
      <c r="AE22" s="61">
        <f t="shared" si="16"/>
        <v>559.6</v>
      </c>
    </row>
    <row r="23" spans="1:34" x14ac:dyDescent="0.3">
      <c r="B23" t="s">
        <v>280</v>
      </c>
      <c r="G23" s="209">
        <f>+IS!B44</f>
        <v>852.5</v>
      </c>
      <c r="H23" s="209">
        <f>+IS!C44</f>
        <v>945.5</v>
      </c>
      <c r="I23" s="209">
        <f>+IS!D44</f>
        <v>256</v>
      </c>
      <c r="J23" s="209">
        <f>+IS!E44</f>
        <v>2797.3</v>
      </c>
      <c r="K23" s="209">
        <f>+IS!F44</f>
        <v>5801</v>
      </c>
      <c r="L23" s="209">
        <f>+IS!G44</f>
        <v>423.6</v>
      </c>
      <c r="M23" s="209">
        <f>+IS!H44</f>
        <v>1478.1</v>
      </c>
      <c r="N23" s="209">
        <f>+IS!I44</f>
        <v>3799.8</v>
      </c>
      <c r="O23" s="209">
        <f>+IS!J44</f>
        <v>1761.1</v>
      </c>
      <c r="P23" s="209">
        <f>+IS!K44</f>
        <v>-2520.3000000000002</v>
      </c>
      <c r="Q23" s="209">
        <f>+IS!L44</f>
        <v>4088.4</v>
      </c>
      <c r="R23" s="53">
        <f t="shared" si="2"/>
        <v>0.15317779699305034</v>
      </c>
      <c r="T23" t="s">
        <v>590</v>
      </c>
      <c r="U23" s="61">
        <f>+U21-U22</f>
        <v>3215.5</v>
      </c>
      <c r="V23" s="61">
        <f t="shared" ref="V23:AE23" si="17">+V21-V22</f>
        <v>3624.1</v>
      </c>
      <c r="W23" s="61">
        <f t="shared" si="17"/>
        <v>4091.4</v>
      </c>
      <c r="X23" s="61">
        <f t="shared" si="17"/>
        <v>4581.4000000000005</v>
      </c>
      <c r="Y23" s="61">
        <f t="shared" si="17"/>
        <v>5855.7</v>
      </c>
      <c r="Z23" s="61">
        <f t="shared" si="17"/>
        <v>7726.5999999999995</v>
      </c>
      <c r="AA23" s="61">
        <f t="shared" si="17"/>
        <v>8806.4</v>
      </c>
      <c r="AB23" s="61">
        <f t="shared" si="17"/>
        <v>9911.8000000000011</v>
      </c>
      <c r="AC23" s="61">
        <f t="shared" si="17"/>
        <v>13472.1</v>
      </c>
      <c r="AD23" s="61">
        <f t="shared" si="17"/>
        <v>13086.6</v>
      </c>
      <c r="AE23" s="61">
        <f t="shared" si="17"/>
        <v>12021.9</v>
      </c>
      <c r="AF23" s="884" t="s">
        <v>591</v>
      </c>
      <c r="AG23" s="885" t="s">
        <v>592</v>
      </c>
      <c r="AH23" s="886" t="s">
        <v>593</v>
      </c>
    </row>
    <row r="24" spans="1:34" x14ac:dyDescent="0.3">
      <c r="B24" s="1" t="s">
        <v>281</v>
      </c>
      <c r="G24" s="211">
        <f>+G22-G23</f>
        <v>4195.0999999999976</v>
      </c>
      <c r="H24" s="211">
        <f t="shared" ref="H24:Q24" si="18">+H22-H23</f>
        <v>4323.6000000000004</v>
      </c>
      <c r="I24" s="211">
        <f t="shared" si="18"/>
        <v>2960.6</v>
      </c>
      <c r="J24" s="211">
        <f t="shared" si="18"/>
        <v>10642.3</v>
      </c>
      <c r="K24" s="211">
        <f t="shared" si="18"/>
        <v>15540.2</v>
      </c>
      <c r="L24" s="211">
        <f t="shared" si="18"/>
        <v>2009.1000000000017</v>
      </c>
      <c r="M24" s="211">
        <f t="shared" si="18"/>
        <v>4758.9000000000015</v>
      </c>
      <c r="N24" s="211">
        <f t="shared" si="18"/>
        <v>9616.2000000000044</v>
      </c>
      <c r="O24" s="211">
        <f t="shared" si="18"/>
        <v>2241.699999999998</v>
      </c>
      <c r="P24" s="211">
        <f t="shared" si="18"/>
        <v>-9137.5999999999949</v>
      </c>
      <c r="Q24" s="211">
        <f t="shared" si="18"/>
        <v>19797.099999999995</v>
      </c>
      <c r="R24" s="55">
        <f t="shared" si="2"/>
        <v>0.15148936874420738</v>
      </c>
      <c r="T24" t="s">
        <v>594</v>
      </c>
      <c r="U24" s="14">
        <f>+U21/G7</f>
        <v>0.36399378547195532</v>
      </c>
      <c r="V24" s="14">
        <f t="shared" ref="V24:AE24" si="19">+V21/H7</f>
        <v>0.37594385377636608</v>
      </c>
      <c r="W24" s="14">
        <f t="shared" si="19"/>
        <v>0.41311381186787921</v>
      </c>
      <c r="X24" s="14">
        <f t="shared" si="19"/>
        <v>0.39569982207246224</v>
      </c>
      <c r="Y24" s="14">
        <f t="shared" si="19"/>
        <v>0.42344935708263071</v>
      </c>
      <c r="Z24" s="14">
        <f t="shared" si="19"/>
        <v>0.45807384105256443</v>
      </c>
      <c r="AA24" s="14">
        <f t="shared" si="19"/>
        <v>0.46334721049986249</v>
      </c>
      <c r="AB24" s="14">
        <f t="shared" si="19"/>
        <v>0.44318711115547132</v>
      </c>
      <c r="AC24" s="14">
        <f t="shared" si="19"/>
        <v>0.4880887917030251</v>
      </c>
      <c r="AD24" s="14">
        <f t="shared" si="19"/>
        <v>0.4106314866423218</v>
      </c>
      <c r="AE24" s="14">
        <f t="shared" si="19"/>
        <v>0.36611590930254212</v>
      </c>
      <c r="AF24" s="887">
        <f>+AVERAGE(U24:AE24)</f>
        <v>0.41833136187518921</v>
      </c>
      <c r="AG24" s="26">
        <f>+AVERAGE(Z24:AE24)</f>
        <v>0.4382407250592979</v>
      </c>
      <c r="AH24" s="888">
        <f>+AVERAGE(AC24:AE24)</f>
        <v>0.42161206254929634</v>
      </c>
    </row>
    <row r="25" spans="1:34" x14ac:dyDescent="0.3">
      <c r="B25" s="1" t="s">
        <v>282</v>
      </c>
      <c r="G25" s="218">
        <f>+IS!B64</f>
        <v>5842</v>
      </c>
      <c r="H25" s="218">
        <f>+IS!C64</f>
        <v>6002</v>
      </c>
      <c r="I25" s="218">
        <f>+IS!D64</f>
        <v>4184</v>
      </c>
      <c r="J25" s="218">
        <f>+IS!E64</f>
        <v>15073</v>
      </c>
      <c r="K25" s="218">
        <f>+IS!F64</f>
        <v>22255</v>
      </c>
      <c r="L25" s="218">
        <f>+IS!G64</f>
        <v>2933</v>
      </c>
      <c r="M25" s="218">
        <f>+IS!H64</f>
        <v>6952</v>
      </c>
      <c r="N25" s="218">
        <f>+IS!I64</f>
        <v>13989</v>
      </c>
      <c r="O25" s="218">
        <f>+IS!J64</f>
        <v>3242</v>
      </c>
      <c r="P25" s="218">
        <f>+IS!K64</f>
        <v>-13244</v>
      </c>
      <c r="Q25" s="218">
        <f>+IS!L64</f>
        <v>28732</v>
      </c>
      <c r="R25" s="55">
        <f t="shared" si="2"/>
        <v>0.1558229151526378</v>
      </c>
      <c r="T25" t="s">
        <v>595</v>
      </c>
      <c r="U25" s="14">
        <f>+U23/G7</f>
        <v>0.33984379128486419</v>
      </c>
      <c r="V25" s="14">
        <f t="shared" ref="V25:AE25" si="20">+V23/H7</f>
        <v>0.34464689883409094</v>
      </c>
      <c r="W25" s="14">
        <f t="shared" si="20"/>
        <v>0.37928636983063102</v>
      </c>
      <c r="X25" s="14">
        <f t="shared" si="20"/>
        <v>0.3606890361995938</v>
      </c>
      <c r="Y25" s="14">
        <f t="shared" si="20"/>
        <v>0.3857306597807757</v>
      </c>
      <c r="Z25" s="14">
        <f t="shared" si="20"/>
        <v>0.41057878291920846</v>
      </c>
      <c r="AA25" s="14">
        <f t="shared" si="20"/>
        <v>0.41756678583960016</v>
      </c>
      <c r="AB25" s="14">
        <f t="shared" si="20"/>
        <v>0.41220847057257881</v>
      </c>
      <c r="AC25" s="14">
        <f t="shared" si="20"/>
        <v>0.46465611494910963</v>
      </c>
      <c r="AD25" s="14">
        <f t="shared" si="20"/>
        <v>0.39300043244282151</v>
      </c>
      <c r="AE25" s="14">
        <f t="shared" si="20"/>
        <v>0.34983180463730323</v>
      </c>
      <c r="AF25" s="889">
        <f>+AVERAGE(U25:AE25)</f>
        <v>0.387094467935507</v>
      </c>
      <c r="AG25" s="890">
        <f>+AVERAGE(AA25:AF25)</f>
        <v>0.40405967939615345</v>
      </c>
      <c r="AH25" s="891">
        <f>+AVERAGE(AC25:AE25)</f>
        <v>0.40249611734307811</v>
      </c>
    </row>
    <row r="26" spans="1:34" x14ac:dyDescent="0.3">
      <c r="B26" s="1" t="s">
        <v>596</v>
      </c>
      <c r="G26" s="218">
        <f>+IS!B69</f>
        <v>5842</v>
      </c>
      <c r="H26" s="218">
        <f>+IS!C69</f>
        <v>6002</v>
      </c>
      <c r="I26" s="218">
        <f>+IS!D69</f>
        <v>4184</v>
      </c>
      <c r="J26" s="218">
        <f>+IS!E69</f>
        <v>15072</v>
      </c>
      <c r="K26" s="218">
        <f>+IS!F69</f>
        <v>22252</v>
      </c>
      <c r="L26" s="218">
        <f>+IS!G69</f>
        <v>2932</v>
      </c>
      <c r="M26" s="218">
        <f>+IS!H69</f>
        <v>6950</v>
      </c>
      <c r="N26" s="218">
        <f>+IS!I69</f>
        <v>13984</v>
      </c>
      <c r="O26" s="218">
        <f>+IS!J69</f>
        <v>3242</v>
      </c>
      <c r="P26" s="218">
        <f>+IS!K69</f>
        <v>-13244</v>
      </c>
      <c r="Q26" s="218">
        <f>+IS!L69</f>
        <v>28419</v>
      </c>
      <c r="R26" s="55">
        <f t="shared" si="2"/>
        <v>0.15467254595490898</v>
      </c>
    </row>
    <row r="27" spans="1:34" x14ac:dyDescent="0.3">
      <c r="B27" t="s">
        <v>597</v>
      </c>
      <c r="G27" s="209">
        <f>+IS!B63</f>
        <v>718.2</v>
      </c>
      <c r="H27" s="209">
        <f>+IS!C63</f>
        <v>720.1</v>
      </c>
      <c r="I27" s="209">
        <f>+IS!D63</f>
        <v>706</v>
      </c>
      <c r="J27" s="209">
        <f>+IS!E63</f>
        <v>706</v>
      </c>
      <c r="K27" s="209">
        <f>+IS!F63</f>
        <v>698.3</v>
      </c>
      <c r="L27" s="209">
        <f>+IS!G63</f>
        <v>684</v>
      </c>
      <c r="M27" s="209">
        <f>+IS!H63</f>
        <v>684</v>
      </c>
      <c r="N27" s="209">
        <f>+IS!I63</f>
        <v>686.4</v>
      </c>
      <c r="O27" s="209">
        <f>+IS!J63</f>
        <v>687.6</v>
      </c>
      <c r="P27" s="209">
        <f>+IS!K63</f>
        <v>688.1</v>
      </c>
      <c r="Q27" s="209">
        <f>+IS!L63</f>
        <v>688.7</v>
      </c>
      <c r="R27" s="53">
        <f>IFERROR((Q27/G27)^(1/COUNT($G$4:$Q$4))-1,"")</f>
        <v>-3.8056780945866509E-3</v>
      </c>
    </row>
    <row r="28" spans="1:34" x14ac:dyDescent="0.3">
      <c r="B28" t="s">
        <v>598</v>
      </c>
      <c r="G28" s="209">
        <f>+IS!B68</f>
        <v>718.2</v>
      </c>
      <c r="H28" s="209">
        <f>+IS!C68</f>
        <v>720.1</v>
      </c>
      <c r="I28" s="209">
        <f>+IS!D68</f>
        <v>706</v>
      </c>
      <c r="J28" s="209">
        <f>+IS!E68</f>
        <v>706</v>
      </c>
      <c r="K28" s="209">
        <f>+IS!F68</f>
        <v>698.4</v>
      </c>
      <c r="L28" s="209">
        <f>+IS!G68</f>
        <v>684.1</v>
      </c>
      <c r="M28" s="209">
        <f>+IS!H68</f>
        <v>684.1</v>
      </c>
      <c r="N28" s="209">
        <f>+IS!I68</f>
        <v>686.7</v>
      </c>
      <c r="O28" s="209">
        <f>+IS!J68</f>
        <v>687.8</v>
      </c>
      <c r="P28" s="209">
        <f>+IS!K68</f>
        <v>688.1</v>
      </c>
      <c r="Q28" s="209">
        <f>+IS!L68</f>
        <v>709.8</v>
      </c>
      <c r="R28" s="53">
        <f>IFERROR((Q28/G28)^(1/COUNT($G$4:$Q$4))-1,"")</f>
        <v>-1.0689593082043869E-3</v>
      </c>
    </row>
    <row r="29" spans="1:34" ht="4.1500000000000004" customHeight="1" x14ac:dyDescent="0.3"/>
    <row r="30" spans="1:34" ht="15.5" x14ac:dyDescent="0.35">
      <c r="A30" t="s">
        <v>440</v>
      </c>
      <c r="B30" s="43" t="s">
        <v>284</v>
      </c>
      <c r="C30" s="47"/>
      <c r="D30" s="47"/>
      <c r="E30" s="47"/>
      <c r="F30" s="47"/>
      <c r="G30" s="207">
        <v>2014</v>
      </c>
      <c r="H30" s="207">
        <f>+G30+1</f>
        <v>2015</v>
      </c>
      <c r="I30" s="207">
        <f t="shared" ref="I30:M30" si="21">+H30+1</f>
        <v>2016</v>
      </c>
      <c r="J30" s="207">
        <f t="shared" si="21"/>
        <v>2017</v>
      </c>
      <c r="K30" s="207">
        <f t="shared" si="21"/>
        <v>2018</v>
      </c>
      <c r="L30" s="207">
        <f t="shared" si="21"/>
        <v>2019</v>
      </c>
      <c r="M30" s="207">
        <f t="shared" si="21"/>
        <v>2020</v>
      </c>
      <c r="N30" s="207">
        <f>+M30+1</f>
        <v>2021</v>
      </c>
      <c r="O30" s="207">
        <f>+N30+1</f>
        <v>2022</v>
      </c>
      <c r="P30" s="207">
        <f t="shared" ref="P30" si="22">+O30+1</f>
        <v>2023</v>
      </c>
      <c r="Q30" s="207">
        <f>+P30+1</f>
        <v>2024</v>
      </c>
      <c r="R30" s="49" t="str">
        <f>"CAGR "&amp;$G$4&amp;" - "&amp;$Q$4</f>
        <v>CAGR 2014 - 2024</v>
      </c>
    </row>
    <row r="31" spans="1:34" s="79" customFormat="1" ht="4.1500000000000004" customHeight="1" x14ac:dyDescent="0.35">
      <c r="B31" s="212"/>
      <c r="C31" s="212"/>
      <c r="D31" s="212"/>
      <c r="E31" s="212"/>
      <c r="F31" s="212"/>
      <c r="G31" s="213"/>
      <c r="H31" s="213"/>
      <c r="I31" s="213"/>
      <c r="J31" s="213"/>
      <c r="K31" s="213"/>
      <c r="L31" s="213"/>
      <c r="M31" s="213"/>
      <c r="N31" s="213"/>
      <c r="O31" s="213"/>
      <c r="P31" s="213"/>
      <c r="Q31" s="213"/>
      <c r="R31" s="51"/>
    </row>
    <row r="32" spans="1:34" x14ac:dyDescent="0.3">
      <c r="B32" t="s">
        <v>495</v>
      </c>
      <c r="G32" s="217">
        <f>+SUM(G33:G34)</f>
        <v>3977.2000000000003</v>
      </c>
      <c r="H32" s="217">
        <f t="shared" ref="H32:Q32" si="23">+SUM(H33:H34)</f>
        <v>4682.8999999999996</v>
      </c>
      <c r="I32" s="217">
        <f t="shared" si="23"/>
        <v>4052</v>
      </c>
      <c r="J32" s="217">
        <f t="shared" si="23"/>
        <v>8320.2000000000007</v>
      </c>
      <c r="K32" s="217">
        <f t="shared" si="23"/>
        <v>8135.8</v>
      </c>
      <c r="L32" s="217">
        <f t="shared" si="23"/>
        <v>3760.8999999999996</v>
      </c>
      <c r="M32" s="217">
        <f t="shared" si="23"/>
        <v>4627.8999999999996</v>
      </c>
      <c r="N32" s="217">
        <f t="shared" si="23"/>
        <v>8351.6</v>
      </c>
      <c r="O32" s="217">
        <f t="shared" si="23"/>
        <v>6079.4</v>
      </c>
      <c r="P32" s="217">
        <f t="shared" si="23"/>
        <v>8691.1</v>
      </c>
      <c r="Q32" s="217">
        <f t="shared" si="23"/>
        <v>13928</v>
      </c>
      <c r="R32" s="53">
        <f t="shared" ref="R32:R44" si="24">IFERROR((Q32/G32)^(1/COUNT($G$4:$Q$4))-1,"")</f>
        <v>0.1206831649209037</v>
      </c>
    </row>
    <row r="33" spans="2:20" ht="14.5" x14ac:dyDescent="0.35">
      <c r="B33" s="244" t="s">
        <v>285</v>
      </c>
      <c r="C33" s="76"/>
      <c r="D33" s="76"/>
      <c r="E33" s="76"/>
      <c r="G33" s="245">
        <f>+BS!B8</f>
        <v>436.8</v>
      </c>
      <c r="H33" s="245">
        <f>+BS!C8</f>
        <v>1175.7</v>
      </c>
      <c r="I33" s="245">
        <f>+BS!D8</f>
        <v>613.79999999999995</v>
      </c>
      <c r="J33" s="245">
        <f>+BS!E8</f>
        <v>2950</v>
      </c>
      <c r="K33" s="245">
        <f>+BS!F8</f>
        <v>2349.3000000000002</v>
      </c>
      <c r="L33" s="245">
        <f>+BS!G8</f>
        <v>2306.1</v>
      </c>
      <c r="M33" s="245">
        <f>+BS!H8</f>
        <v>2976</v>
      </c>
      <c r="N33" s="245">
        <f>+BS!I8</f>
        <v>5058</v>
      </c>
      <c r="O33" s="245">
        <f>+BS!J8</f>
        <v>4977</v>
      </c>
      <c r="P33" s="245">
        <f>+BS!K8</f>
        <v>7587.3</v>
      </c>
      <c r="Q33" s="245">
        <f>+BS!L8</f>
        <v>11205.1</v>
      </c>
      <c r="R33" s="53">
        <f t="shared" si="24"/>
        <v>0.34308348755268536</v>
      </c>
    </row>
    <row r="34" spans="2:20" ht="14.5" x14ac:dyDescent="0.35">
      <c r="B34" s="244" t="s">
        <v>599</v>
      </c>
      <c r="C34" s="76"/>
      <c r="D34" s="76"/>
      <c r="E34" s="76"/>
      <c r="G34" s="245">
        <f>+BS!B9</f>
        <v>3540.4</v>
      </c>
      <c r="H34" s="245">
        <f>+BS!C9</f>
        <v>3507.2</v>
      </c>
      <c r="I34" s="245">
        <f>+BS!D9</f>
        <v>3438.2</v>
      </c>
      <c r="J34" s="245">
        <f>+BS!E9</f>
        <v>5370.2</v>
      </c>
      <c r="K34" s="245">
        <f>+BS!F9</f>
        <v>5786.5</v>
      </c>
      <c r="L34" s="245">
        <f>+BS!G9</f>
        <v>1454.8</v>
      </c>
      <c r="M34" s="245">
        <f>+BS!H9</f>
        <v>1651.9</v>
      </c>
      <c r="N34" s="245">
        <f>+BS!I9</f>
        <v>3293.6</v>
      </c>
      <c r="O34" s="245">
        <f>+BS!J9</f>
        <v>1102.4000000000001</v>
      </c>
      <c r="P34" s="245">
        <f>+BS!K9</f>
        <v>1103.8</v>
      </c>
      <c r="Q34" s="245">
        <f>+BS!L9</f>
        <v>2722.9</v>
      </c>
      <c r="R34" s="53">
        <f t="shared" si="24"/>
        <v>-2.3584899519923264E-2</v>
      </c>
    </row>
    <row r="35" spans="2:20" ht="14.5" x14ac:dyDescent="0.35">
      <c r="B35" t="s">
        <v>286</v>
      </c>
      <c r="G35" s="245">
        <f>+BS!B11</f>
        <v>3732.9</v>
      </c>
      <c r="H35" s="245">
        <f>+BS!C11</f>
        <v>2628.4</v>
      </c>
      <c r="I35" s="245">
        <f>+BS!D11</f>
        <v>3251.7</v>
      </c>
      <c r="J35" s="245">
        <f>+BS!E11</f>
        <v>5552.8</v>
      </c>
      <c r="K35" s="245">
        <f>+BS!F11</f>
        <v>6320</v>
      </c>
      <c r="L35" s="245">
        <f>+BS!G11</f>
        <v>4261.7</v>
      </c>
      <c r="M35" s="245">
        <f>+BS!H11</f>
        <v>4931.3</v>
      </c>
      <c r="N35" s="245">
        <f>+BS!I11</f>
        <v>8267.1</v>
      </c>
      <c r="O35" s="245">
        <f>+BS!J11</f>
        <v>5186.1000000000004</v>
      </c>
      <c r="P35" s="245">
        <f>+BS!K11</f>
        <v>6600.3</v>
      </c>
      <c r="Q35" s="245">
        <f>+BS!L11</f>
        <v>13019</v>
      </c>
      <c r="R35" s="53">
        <f t="shared" si="24"/>
        <v>0.12026566282604922</v>
      </c>
    </row>
    <row r="36" spans="2:20" ht="14.5" x14ac:dyDescent="0.35">
      <c r="B36" t="s">
        <v>497</v>
      </c>
      <c r="G36" s="245">
        <f>+BS!B14</f>
        <v>1497.6</v>
      </c>
      <c r="H36" s="245">
        <f>+BS!C14</f>
        <v>1923.4</v>
      </c>
      <c r="I36" s="245">
        <f>+BS!D14</f>
        <v>2026.2</v>
      </c>
      <c r="J36" s="245">
        <f>+BS!E14</f>
        <v>2640.4</v>
      </c>
      <c r="K36" s="245">
        <f>+BS!F14</f>
        <v>4422.7</v>
      </c>
      <c r="L36" s="245">
        <f>+BS!G14</f>
        <v>5295.8</v>
      </c>
      <c r="M36" s="245">
        <f>+BS!H14</f>
        <v>6136.3</v>
      </c>
      <c r="N36" s="245">
        <f>+BS!I14</f>
        <v>8950.1</v>
      </c>
      <c r="O36" s="245">
        <f>+BS!J14</f>
        <v>15664.7</v>
      </c>
      <c r="P36" s="245">
        <f>+BS!K14</f>
        <v>13480.7</v>
      </c>
      <c r="Q36" s="245">
        <f>+BS!L14</f>
        <v>13313.9</v>
      </c>
      <c r="R36" s="53">
        <f t="shared" si="24"/>
        <v>0.21973222046216034</v>
      </c>
    </row>
    <row r="37" spans="2:20" x14ac:dyDescent="0.3">
      <c r="B37" s="32" t="s">
        <v>499</v>
      </c>
      <c r="C37" s="32"/>
      <c r="D37" s="32"/>
      <c r="E37" s="32"/>
      <c r="G37" s="214">
        <f t="shared" ref="G37:Q37" si="25">+G38-G32-G35-G36</f>
        <v>1155.7999999999993</v>
      </c>
      <c r="H37" s="214">
        <f t="shared" si="25"/>
        <v>525.30000000000018</v>
      </c>
      <c r="I37" s="214">
        <f t="shared" si="25"/>
        <v>509.10000000000014</v>
      </c>
      <c r="J37" s="214">
        <f t="shared" si="25"/>
        <v>797.00000000000045</v>
      </c>
      <c r="K37" s="214">
        <f t="shared" si="25"/>
        <v>1015.5999999999995</v>
      </c>
      <c r="L37" s="214">
        <f t="shared" si="25"/>
        <v>1139.2000000000007</v>
      </c>
      <c r="M37" s="214">
        <f t="shared" si="25"/>
        <v>875.5</v>
      </c>
      <c r="N37" s="214">
        <f t="shared" si="25"/>
        <v>1338.2999999999993</v>
      </c>
      <c r="O37" s="214">
        <f t="shared" si="25"/>
        <v>1803.1000000000022</v>
      </c>
      <c r="P37" s="214">
        <f t="shared" si="25"/>
        <v>1696</v>
      </c>
      <c r="Q37" s="214">
        <f t="shared" si="25"/>
        <v>2018.0000000000018</v>
      </c>
      <c r="R37" s="215">
        <f t="shared" si="24"/>
        <v>5.1970345452174938E-2</v>
      </c>
      <c r="T37" s="61"/>
    </row>
    <row r="38" spans="2:20" s="1" customFormat="1" x14ac:dyDescent="0.3">
      <c r="B38" s="64" t="s">
        <v>290</v>
      </c>
      <c r="C38" s="64"/>
      <c r="D38" s="64"/>
      <c r="E38" s="64"/>
      <c r="F38" s="581"/>
      <c r="G38" s="242">
        <f>+BS!B25</f>
        <v>10363.5</v>
      </c>
      <c r="H38" s="242">
        <f>+BS!C25</f>
        <v>9760</v>
      </c>
      <c r="I38" s="242">
        <f>+BS!D25</f>
        <v>9839</v>
      </c>
      <c r="J38" s="242">
        <f>+BS!E25</f>
        <v>17310.400000000001</v>
      </c>
      <c r="K38" s="242">
        <f>+BS!F25</f>
        <v>19894.099999999999</v>
      </c>
      <c r="L38" s="242">
        <f>+BS!G25</f>
        <v>14457.6</v>
      </c>
      <c r="M38" s="242">
        <f>+BS!H25</f>
        <v>16571</v>
      </c>
      <c r="N38" s="242">
        <f>+BS!I25</f>
        <v>26907.1</v>
      </c>
      <c r="O38" s="242">
        <f>+BS!J25</f>
        <v>28733.3</v>
      </c>
      <c r="P38" s="242">
        <f>+BS!K25</f>
        <v>30468.1</v>
      </c>
      <c r="Q38" s="242">
        <f>+BS!L25</f>
        <v>42278.9</v>
      </c>
      <c r="R38" s="216">
        <f t="shared" si="24"/>
        <v>0.13634618189135539</v>
      </c>
    </row>
    <row r="39" spans="2:20" x14ac:dyDescent="0.3">
      <c r="B39" t="s">
        <v>291</v>
      </c>
      <c r="G39" s="243">
        <f t="shared" ref="G39:Q39" si="26">+G40-G41</f>
        <v>14090.399999999998</v>
      </c>
      <c r="H39" s="243">
        <f t="shared" si="26"/>
        <v>16966.300000000003</v>
      </c>
      <c r="I39" s="243">
        <f t="shared" si="26"/>
        <v>18777.400000000001</v>
      </c>
      <c r="J39" s="243">
        <f t="shared" si="26"/>
        <v>24062.600000000002</v>
      </c>
      <c r="K39" s="243">
        <f t="shared" si="26"/>
        <v>34952.6</v>
      </c>
      <c r="L39" s="243">
        <f t="shared" si="26"/>
        <v>41656.600000000006</v>
      </c>
      <c r="M39" s="243">
        <f t="shared" si="26"/>
        <v>42938.2</v>
      </c>
      <c r="N39" s="243">
        <f t="shared" si="26"/>
        <v>54823</v>
      </c>
      <c r="O39" s="243">
        <f t="shared" si="26"/>
        <v>62008.5</v>
      </c>
      <c r="P39" s="243">
        <f t="shared" si="26"/>
        <v>55399.699999999983</v>
      </c>
      <c r="Q39" s="243">
        <f t="shared" si="26"/>
        <v>62644.3</v>
      </c>
      <c r="R39" s="53">
        <f t="shared" si="24"/>
        <v>0.14526316935660111</v>
      </c>
    </row>
    <row r="40" spans="2:20" ht="14.5" x14ac:dyDescent="0.35">
      <c r="B40" s="244" t="s">
        <v>600</v>
      </c>
      <c r="C40" s="76"/>
      <c r="D40" s="76"/>
      <c r="E40" s="76"/>
      <c r="G40" s="245">
        <f>+BS!B27</f>
        <v>40213.199999999997</v>
      </c>
      <c r="H40" s="245">
        <f>+BS!C27</f>
        <v>46037.9</v>
      </c>
      <c r="I40" s="245">
        <f>+BS!D27</f>
        <v>50547</v>
      </c>
      <c r="J40" s="245">
        <f>+BS!E27</f>
        <v>56259.4</v>
      </c>
      <c r="K40" s="245">
        <f>+BS!F27</f>
        <v>71880.7</v>
      </c>
      <c r="L40" s="245">
        <f>+BS!G27</f>
        <v>85340.800000000003</v>
      </c>
      <c r="M40" s="245">
        <f>+BS!H27</f>
        <v>94373.2</v>
      </c>
      <c r="N40" s="245">
        <f>+BS!I27</f>
        <v>115737.7</v>
      </c>
      <c r="O40" s="245">
        <f>+BS!J27</f>
        <v>134442.4</v>
      </c>
      <c r="P40" s="245">
        <f>+BS!K27</f>
        <v>139076.29999999999</v>
      </c>
      <c r="Q40" s="245">
        <f>+BS!L27</f>
        <v>159664.6</v>
      </c>
      <c r="R40" s="53">
        <f t="shared" si="24"/>
        <v>0.1335482226373037</v>
      </c>
    </row>
    <row r="41" spans="2:20" ht="14.5" x14ac:dyDescent="0.35">
      <c r="B41" s="244" t="s">
        <v>503</v>
      </c>
      <c r="C41" s="76"/>
      <c r="D41" s="76"/>
      <c r="E41" s="76"/>
      <c r="G41" s="245">
        <f>+BS!B28</f>
        <v>26122.799999999999</v>
      </c>
      <c r="H41" s="245">
        <f>+BS!C28</f>
        <v>29071.599999999999</v>
      </c>
      <c r="I41" s="245">
        <f>+BS!D28</f>
        <v>31769.599999999999</v>
      </c>
      <c r="J41" s="245">
        <f>+BS!E28</f>
        <v>32196.799999999999</v>
      </c>
      <c r="K41" s="245">
        <f>+BS!F28</f>
        <v>36928.1</v>
      </c>
      <c r="L41" s="245">
        <f>+BS!G28</f>
        <v>43684.2</v>
      </c>
      <c r="M41" s="245">
        <f>+BS!H28</f>
        <v>51435</v>
      </c>
      <c r="N41" s="245">
        <f>+BS!I28</f>
        <v>60914.7</v>
      </c>
      <c r="O41" s="245">
        <f>+BS!J28</f>
        <v>72433.899999999994</v>
      </c>
      <c r="P41" s="245">
        <f>+BS!K28</f>
        <v>83676.600000000006</v>
      </c>
      <c r="Q41" s="245">
        <f>+BS!L28</f>
        <v>97020.3</v>
      </c>
      <c r="R41" s="53">
        <f t="shared" si="24"/>
        <v>0.12668859689884382</v>
      </c>
    </row>
    <row r="42" spans="2:20" x14ac:dyDescent="0.3">
      <c r="B42" t="s">
        <v>502</v>
      </c>
      <c r="G42" s="272"/>
      <c r="H42" s="272"/>
      <c r="I42" s="272"/>
      <c r="J42" s="272"/>
      <c r="K42" s="272"/>
      <c r="L42" s="272"/>
      <c r="M42" s="272"/>
      <c r="N42" s="272"/>
      <c r="O42" s="272"/>
      <c r="P42" s="272"/>
      <c r="Q42" s="272"/>
      <c r="R42" s="53" t="str">
        <f t="shared" si="24"/>
        <v/>
      </c>
    </row>
    <row r="43" spans="2:20" x14ac:dyDescent="0.3">
      <c r="B43" t="s">
        <v>601</v>
      </c>
      <c r="G43" s="209">
        <f>+BS!B33</f>
        <v>1336.7</v>
      </c>
      <c r="H43" s="209">
        <f>+BS!C33</f>
        <v>1704.9</v>
      </c>
      <c r="I43" s="209">
        <f>+BS!D33</f>
        <v>1915.6</v>
      </c>
      <c r="J43" s="209">
        <f>+BS!E33</f>
        <v>2247.3000000000002</v>
      </c>
      <c r="K43" s="209">
        <f>+BS!F33</f>
        <v>2678.8</v>
      </c>
      <c r="L43" s="209">
        <f>+BS!G33</f>
        <v>2571</v>
      </c>
      <c r="M43" s="209">
        <f>+BS!H33</f>
        <v>3400.3</v>
      </c>
      <c r="N43" s="209">
        <f>+BS!I33</f>
        <v>4797.2</v>
      </c>
      <c r="O43" s="209">
        <f>+BS!J33</f>
        <v>3512.1</v>
      </c>
      <c r="P43" s="209">
        <f>+BS!K33</f>
        <v>3834.6</v>
      </c>
      <c r="Q43" s="209">
        <f>+BS!L33</f>
        <v>4018.8</v>
      </c>
      <c r="R43" s="53">
        <f t="shared" si="24"/>
        <v>0.10524923332294134</v>
      </c>
    </row>
    <row r="44" spans="2:20" ht="14.5" x14ac:dyDescent="0.35">
      <c r="B44" s="244" t="s">
        <v>602</v>
      </c>
      <c r="C44" s="76"/>
      <c r="D44" s="76"/>
      <c r="E44" s="76"/>
      <c r="G44" s="245">
        <f>+BS!B34</f>
        <v>704.2</v>
      </c>
      <c r="H44" s="245">
        <f>+BS!C34</f>
        <v>720.8</v>
      </c>
      <c r="I44" s="245">
        <f>+BS!D34</f>
        <v>730.2</v>
      </c>
      <c r="J44" s="245">
        <f>+BS!E34</f>
        <v>695.1</v>
      </c>
      <c r="K44" s="245">
        <f>+BS!F34</f>
        <v>709.8</v>
      </c>
      <c r="L44" s="245">
        <f>+BS!G34</f>
        <v>720.2</v>
      </c>
      <c r="M44" s="245">
        <f>+BS!H34</f>
        <v>701.6</v>
      </c>
      <c r="N44" s="245">
        <f>+BS!I34</f>
        <v>1572</v>
      </c>
      <c r="O44" s="245">
        <f>+BS!J34</f>
        <v>798.7</v>
      </c>
      <c r="P44" s="245">
        <f>+BS!K34</f>
        <v>803.3</v>
      </c>
      <c r="Q44" s="245">
        <f>+BS!L34</f>
        <v>848.8</v>
      </c>
      <c r="R44" s="53">
        <f t="shared" si="24"/>
        <v>1.7123239468857632E-2</v>
      </c>
    </row>
    <row r="45" spans="2:20" ht="14.5" x14ac:dyDescent="0.35">
      <c r="B45" s="244" t="s">
        <v>504</v>
      </c>
      <c r="C45" s="76"/>
      <c r="D45" s="76"/>
      <c r="E45" s="76"/>
      <c r="G45" s="246">
        <f>+G43-G44</f>
        <v>632.5</v>
      </c>
      <c r="H45" s="246">
        <f t="shared" ref="H45:Q45" si="27">+H43-H44</f>
        <v>984.10000000000014</v>
      </c>
      <c r="I45" s="246">
        <f t="shared" si="27"/>
        <v>1185.3999999999999</v>
      </c>
      <c r="J45" s="246">
        <f t="shared" si="27"/>
        <v>1552.2000000000003</v>
      </c>
      <c r="K45" s="246">
        <f t="shared" si="27"/>
        <v>1969.0000000000002</v>
      </c>
      <c r="L45" s="246">
        <f t="shared" si="27"/>
        <v>1850.8</v>
      </c>
      <c r="M45" s="246">
        <f t="shared" si="27"/>
        <v>2698.7000000000003</v>
      </c>
      <c r="N45" s="246">
        <f t="shared" si="27"/>
        <v>3225.2</v>
      </c>
      <c r="O45" s="246">
        <f t="shared" si="27"/>
        <v>2713.3999999999996</v>
      </c>
      <c r="P45" s="246">
        <f t="shared" si="27"/>
        <v>3031.3</v>
      </c>
      <c r="Q45" s="246">
        <f t="shared" si="27"/>
        <v>3170</v>
      </c>
      <c r="R45" s="53"/>
    </row>
    <row r="46" spans="2:20" x14ac:dyDescent="0.3">
      <c r="B46" s="32" t="s">
        <v>603</v>
      </c>
      <c r="C46" s="32"/>
      <c r="D46" s="32"/>
      <c r="E46" s="32"/>
      <c r="G46" s="214">
        <f>+G47-G39-G42-G43</f>
        <v>1092.7000000000014</v>
      </c>
      <c r="H46" s="214">
        <f t="shared" ref="H46:Q46" si="28">+H47-H39-H42-H43</f>
        <v>1246.6999999999985</v>
      </c>
      <c r="I46" s="214">
        <f t="shared" si="28"/>
        <v>1683.9999999999986</v>
      </c>
      <c r="J46" s="214">
        <f t="shared" si="28"/>
        <v>1798.0999999999976</v>
      </c>
      <c r="K46" s="214">
        <f t="shared" si="28"/>
        <v>6132.7999999999984</v>
      </c>
      <c r="L46" s="214">
        <f t="shared" si="28"/>
        <v>6563.0999999999913</v>
      </c>
      <c r="M46" s="214">
        <f t="shared" si="28"/>
        <v>8264.4000000000051</v>
      </c>
      <c r="N46" s="214">
        <f t="shared" si="28"/>
        <v>9819.2999999999993</v>
      </c>
      <c r="O46" s="214">
        <f t="shared" si="28"/>
        <v>9617.5999999999967</v>
      </c>
      <c r="P46" s="214">
        <f t="shared" si="28"/>
        <v>10627.800000000023</v>
      </c>
      <c r="Q46" s="214">
        <f t="shared" si="28"/>
        <v>10913.2</v>
      </c>
      <c r="R46" s="215">
        <f t="shared" ref="R46:R61" si="29">IFERROR((Q46/G46)^(1/COUNT($G$4:$Q$4))-1,"")</f>
        <v>0.23270511311639974</v>
      </c>
    </row>
    <row r="47" spans="2:20" s="1" customFormat="1" ht="14.5" thickBot="1" x14ac:dyDescent="0.35">
      <c r="B47" s="1" t="s">
        <v>604</v>
      </c>
      <c r="F47" s="580"/>
      <c r="G47" s="218">
        <f>+BS!B42</f>
        <v>16519.8</v>
      </c>
      <c r="H47" s="218">
        <f>+BS!C42</f>
        <v>19917.900000000001</v>
      </c>
      <c r="I47" s="218">
        <f>+BS!D42</f>
        <v>22377</v>
      </c>
      <c r="J47" s="218">
        <f>+BS!E42</f>
        <v>28108</v>
      </c>
      <c r="K47" s="218">
        <f>+BS!F42</f>
        <v>43764.2</v>
      </c>
      <c r="L47" s="218">
        <f>+BS!G42</f>
        <v>50790.7</v>
      </c>
      <c r="M47" s="218">
        <f>+BS!H42</f>
        <v>54602.9</v>
      </c>
      <c r="N47" s="218">
        <f>+BS!I42</f>
        <v>69439.5</v>
      </c>
      <c r="O47" s="218">
        <f>+BS!J42</f>
        <v>75138.2</v>
      </c>
      <c r="P47" s="218">
        <f>+BS!K42</f>
        <v>69862.100000000006</v>
      </c>
      <c r="Q47" s="218">
        <f>+BS!L42</f>
        <v>77576.3</v>
      </c>
      <c r="R47" s="219">
        <f t="shared" si="29"/>
        <v>0.15097487494360817</v>
      </c>
    </row>
    <row r="48" spans="2:20" s="1" customFormat="1" ht="14.5" thickBot="1" x14ac:dyDescent="0.35">
      <c r="B48" s="220" t="s">
        <v>292</v>
      </c>
      <c r="C48" s="220"/>
      <c r="D48" s="220"/>
      <c r="E48" s="220"/>
      <c r="F48" s="582"/>
      <c r="G48" s="221">
        <f t="shared" ref="G48:Q48" si="30">SUM(G47,G38)</f>
        <v>26883.3</v>
      </c>
      <c r="H48" s="221">
        <f t="shared" si="30"/>
        <v>29677.9</v>
      </c>
      <c r="I48" s="221">
        <f t="shared" si="30"/>
        <v>32216</v>
      </c>
      <c r="J48" s="221">
        <f t="shared" si="30"/>
        <v>45418.400000000001</v>
      </c>
      <c r="K48" s="221">
        <f t="shared" si="30"/>
        <v>63658.299999999996</v>
      </c>
      <c r="L48" s="221">
        <f t="shared" si="30"/>
        <v>65248.299999999996</v>
      </c>
      <c r="M48" s="221">
        <f t="shared" si="30"/>
        <v>71173.899999999994</v>
      </c>
      <c r="N48" s="221">
        <f t="shared" si="30"/>
        <v>96346.6</v>
      </c>
      <c r="O48" s="221">
        <f t="shared" si="30"/>
        <v>103871.5</v>
      </c>
      <c r="P48" s="221">
        <f t="shared" si="30"/>
        <v>100330.20000000001</v>
      </c>
      <c r="Q48" s="221">
        <f t="shared" si="30"/>
        <v>119855.20000000001</v>
      </c>
      <c r="R48" s="222">
        <f t="shared" si="29"/>
        <v>0.14555473741163971</v>
      </c>
    </row>
    <row r="49" spans="1:18" x14ac:dyDescent="0.3">
      <c r="B49" t="s">
        <v>293</v>
      </c>
      <c r="G49" s="209">
        <f>+BS!B47</f>
        <v>787.8</v>
      </c>
      <c r="H49" s="209">
        <f>+BS!C47</f>
        <v>791.4</v>
      </c>
      <c r="I49" s="209">
        <f>+BS!D47</f>
        <v>696.1</v>
      </c>
      <c r="J49" s="209">
        <f>+BS!E47</f>
        <v>758.6</v>
      </c>
      <c r="K49" s="209">
        <f>+BS!F47</f>
        <v>1096.4000000000001</v>
      </c>
      <c r="L49" s="209">
        <f>+BS!G47</f>
        <v>1042.5</v>
      </c>
      <c r="M49" s="209">
        <f>+BS!H47</f>
        <v>1046.2</v>
      </c>
      <c r="N49" s="209">
        <f>+BS!I47</f>
        <v>1359.2</v>
      </c>
      <c r="O49" s="209">
        <f>+BS!J47</f>
        <v>2186.1999999999998</v>
      </c>
      <c r="P49" s="209">
        <f>+BS!K47</f>
        <v>1845.5</v>
      </c>
      <c r="Q49" s="209">
        <f>+BS!L47</f>
        <v>2277.3000000000002</v>
      </c>
      <c r="R49" s="53">
        <f t="shared" si="29"/>
        <v>0.10130973724482972</v>
      </c>
    </row>
    <row r="50" spans="1:18" x14ac:dyDescent="0.3">
      <c r="B50" t="s">
        <v>605</v>
      </c>
      <c r="G50" s="217">
        <f>+SUM(G51:G52)</f>
        <v>734.2</v>
      </c>
      <c r="H50" s="217">
        <f t="shared" ref="H50:Q50" si="31">+SUM(H51:H52)</f>
        <v>147.9</v>
      </c>
      <c r="I50" s="217">
        <f t="shared" si="31"/>
        <v>0</v>
      </c>
      <c r="J50" s="217">
        <f t="shared" si="31"/>
        <v>192.7</v>
      </c>
      <c r="K50" s="217">
        <f t="shared" si="31"/>
        <v>585.79999999999995</v>
      </c>
      <c r="L50" s="217">
        <f t="shared" si="31"/>
        <v>1461.6000000000001</v>
      </c>
      <c r="M50" s="217">
        <f t="shared" si="31"/>
        <v>527.1</v>
      </c>
      <c r="N50" s="217">
        <f t="shared" si="31"/>
        <v>535.29999999999995</v>
      </c>
      <c r="O50" s="217">
        <f t="shared" si="31"/>
        <v>4114.2</v>
      </c>
      <c r="P50" s="217">
        <f t="shared" si="31"/>
        <v>4777.1000000000004</v>
      </c>
      <c r="Q50" s="217">
        <f t="shared" si="31"/>
        <v>1871.9</v>
      </c>
      <c r="R50" s="53">
        <f t="shared" si="29"/>
        <v>8.8808895516326647E-2</v>
      </c>
    </row>
    <row r="51" spans="1:18" ht="14.5" x14ac:dyDescent="0.35">
      <c r="B51" s="244" t="s">
        <v>606</v>
      </c>
      <c r="G51" s="245">
        <f>+BS!B51</f>
        <v>734.2</v>
      </c>
      <c r="H51" s="245">
        <f>+BS!C51</f>
        <v>147.9</v>
      </c>
      <c r="I51" s="245">
        <f>+BS!D51</f>
        <v>0</v>
      </c>
      <c r="J51" s="245">
        <f>+BS!E51</f>
        <v>192.7</v>
      </c>
      <c r="K51" s="245">
        <f>+BS!F51</f>
        <v>585.79999999999995</v>
      </c>
      <c r="L51" s="245">
        <f>+BS!G51</f>
        <v>1168.4000000000001</v>
      </c>
      <c r="M51" s="245">
        <f>+BS!H51</f>
        <v>179.6</v>
      </c>
      <c r="N51" s="245">
        <f>+BS!I51</f>
        <v>233.2</v>
      </c>
      <c r="O51" s="245">
        <f>+BS!J51</f>
        <v>3833.3</v>
      </c>
      <c r="P51" s="245">
        <f>+BS!K51</f>
        <v>4145.6000000000004</v>
      </c>
      <c r="Q51" s="245">
        <f>+BS!L51</f>
        <v>1283.5</v>
      </c>
      <c r="R51" s="53">
        <f t="shared" si="29"/>
        <v>5.2089928017090115E-2</v>
      </c>
    </row>
    <row r="52" spans="1:18" ht="14.5" x14ac:dyDescent="0.35">
      <c r="B52" s="244" t="s">
        <v>607</v>
      </c>
      <c r="G52" s="245" t="str">
        <f>+BS!B52</f>
        <v>—</v>
      </c>
      <c r="H52" s="245" t="str">
        <f>+BS!C52</f>
        <v>—</v>
      </c>
      <c r="I52" s="245" t="str">
        <f>+BS!D52</f>
        <v>—</v>
      </c>
      <c r="J52" s="245" t="str">
        <f>+BS!E52</f>
        <v>—</v>
      </c>
      <c r="K52" s="245" t="str">
        <f>+BS!F52</f>
        <v>—</v>
      </c>
      <c r="L52" s="245">
        <f>+BS!G52</f>
        <v>293.2</v>
      </c>
      <c r="M52" s="245">
        <f>+BS!H52</f>
        <v>347.5</v>
      </c>
      <c r="N52" s="245">
        <f>+BS!I52</f>
        <v>302.10000000000002</v>
      </c>
      <c r="O52" s="245">
        <f>+BS!J52</f>
        <v>280.89999999999998</v>
      </c>
      <c r="P52" s="245">
        <f>+BS!K52</f>
        <v>631.5</v>
      </c>
      <c r="Q52" s="245">
        <f>+BS!L52</f>
        <v>588.4</v>
      </c>
      <c r="R52" s="53" t="str">
        <f t="shared" si="29"/>
        <v/>
      </c>
    </row>
    <row r="53" spans="1:18" x14ac:dyDescent="0.3">
      <c r="B53" s="32" t="s">
        <v>508</v>
      </c>
      <c r="C53" s="32"/>
      <c r="D53" s="32"/>
      <c r="E53" s="32"/>
      <c r="G53" s="214">
        <f t="shared" ref="G53:Q53" si="32">+G54-G49-G50</f>
        <v>4243.3</v>
      </c>
      <c r="H53" s="214">
        <f t="shared" si="32"/>
        <v>3901.3999999999996</v>
      </c>
      <c r="I53" s="214">
        <f t="shared" si="32"/>
        <v>3464.7000000000003</v>
      </c>
      <c r="J53" s="214">
        <f t="shared" si="32"/>
        <v>7164.8</v>
      </c>
      <c r="K53" s="214">
        <f t="shared" si="32"/>
        <v>11349.7</v>
      </c>
      <c r="L53" s="214">
        <f t="shared" si="32"/>
        <v>5457.9</v>
      </c>
      <c r="M53" s="214">
        <f t="shared" si="32"/>
        <v>7499.0999999999995</v>
      </c>
      <c r="N53" s="214">
        <f t="shared" si="32"/>
        <v>12840.9</v>
      </c>
      <c r="O53" s="214">
        <f t="shared" si="32"/>
        <v>13543.3</v>
      </c>
      <c r="P53" s="214">
        <f t="shared" si="32"/>
        <v>14385.199999999999</v>
      </c>
      <c r="Q53" s="214">
        <f t="shared" si="32"/>
        <v>20816.2</v>
      </c>
      <c r="R53" s="215">
        <f t="shared" si="29"/>
        <v>0.15555521355159074</v>
      </c>
    </row>
    <row r="54" spans="1:18" x14ac:dyDescent="0.3">
      <c r="B54" s="32" t="s">
        <v>294</v>
      </c>
      <c r="C54" s="32"/>
      <c r="D54" s="32"/>
      <c r="E54" s="32"/>
      <c r="F54" s="581"/>
      <c r="G54" s="209">
        <f>+BS!B58</f>
        <v>5765.3</v>
      </c>
      <c r="H54" s="209">
        <f>+BS!C58</f>
        <v>4840.7</v>
      </c>
      <c r="I54" s="209">
        <f>+BS!D58</f>
        <v>4160.8</v>
      </c>
      <c r="J54" s="209">
        <f>+BS!E58</f>
        <v>8116.1</v>
      </c>
      <c r="K54" s="209">
        <f>+BS!F58</f>
        <v>13031.9</v>
      </c>
      <c r="L54" s="209">
        <f>+BS!G58</f>
        <v>7962</v>
      </c>
      <c r="M54" s="209">
        <f>+BS!H58</f>
        <v>9072.4</v>
      </c>
      <c r="N54" s="209">
        <f>+BS!I58</f>
        <v>14735.4</v>
      </c>
      <c r="O54" s="209">
        <f>+BS!J58</f>
        <v>19843.7</v>
      </c>
      <c r="P54" s="209">
        <f>+BS!K58</f>
        <v>21007.8</v>
      </c>
      <c r="Q54" s="209">
        <f>+BS!L58</f>
        <v>24965.4</v>
      </c>
      <c r="R54" s="215">
        <f t="shared" si="29"/>
        <v>0.1425235143542487</v>
      </c>
    </row>
    <row r="55" spans="1:18" x14ac:dyDescent="0.3">
      <c r="B55" t="s">
        <v>608</v>
      </c>
      <c r="G55" s="243">
        <f>+SUM(G56:G57)</f>
        <v>2419.6999999999998</v>
      </c>
      <c r="H55" s="243">
        <f t="shared" ref="H55:Q55" si="33">+SUM(H56:H57)</f>
        <v>2805.2</v>
      </c>
      <c r="I55" s="243">
        <f t="shared" si="33"/>
        <v>3631.1</v>
      </c>
      <c r="J55" s="243">
        <f t="shared" si="33"/>
        <v>3397.5</v>
      </c>
      <c r="K55" s="243">
        <f t="shared" si="33"/>
        <v>3667.6</v>
      </c>
      <c r="L55" s="243">
        <f t="shared" si="33"/>
        <v>9159.5</v>
      </c>
      <c r="M55" s="243">
        <f t="shared" si="33"/>
        <v>9433.6999999999989</v>
      </c>
      <c r="N55" s="243">
        <f t="shared" si="33"/>
        <v>15966.7</v>
      </c>
      <c r="O55" s="243">
        <f t="shared" si="33"/>
        <v>17087.599999999999</v>
      </c>
      <c r="P55" s="243">
        <f t="shared" si="33"/>
        <v>22009.800000000003</v>
      </c>
      <c r="Q55" s="243">
        <f t="shared" si="33"/>
        <v>19611.5</v>
      </c>
      <c r="R55" s="53">
        <f t="shared" si="29"/>
        <v>0.20952144150009233</v>
      </c>
    </row>
    <row r="56" spans="1:18" ht="14.5" x14ac:dyDescent="0.35">
      <c r="B56" s="244" t="s">
        <v>609</v>
      </c>
      <c r="G56" s="245">
        <f>+BS!B60</f>
        <v>2419.6999999999998</v>
      </c>
      <c r="H56" s="245">
        <f>+BS!C60</f>
        <v>2805.2</v>
      </c>
      <c r="I56" s="245">
        <f>+BS!D60</f>
        <v>3631.1</v>
      </c>
      <c r="J56" s="245">
        <f>+BS!E60</f>
        <v>3397.5</v>
      </c>
      <c r="K56" s="245">
        <f>+BS!F60</f>
        <v>3667.6</v>
      </c>
      <c r="L56" s="245">
        <f>+BS!G60</f>
        <v>7785.7</v>
      </c>
      <c r="M56" s="245">
        <f>+BS!H60</f>
        <v>8137.4</v>
      </c>
      <c r="N56" s="245">
        <f>+BS!I60</f>
        <v>14743</v>
      </c>
      <c r="O56" s="245">
        <f>+BS!J60</f>
        <v>15571.4</v>
      </c>
      <c r="P56" s="245">
        <f>+BS!K60</f>
        <v>19611.400000000001</v>
      </c>
      <c r="Q56" s="245">
        <f>+BS!L60</f>
        <v>17431.5</v>
      </c>
      <c r="R56" s="53">
        <f t="shared" si="29"/>
        <v>0.19663362787998184</v>
      </c>
    </row>
    <row r="57" spans="1:18" ht="14.5" x14ac:dyDescent="0.35">
      <c r="B57" s="244" t="s">
        <v>610</v>
      </c>
      <c r="G57" s="245" t="str">
        <f>+BS!B61</f>
        <v>—</v>
      </c>
      <c r="H57" s="245" t="str">
        <f>+BS!C61</f>
        <v>—</v>
      </c>
      <c r="I57" s="245" t="str">
        <f>+BS!D61</f>
        <v>—</v>
      </c>
      <c r="J57" s="245" t="str">
        <f>+BS!E61</f>
        <v>—</v>
      </c>
      <c r="K57" s="245" t="str">
        <f>+BS!F61</f>
        <v>—</v>
      </c>
      <c r="L57" s="245">
        <f>+BS!G61</f>
        <v>1373.8</v>
      </c>
      <c r="M57" s="245">
        <f>+BS!H61</f>
        <v>1296.3</v>
      </c>
      <c r="N57" s="245">
        <f>+BS!I61</f>
        <v>1223.7</v>
      </c>
      <c r="O57" s="245">
        <f>+BS!J61</f>
        <v>1516.2</v>
      </c>
      <c r="P57" s="245">
        <f>+BS!K61</f>
        <v>2398.4</v>
      </c>
      <c r="Q57" s="245">
        <f>+BS!L61</f>
        <v>2180</v>
      </c>
      <c r="R57" s="53" t="str">
        <f t="shared" si="29"/>
        <v/>
      </c>
    </row>
    <row r="58" spans="1:18" x14ac:dyDescent="0.3">
      <c r="B58" s="32" t="s">
        <v>611</v>
      </c>
      <c r="C58" s="32"/>
      <c r="D58" s="32"/>
      <c r="E58" s="32"/>
      <c r="G58" s="223">
        <f>+G59-G55</f>
        <v>662</v>
      </c>
      <c r="H58" s="223">
        <f t="shared" ref="H58:Q58" si="34">+H59-H55</f>
        <v>644.30000000000018</v>
      </c>
      <c r="I58" s="223">
        <f t="shared" si="34"/>
        <v>400.5</v>
      </c>
      <c r="J58" s="223">
        <f t="shared" si="34"/>
        <v>83.900000000000091</v>
      </c>
      <c r="K58" s="223">
        <f t="shared" si="34"/>
        <v>106.59999999999991</v>
      </c>
      <c r="L58" s="223">
        <f t="shared" si="34"/>
        <v>191</v>
      </c>
      <c r="M58" s="223">
        <f t="shared" si="34"/>
        <v>758.70000000000073</v>
      </c>
      <c r="N58" s="223">
        <f t="shared" si="34"/>
        <v>3453.3999999999978</v>
      </c>
      <c r="O58" s="223">
        <f t="shared" si="34"/>
        <v>3649.7000000000007</v>
      </c>
      <c r="P58" s="223">
        <f t="shared" si="34"/>
        <v>3808.7999999999956</v>
      </c>
      <c r="Q58" s="223">
        <f t="shared" si="34"/>
        <v>1362.5999999999985</v>
      </c>
      <c r="R58" s="215">
        <f t="shared" si="29"/>
        <v>6.782711610400205E-2</v>
      </c>
    </row>
    <row r="59" spans="1:18" s="1" customFormat="1" ht="14.5" thickBot="1" x14ac:dyDescent="0.35">
      <c r="B59" s="1" t="s">
        <v>612</v>
      </c>
      <c r="F59" s="580"/>
      <c r="G59" s="209">
        <f>+BS!B71</f>
        <v>3081.7</v>
      </c>
      <c r="H59" s="209">
        <f>+BS!C71</f>
        <v>3449.5</v>
      </c>
      <c r="I59" s="209">
        <f>+BS!D71</f>
        <v>4031.6</v>
      </c>
      <c r="J59" s="209">
        <f>+BS!E71</f>
        <v>3481.4</v>
      </c>
      <c r="K59" s="209">
        <f>+BS!F71</f>
        <v>3774.2</v>
      </c>
      <c r="L59" s="209">
        <f>+BS!G71</f>
        <v>9350.5</v>
      </c>
      <c r="M59" s="209">
        <f>+BS!H71</f>
        <v>10192.4</v>
      </c>
      <c r="N59" s="209">
        <f>+BS!I71</f>
        <v>19420.099999999999</v>
      </c>
      <c r="O59" s="209">
        <f>+BS!J71</f>
        <v>20737.3</v>
      </c>
      <c r="P59" s="209">
        <f>+BS!K71</f>
        <v>25818.6</v>
      </c>
      <c r="Q59" s="209">
        <f>+BS!L71</f>
        <v>20974.1</v>
      </c>
      <c r="R59" s="55">
        <f t="shared" si="29"/>
        <v>0.19046749914925076</v>
      </c>
    </row>
    <row r="60" spans="1:18" s="1" customFormat="1" ht="14.5" thickBot="1" x14ac:dyDescent="0.35">
      <c r="B60" s="220" t="s">
        <v>458</v>
      </c>
      <c r="C60" s="220"/>
      <c r="D60" s="220"/>
      <c r="E60" s="220"/>
      <c r="F60" s="582"/>
      <c r="G60" s="221">
        <f t="shared" ref="G60:Q60" si="35">SUM(G59,G54)</f>
        <v>8847</v>
      </c>
      <c r="H60" s="221">
        <f t="shared" si="35"/>
        <v>8290.2000000000007</v>
      </c>
      <c r="I60" s="221">
        <f t="shared" si="35"/>
        <v>8192.4</v>
      </c>
      <c r="J60" s="221">
        <f t="shared" si="35"/>
        <v>11597.5</v>
      </c>
      <c r="K60" s="221">
        <f t="shared" si="35"/>
        <v>16806.099999999999</v>
      </c>
      <c r="L60" s="221">
        <f t="shared" si="35"/>
        <v>17312.5</v>
      </c>
      <c r="M60" s="221">
        <f t="shared" si="35"/>
        <v>19264.8</v>
      </c>
      <c r="N60" s="221">
        <f t="shared" si="35"/>
        <v>34155.5</v>
      </c>
      <c r="O60" s="221">
        <f t="shared" si="35"/>
        <v>40581</v>
      </c>
      <c r="P60" s="221">
        <f t="shared" si="35"/>
        <v>46826.399999999994</v>
      </c>
      <c r="Q60" s="221">
        <f t="shared" si="35"/>
        <v>45939.5</v>
      </c>
      <c r="R60" s="222">
        <f t="shared" si="29"/>
        <v>0.16154349259336365</v>
      </c>
    </row>
    <row r="61" spans="1:18" s="1" customFormat="1" x14ac:dyDescent="0.3">
      <c r="B61" s="1" t="s">
        <v>297</v>
      </c>
      <c r="F61"/>
      <c r="G61" s="211">
        <f t="shared" ref="G61:Q61" si="36">G48-G60</f>
        <v>18036.3</v>
      </c>
      <c r="H61" s="211">
        <f t="shared" si="36"/>
        <v>21387.7</v>
      </c>
      <c r="I61" s="211">
        <f t="shared" si="36"/>
        <v>24023.599999999999</v>
      </c>
      <c r="J61" s="211">
        <f t="shared" si="36"/>
        <v>33820.9</v>
      </c>
      <c r="K61" s="211">
        <f t="shared" si="36"/>
        <v>46852.2</v>
      </c>
      <c r="L61" s="211">
        <f t="shared" si="36"/>
        <v>47935.799999999996</v>
      </c>
      <c r="M61" s="211">
        <f t="shared" si="36"/>
        <v>51909.099999999991</v>
      </c>
      <c r="N61" s="211">
        <f t="shared" si="36"/>
        <v>62191.100000000006</v>
      </c>
      <c r="O61" s="211">
        <f t="shared" si="36"/>
        <v>63290.5</v>
      </c>
      <c r="P61" s="211">
        <f t="shared" si="36"/>
        <v>53503.800000000017</v>
      </c>
      <c r="Q61" s="211">
        <f t="shared" si="36"/>
        <v>73915.700000000012</v>
      </c>
      <c r="R61" s="55">
        <f t="shared" si="29"/>
        <v>0.1368153556898406</v>
      </c>
    </row>
    <row r="62" spans="1:18" x14ac:dyDescent="0.3">
      <c r="B62" t="s">
        <v>613</v>
      </c>
      <c r="G62" s="746">
        <f>+BS!B82</f>
        <v>-0.2</v>
      </c>
      <c r="H62" s="746">
        <f>+BS!C82</f>
        <v>0.8</v>
      </c>
      <c r="I62" s="746">
        <f>+BS!D82</f>
        <v>6.6</v>
      </c>
      <c r="J62" s="746">
        <f>+BS!E82</f>
        <v>5.6</v>
      </c>
      <c r="K62" s="746">
        <f>+BS!F82</f>
        <v>6.6</v>
      </c>
      <c r="L62" s="746">
        <f>+BS!G82</f>
        <v>14.8</v>
      </c>
      <c r="M62" s="746">
        <f>+BS!H82</f>
        <v>20.6</v>
      </c>
      <c r="N62" s="746">
        <f>+BS!I82</f>
        <v>34</v>
      </c>
      <c r="O62" s="746">
        <f>+BS!J82</f>
        <v>24.2</v>
      </c>
      <c r="P62" s="746">
        <f>+BS!K82</f>
        <v>-0.5</v>
      </c>
      <c r="Q62" s="746">
        <f>+BS!L82</f>
        <v>12.3</v>
      </c>
      <c r="R62" s="53"/>
    </row>
    <row r="63" spans="1:18" ht="4.1500000000000004" customHeight="1" x14ac:dyDescent="0.3"/>
    <row r="64" spans="1:18" ht="15.5" x14ac:dyDescent="0.35">
      <c r="A64" t="s">
        <v>440</v>
      </c>
      <c r="B64" s="43" t="s">
        <v>244</v>
      </c>
      <c r="C64" s="47"/>
      <c r="D64" s="47"/>
      <c r="E64" s="47"/>
      <c r="F64" s="47"/>
      <c r="G64" s="207">
        <v>2014</v>
      </c>
      <c r="H64" s="207">
        <f>+G64+1</f>
        <v>2015</v>
      </c>
      <c r="I64" s="207">
        <f t="shared" ref="I64:M64" si="37">+H64+1</f>
        <v>2016</v>
      </c>
      <c r="J64" s="207">
        <f t="shared" si="37"/>
        <v>2017</v>
      </c>
      <c r="K64" s="207">
        <f t="shared" si="37"/>
        <v>2018</v>
      </c>
      <c r="L64" s="207">
        <f t="shared" si="37"/>
        <v>2019</v>
      </c>
      <c r="M64" s="207">
        <f t="shared" si="37"/>
        <v>2020</v>
      </c>
      <c r="N64" s="207">
        <f>+M64+1</f>
        <v>2021</v>
      </c>
      <c r="O64" s="207">
        <f>+N64+1</f>
        <v>2022</v>
      </c>
      <c r="P64" s="207">
        <f t="shared" ref="P64" si="38">+O64+1</f>
        <v>2023</v>
      </c>
      <c r="Q64" s="207">
        <f>+P64+1</f>
        <v>2024</v>
      </c>
      <c r="R64" s="49" t="str">
        <f>"CAGR "&amp;$G$4&amp;" - "&amp;$Q$4</f>
        <v>CAGR 2014 - 2024</v>
      </c>
    </row>
    <row r="65" spans="2:30" ht="4.1500000000000004" customHeight="1" x14ac:dyDescent="0.35">
      <c r="B65" s="212"/>
      <c r="C65" s="212"/>
      <c r="D65" s="212"/>
      <c r="E65" s="212"/>
      <c r="F65" s="212"/>
      <c r="G65" s="213"/>
      <c r="H65" s="213"/>
      <c r="I65" s="213"/>
      <c r="J65" s="213"/>
      <c r="K65" s="213"/>
      <c r="L65" s="213"/>
      <c r="M65" s="213"/>
      <c r="N65" s="213"/>
      <c r="O65" s="213"/>
      <c r="P65" s="213"/>
      <c r="Q65" s="213"/>
      <c r="R65" s="51"/>
    </row>
    <row r="66" spans="2:30" x14ac:dyDescent="0.3">
      <c r="B66" t="s">
        <v>281</v>
      </c>
      <c r="G66" s="224">
        <f>G24</f>
        <v>4195.0999999999976</v>
      </c>
      <c r="H66" s="224">
        <f t="shared" ref="H66:Q66" si="39">H24</f>
        <v>4323.6000000000004</v>
      </c>
      <c r="I66" s="224">
        <f t="shared" si="39"/>
        <v>2960.6</v>
      </c>
      <c r="J66" s="224">
        <f t="shared" si="39"/>
        <v>10642.3</v>
      </c>
      <c r="K66" s="224">
        <f t="shared" si="39"/>
        <v>15540.2</v>
      </c>
      <c r="L66" s="224">
        <f t="shared" si="39"/>
        <v>2009.1000000000017</v>
      </c>
      <c r="M66" s="224">
        <f t="shared" si="39"/>
        <v>4758.9000000000015</v>
      </c>
      <c r="N66" s="224">
        <f t="shared" si="39"/>
        <v>9616.2000000000044</v>
      </c>
      <c r="O66" s="224">
        <f t="shared" si="39"/>
        <v>2241.699999999998</v>
      </c>
      <c r="P66" s="224">
        <f t="shared" si="39"/>
        <v>-9137.5999999999949</v>
      </c>
      <c r="Q66" s="224">
        <f t="shared" si="39"/>
        <v>19797.099999999995</v>
      </c>
      <c r="R66" s="53">
        <f>IFERROR((Q66/G66)^(1/COUNT($G$4:$Q$4))-1,"")</f>
        <v>0.15148936874420738</v>
      </c>
    </row>
    <row r="67" spans="2:30" x14ac:dyDescent="0.3">
      <c r="B67" t="s">
        <v>614</v>
      </c>
      <c r="G67" s="217">
        <f>+CF!B8</f>
        <v>3444</v>
      </c>
      <c r="H67" s="217">
        <f>+CF!C8</f>
        <v>3953.2</v>
      </c>
      <c r="I67" s="217">
        <f>+CF!D8</f>
        <v>4456.3</v>
      </c>
      <c r="J67" s="217">
        <f>+CF!E8</f>
        <v>5026.1000000000004</v>
      </c>
      <c r="K67" s="217">
        <f>+CF!F8</f>
        <v>6428.3</v>
      </c>
      <c r="L67" s="217">
        <f>+CF!G8</f>
        <v>8620.4</v>
      </c>
      <c r="M67" s="217">
        <f>+CF!H8</f>
        <v>9771.9</v>
      </c>
      <c r="N67" s="217">
        <f>+CF!I8</f>
        <v>10656.7</v>
      </c>
      <c r="O67" s="217">
        <f>+CF!J8</f>
        <v>14151.5</v>
      </c>
      <c r="P67" s="217">
        <f>+CF!K8</f>
        <v>13673.7</v>
      </c>
      <c r="Q67" s="217">
        <f>+CF!L8</f>
        <v>12581.5</v>
      </c>
      <c r="R67" s="53">
        <f>IFERROR((Q67/G67)^(1/COUNT($G$4:$Q$4))-1,"")</f>
        <v>0.12499800591496557</v>
      </c>
    </row>
    <row r="68" spans="2:30" x14ac:dyDescent="0.3">
      <c r="B68" t="s">
        <v>515</v>
      </c>
      <c r="G68" s="243">
        <f>+SUM(G69:G72)</f>
        <v>-2006.7</v>
      </c>
      <c r="H68" s="243">
        <f t="shared" ref="H68:Q68" si="40">+SUM(H69:H72)</f>
        <v>622.20000000000005</v>
      </c>
      <c r="I68" s="243">
        <f t="shared" si="40"/>
        <v>-796</v>
      </c>
      <c r="J68" s="243">
        <f t="shared" si="40"/>
        <v>-3045.3</v>
      </c>
      <c r="K68" s="243">
        <f t="shared" si="40"/>
        <v>-2312.1999999999998</v>
      </c>
      <c r="L68" s="243">
        <f t="shared" si="40"/>
        <v>1025.2</v>
      </c>
      <c r="M68" s="243">
        <f t="shared" si="40"/>
        <v>-1551.6999999999998</v>
      </c>
      <c r="N68" s="243">
        <f t="shared" si="40"/>
        <v>-3046.2</v>
      </c>
      <c r="O68" s="243">
        <f t="shared" si="40"/>
        <v>-3088.8</v>
      </c>
      <c r="P68" s="243">
        <f t="shared" si="40"/>
        <v>965</v>
      </c>
      <c r="Q68" s="243">
        <f t="shared" si="40"/>
        <v>-6034.6</v>
      </c>
      <c r="R68" s="53">
        <f>IFERROR((Q68/G68)^(1/COUNT($G$4:$Q$4))-1,"")</f>
        <v>0.1052732003998551</v>
      </c>
    </row>
    <row r="69" spans="2:30" ht="14.5" x14ac:dyDescent="0.35">
      <c r="B69" s="244" t="s">
        <v>615</v>
      </c>
      <c r="G69" s="209">
        <f>+CF!B13</f>
        <v>-1628.7</v>
      </c>
      <c r="H69" s="209">
        <f>+CF!C13</f>
        <v>1260.2</v>
      </c>
      <c r="I69" s="209">
        <f>+CF!D13</f>
        <v>-470.8</v>
      </c>
      <c r="J69" s="209">
        <f>+CF!E13</f>
        <v>-2964.3</v>
      </c>
      <c r="K69" s="209">
        <f>+CF!F13</f>
        <v>-547.29999999999995</v>
      </c>
      <c r="L69" s="209">
        <f>+CF!G13</f>
        <v>2214.8000000000002</v>
      </c>
      <c r="M69" s="209">
        <f>+CF!H13</f>
        <v>-935.3</v>
      </c>
      <c r="N69" s="209">
        <f>+CF!I13</f>
        <v>-2525.6999999999998</v>
      </c>
      <c r="O69" s="209">
        <f>+CF!J13</f>
        <v>3342</v>
      </c>
      <c r="P69" s="209">
        <f>+CF!K13</f>
        <v>-1406.2</v>
      </c>
      <c r="Q69" s="209">
        <f>+CF!L13</f>
        <v>-5098</v>
      </c>
      <c r="R69" s="53"/>
    </row>
    <row r="70" spans="2:30" ht="14.5" x14ac:dyDescent="0.35">
      <c r="B70" s="244" t="s">
        <v>616</v>
      </c>
      <c r="G70" s="209">
        <f>+CF!B14</f>
        <v>-314.5</v>
      </c>
      <c r="H70" s="209">
        <f>+CF!C14</f>
        <v>-414.8</v>
      </c>
      <c r="I70" s="209">
        <f>+CF!D14</f>
        <v>-110.8</v>
      </c>
      <c r="J70" s="209">
        <f>+CF!E14</f>
        <v>-634.6</v>
      </c>
      <c r="K70" s="209">
        <f>+CF!F14</f>
        <v>-1782.4</v>
      </c>
      <c r="L70" s="209">
        <f>+CF!G14</f>
        <v>-851.7</v>
      </c>
      <c r="M70" s="209">
        <f>+CF!H14</f>
        <v>-843.8</v>
      </c>
      <c r="N70" s="209">
        <f>+CF!I14</f>
        <v>-696.6</v>
      </c>
      <c r="O70" s="209">
        <f>+CF!J14</f>
        <v>-6572.1</v>
      </c>
      <c r="P70" s="209">
        <f>+CF!K14</f>
        <v>2288</v>
      </c>
      <c r="Q70" s="209">
        <f>+CF!L14</f>
        <v>166.7</v>
      </c>
      <c r="R70" s="53"/>
    </row>
    <row r="71" spans="2:30" ht="14.5" x14ac:dyDescent="0.35">
      <c r="B71" s="244" t="s">
        <v>617</v>
      </c>
      <c r="G71" s="209">
        <f>+CF!B15</f>
        <v>69.3</v>
      </c>
      <c r="H71" s="209">
        <f>+CF!C15</f>
        <v>-156.1</v>
      </c>
      <c r="I71" s="209">
        <f>+CF!D15</f>
        <v>-208.4</v>
      </c>
      <c r="J71" s="209">
        <f>+CF!E15</f>
        <v>514.79999999999995</v>
      </c>
      <c r="K71" s="209">
        <f>+CF!F15</f>
        <v>58.8</v>
      </c>
      <c r="L71" s="209">
        <f>+CF!G15</f>
        <v>-278.5</v>
      </c>
      <c r="M71" s="209">
        <f>+CF!H15</f>
        <v>222</v>
      </c>
      <c r="N71" s="209">
        <f>+CF!I15</f>
        <v>-198</v>
      </c>
      <c r="O71" s="209">
        <f>+CF!J15</f>
        <v>521</v>
      </c>
      <c r="P71" s="209">
        <f>+CF!K15</f>
        <v>-168.1</v>
      </c>
      <c r="Q71" s="209">
        <f>+CF!L15</f>
        <v>275</v>
      </c>
      <c r="R71" s="53"/>
    </row>
    <row r="72" spans="2:30" ht="14.5" x14ac:dyDescent="0.35">
      <c r="B72" s="244" t="s">
        <v>618</v>
      </c>
      <c r="G72" s="209">
        <f>+CF!B16</f>
        <v>-132.80000000000001</v>
      </c>
      <c r="H72" s="209">
        <f>+CF!C16</f>
        <v>-67.099999999999994</v>
      </c>
      <c r="I72" s="209">
        <f>+CF!D16</f>
        <v>-6</v>
      </c>
      <c r="J72" s="209">
        <f>+CF!E16</f>
        <v>38.799999999999997</v>
      </c>
      <c r="K72" s="209">
        <f>+CF!F16</f>
        <v>-41.3</v>
      </c>
      <c r="L72" s="209">
        <f>+CF!G16</f>
        <v>-59.4</v>
      </c>
      <c r="M72" s="209">
        <f>+CF!H16</f>
        <v>5.4</v>
      </c>
      <c r="N72" s="209">
        <f>+CF!I16</f>
        <v>374.1</v>
      </c>
      <c r="O72" s="209">
        <f>+CF!J16</f>
        <v>-379.7</v>
      </c>
      <c r="P72" s="209">
        <f>+CF!K16</f>
        <v>251.3</v>
      </c>
      <c r="Q72" s="209">
        <f>+CF!L16</f>
        <v>-1378.3</v>
      </c>
      <c r="R72" s="53"/>
    </row>
    <row r="73" spans="2:30" x14ac:dyDescent="0.3">
      <c r="B73" t="s">
        <v>513</v>
      </c>
      <c r="G73" s="746"/>
      <c r="H73" s="746"/>
      <c r="I73" s="746"/>
      <c r="J73" s="746">
        <f>+CF!E10</f>
        <v>0.8</v>
      </c>
      <c r="K73" s="746">
        <f>+CF!F10</f>
        <v>1.2</v>
      </c>
      <c r="L73" s="746">
        <f>+CF!G10</f>
        <v>1.7</v>
      </c>
      <c r="M73" s="746">
        <f>+CF!H10</f>
        <v>1.6</v>
      </c>
      <c r="N73" s="746"/>
      <c r="O73" s="746"/>
      <c r="P73" s="746"/>
      <c r="Q73" s="746"/>
      <c r="R73" s="53"/>
    </row>
    <row r="74" spans="2:30" x14ac:dyDescent="0.3">
      <c r="B74" t="s">
        <v>516</v>
      </c>
      <c r="G74" s="243">
        <f>+G75-G66-G67-G68-G73</f>
        <v>234.30000000000223</v>
      </c>
      <c r="H74" s="243">
        <f t="shared" ref="H74:Q74" si="41">+H75-H66-H67-H68-H73</f>
        <v>420.49999999999977</v>
      </c>
      <c r="I74" s="243">
        <f t="shared" si="41"/>
        <v>-1072.0000000000005</v>
      </c>
      <c r="J74" s="243">
        <f t="shared" si="41"/>
        <v>2066.7000000000007</v>
      </c>
      <c r="K74" s="243">
        <f t="shared" si="41"/>
        <v>2569.6999999999998</v>
      </c>
      <c r="L74" s="243">
        <f t="shared" si="41"/>
        <v>-5106.7000000000007</v>
      </c>
      <c r="M74" s="243">
        <f t="shared" si="41"/>
        <v>-666.10000000000093</v>
      </c>
      <c r="N74" s="243">
        <f t="shared" si="41"/>
        <v>2570.8999999999933</v>
      </c>
      <c r="O74" s="243">
        <f t="shared" si="41"/>
        <v>1476.1000000000031</v>
      </c>
      <c r="P74" s="243">
        <f t="shared" si="41"/>
        <v>-1222.9000000000051</v>
      </c>
      <c r="Q74" s="243">
        <f t="shared" si="41"/>
        <v>3451.9000000000069</v>
      </c>
      <c r="R74" s="53">
        <f>IFERROR((Q74/G74)^(1/COUNT($G$4:$Q$4))-1,"")</f>
        <v>0.27704973315315939</v>
      </c>
    </row>
    <row r="75" spans="2:30" s="1" customFormat="1" x14ac:dyDescent="0.3">
      <c r="B75" s="247" t="s">
        <v>299</v>
      </c>
      <c r="C75" s="247"/>
      <c r="D75" s="247"/>
      <c r="E75" s="247"/>
      <c r="F75" s="581"/>
      <c r="G75" s="248">
        <f>+CF!B18</f>
        <v>5866.7</v>
      </c>
      <c r="H75" s="248">
        <f>+CF!C18</f>
        <v>9319.5</v>
      </c>
      <c r="I75" s="248">
        <f>+CF!D18</f>
        <v>5548.9</v>
      </c>
      <c r="J75" s="248">
        <f>+CF!E18</f>
        <v>14690.6</v>
      </c>
      <c r="K75" s="248">
        <f>+CF!F18</f>
        <v>22227.200000000001</v>
      </c>
      <c r="L75" s="248">
        <f>+CF!G18</f>
        <v>6549.7</v>
      </c>
      <c r="M75" s="248">
        <f>+CF!H18</f>
        <v>12314.6</v>
      </c>
      <c r="N75" s="248">
        <f>+CF!I18</f>
        <v>19797.599999999999</v>
      </c>
      <c r="O75" s="248">
        <f>+CF!J18</f>
        <v>14780.5</v>
      </c>
      <c r="P75" s="248">
        <f>+CF!K18</f>
        <v>4278.2</v>
      </c>
      <c r="Q75" s="248">
        <f>+CF!L18</f>
        <v>29795.9</v>
      </c>
      <c r="R75" s="249">
        <f>IFERROR((Q75/G75)^(1/COUNT($G$4:$Q$4))-1,"")</f>
        <v>0.15920498169456931</v>
      </c>
    </row>
    <row r="76" spans="2:30" x14ac:dyDescent="0.3">
      <c r="B76" t="s">
        <v>26</v>
      </c>
      <c r="G76" s="217">
        <f t="shared" ref="G76:Q76" si="42">+SUM(G77:G78)</f>
        <v>-4937.8</v>
      </c>
      <c r="H76" s="217">
        <f t="shared" si="42"/>
        <v>-7170.2999999999993</v>
      </c>
      <c r="I76" s="217">
        <f t="shared" si="42"/>
        <v>-6323</v>
      </c>
      <c r="J76" s="217">
        <f t="shared" si="42"/>
        <v>-9665.1</v>
      </c>
      <c r="K76" s="217">
        <f t="shared" si="42"/>
        <v>-16835</v>
      </c>
      <c r="L76" s="217">
        <f t="shared" si="42"/>
        <v>-14539.6</v>
      </c>
      <c r="M76" s="217">
        <f t="shared" si="42"/>
        <v>-10809.6</v>
      </c>
      <c r="N76" s="217">
        <f t="shared" si="42"/>
        <v>-13378.5</v>
      </c>
      <c r="O76" s="217">
        <f t="shared" si="42"/>
        <v>-19424.2</v>
      </c>
      <c r="P76" s="217">
        <f t="shared" si="42"/>
        <v>-7239.4999999999991</v>
      </c>
      <c r="Q76" s="217">
        <f t="shared" si="42"/>
        <v>-16595.8</v>
      </c>
      <c r="R76" s="53">
        <f>IFERROR((Q76/G76)^(1/COUNT($G$4:$Q$4))-1,"")</f>
        <v>0.11650436939551057</v>
      </c>
      <c r="U76">
        <f>H76/G76-1</f>
        <v>0.45212442788286267</v>
      </c>
      <c r="V76">
        <f t="shared" ref="V76:AC76" si="43">I76/H76-1</f>
        <v>-0.11816799854957249</v>
      </c>
      <c r="W76">
        <f t="shared" si="43"/>
        <v>0.52856239126996685</v>
      </c>
      <c r="X76">
        <f t="shared" si="43"/>
        <v>0.74183402137587806</v>
      </c>
      <c r="Y76">
        <f t="shared" si="43"/>
        <v>-0.13634689634689634</v>
      </c>
      <c r="Z76">
        <f t="shared" si="43"/>
        <v>-0.2565407576549561</v>
      </c>
      <c r="AA76">
        <f t="shared" si="43"/>
        <v>0.23764986678507993</v>
      </c>
      <c r="AB76">
        <f t="shared" si="43"/>
        <v>0.45189669992899062</v>
      </c>
      <c r="AC76">
        <f t="shared" si="43"/>
        <v>-0.62729481780459428</v>
      </c>
      <c r="AD76">
        <f>Q76/P76-1</f>
        <v>1.2923958836936253</v>
      </c>
    </row>
    <row r="77" spans="2:30" ht="14.5" x14ac:dyDescent="0.35">
      <c r="B77" s="244" t="s">
        <v>518</v>
      </c>
      <c r="G77" s="245">
        <f>+CF!B25</f>
        <v>-5137</v>
      </c>
      <c r="H77" s="245">
        <f>+CF!C25</f>
        <v>-7398.4</v>
      </c>
      <c r="I77" s="245">
        <f>+CF!D25</f>
        <v>-6486.7</v>
      </c>
      <c r="J77" s="245">
        <f>+CF!E25</f>
        <v>-9913.2000000000007</v>
      </c>
      <c r="K77" s="245">
        <f>+CF!F25</f>
        <v>-16969.3</v>
      </c>
      <c r="L77" s="245">
        <f>+CF!G25</f>
        <v>-14593.6</v>
      </c>
      <c r="M77" s="245">
        <f>+CF!H25</f>
        <v>-10869.4</v>
      </c>
      <c r="N77" s="245">
        <f>+CF!I25</f>
        <v>-13460.5</v>
      </c>
      <c r="O77" s="245">
        <f>+CF!J25</f>
        <v>-19748.900000000001</v>
      </c>
      <c r="P77" s="245">
        <f>+CF!K25</f>
        <v>-8779.7999999999993</v>
      </c>
      <c r="Q77" s="245">
        <f>+CF!L25</f>
        <v>-16662.599999999999</v>
      </c>
      <c r="R77" s="53">
        <f t="shared" ref="R77:R84" si="44">IFERROR((Q77/G77)^(1/COUNT($G$4:$Q$4))-1,"")</f>
        <v>0.11290364268269815</v>
      </c>
    </row>
    <row r="78" spans="2:30" ht="14.5" x14ac:dyDescent="0.35">
      <c r="B78" s="244" t="s">
        <v>519</v>
      </c>
      <c r="G78" s="245">
        <f>+CF!B22</f>
        <v>199.2</v>
      </c>
      <c r="H78" s="245">
        <f>+CF!C22</f>
        <v>228.1</v>
      </c>
      <c r="I78" s="245">
        <f>+CF!D22</f>
        <v>163.69999999999999</v>
      </c>
      <c r="J78" s="245">
        <f>+CF!E22</f>
        <v>248.1</v>
      </c>
      <c r="K78" s="245">
        <f>+CF!F22</f>
        <v>134.30000000000001</v>
      </c>
      <c r="L78" s="245">
        <f>+CF!G22</f>
        <v>54</v>
      </c>
      <c r="M78" s="245">
        <f>+CF!H22</f>
        <v>59.8</v>
      </c>
      <c r="N78" s="245">
        <f>+CF!I22</f>
        <v>82</v>
      </c>
      <c r="O78" s="245">
        <f>+CF!J22</f>
        <v>324.7</v>
      </c>
      <c r="P78" s="245">
        <f>+CF!K22</f>
        <v>1540.3</v>
      </c>
      <c r="Q78" s="245">
        <f>+CF!L22</f>
        <v>66.8</v>
      </c>
      <c r="R78" s="53">
        <f t="shared" si="44"/>
        <v>-9.4554184022534904E-2</v>
      </c>
      <c r="U78">
        <f>_xlfn.STDEV.P(U76:AD76)</f>
        <v>0.52900474684209242</v>
      </c>
    </row>
    <row r="79" spans="2:30" ht="14.5" x14ac:dyDescent="0.35">
      <c r="B79" s="76" t="s">
        <v>521</v>
      </c>
      <c r="G79" s="217">
        <f t="shared" ref="G79:Q79" si="45">+SUM(G80:G83)</f>
        <v>-9848.2999999999993</v>
      </c>
      <c r="H79" s="217">
        <f t="shared" si="45"/>
        <v>-14344.6</v>
      </c>
      <c r="I79" s="217">
        <f t="shared" si="45"/>
        <v>-12662.499999999998</v>
      </c>
      <c r="J79" s="217">
        <f t="shared" si="45"/>
        <v>-19353</v>
      </c>
      <c r="K79" s="217">
        <f t="shared" si="45"/>
        <v>-37675.600000000006</v>
      </c>
      <c r="L79" s="217">
        <f t="shared" si="45"/>
        <v>-29156.300000000007</v>
      </c>
      <c r="M79" s="217">
        <f>+SUM(M80:M83)</f>
        <v>-21712.3</v>
      </c>
      <c r="N79" s="217">
        <f t="shared" si="45"/>
        <v>-26841.3</v>
      </c>
      <c r="O79" s="217">
        <f t="shared" si="45"/>
        <v>-38696.399999999994</v>
      </c>
      <c r="P79" s="217">
        <f t="shared" si="45"/>
        <v>-14491.200000000003</v>
      </c>
      <c r="Q79" s="217">
        <f t="shared" si="45"/>
        <v>-33208.699999999997</v>
      </c>
      <c r="R79" s="53">
        <f t="shared" si="44"/>
        <v>0.11683767284209745</v>
      </c>
    </row>
    <row r="80" spans="2:30" ht="14.5" x14ac:dyDescent="0.35">
      <c r="B80" s="244" t="s">
        <v>619</v>
      </c>
      <c r="G80" s="245">
        <f>+CF!B25+CF!B26+CF!B27</f>
        <v>-10274</v>
      </c>
      <c r="H80" s="245">
        <f>+CF!C25+CF!C26+CF!C27</f>
        <v>-14796.7</v>
      </c>
      <c r="I80" s="245">
        <f>+CF!D25+CF!D26+CF!D27</f>
        <v>-12973.499999999998</v>
      </c>
      <c r="J80" s="245">
        <f>+CF!E25+CF!E26+CF!E27</f>
        <v>-19826.400000000001</v>
      </c>
      <c r="K80" s="245">
        <f>+CF!F25+CF!F26+CF!F27</f>
        <v>-33938.5</v>
      </c>
      <c r="L80" s="245">
        <f>+CF!G25+CF!G26+CF!G27</f>
        <v>-29187.200000000004</v>
      </c>
      <c r="M80" s="245">
        <f>+CF!H25+CF!H26+CF!H27</f>
        <v>-21738.799999999999</v>
      </c>
      <c r="N80" s="245">
        <f>+CF!I25+CF!I26+CF!I27</f>
        <v>-26921</v>
      </c>
      <c r="O80" s="245">
        <f>+CF!J25+CF!J26+CF!J27</f>
        <v>-39497.799999999996</v>
      </c>
      <c r="P80" s="245">
        <f>+CF!K25+CF!K26+CF!K27</f>
        <v>-17559.600000000002</v>
      </c>
      <c r="Q80" s="245">
        <f>+CF!L25+CF!L26+CF!L27</f>
        <v>-33325.199999999997</v>
      </c>
      <c r="R80" s="53">
        <f t="shared" si="44"/>
        <v>0.11290364268269815</v>
      </c>
    </row>
    <row r="81" spans="1:18" ht="14.5" x14ac:dyDescent="0.35">
      <c r="B81" s="244" t="s">
        <v>620</v>
      </c>
      <c r="G81" s="245">
        <f>+CF!B22+CF!B23+CF!B24</f>
        <v>398.5</v>
      </c>
      <c r="H81" s="245">
        <f>+CF!C22+CF!C23+CF!C24</f>
        <v>456.2</v>
      </c>
      <c r="I81" s="245">
        <f>+CF!D22+CF!D23+CF!D24</f>
        <v>327.39999999999998</v>
      </c>
      <c r="J81" s="245">
        <f>+CF!E22+CF!E23+CF!E24</f>
        <v>496.2</v>
      </c>
      <c r="K81" s="245">
        <f>+CF!F22+CF!F23+CF!F24</f>
        <v>268.60000000000002</v>
      </c>
      <c r="L81" s="245">
        <f>+CF!G22+CF!G23+CF!G24</f>
        <v>108</v>
      </c>
      <c r="M81" s="245">
        <f>+CF!H22+CF!H23+CF!H24</f>
        <v>119.60000000000001</v>
      </c>
      <c r="N81" s="245">
        <f>+CF!I22+CF!I23+CF!I24</f>
        <v>164</v>
      </c>
      <c r="O81" s="245">
        <f>+CF!J22+CF!J23+CF!J24</f>
        <v>649.4</v>
      </c>
      <c r="P81" s="245">
        <f>+CF!K22+CF!K23+CF!K24</f>
        <v>3080.6</v>
      </c>
      <c r="Q81" s="245">
        <f>+CF!L22+CF!L23+CF!L24</f>
        <v>133.6</v>
      </c>
      <c r="R81" s="53">
        <f t="shared" si="44"/>
        <v>-9.457484215214218E-2</v>
      </c>
    </row>
    <row r="82" spans="1:18" ht="14.5" x14ac:dyDescent="0.35">
      <c r="B82" s="244" t="s">
        <v>621</v>
      </c>
      <c r="G82" s="245">
        <f>+CF!B30</f>
        <v>-1.4</v>
      </c>
      <c r="H82" s="245">
        <f>+CF!C30</f>
        <v>-5.4</v>
      </c>
      <c r="I82" s="245">
        <f>+CF!D30</f>
        <v>-19.100000000000001</v>
      </c>
      <c r="J82" s="245">
        <f>+CF!E30</f>
        <v>-26.2</v>
      </c>
      <c r="K82" s="245">
        <f>+CF!F30</f>
        <v>-4012.8</v>
      </c>
      <c r="L82" s="245">
        <f>+CF!G30</f>
        <v>-81.400000000000006</v>
      </c>
      <c r="M82" s="245">
        <f>+CF!H30</f>
        <v>-93.8</v>
      </c>
      <c r="N82" s="245">
        <f>+CF!I30</f>
        <v>-130.30000000000001</v>
      </c>
      <c r="O82" s="245">
        <f>+CF!J30</f>
        <v>-115.5</v>
      </c>
      <c r="P82" s="245">
        <f>+CF!K30</f>
        <v>-30.5</v>
      </c>
      <c r="Q82" s="245">
        <f>+CF!L30</f>
        <v>-19.5</v>
      </c>
      <c r="R82" s="53">
        <f t="shared" si="44"/>
        <v>0.27054925793835061</v>
      </c>
    </row>
    <row r="83" spans="1:18" ht="14.5" x14ac:dyDescent="0.35">
      <c r="B83" s="244" t="s">
        <v>622</v>
      </c>
      <c r="G83" s="245">
        <f>+CF!B29</f>
        <v>28.6</v>
      </c>
      <c r="H83" s="245">
        <f>+CF!C29</f>
        <v>1.3</v>
      </c>
      <c r="I83" s="245">
        <f>+CF!D29</f>
        <v>2.7</v>
      </c>
      <c r="J83" s="245">
        <f>+CF!E29</f>
        <v>3.4</v>
      </c>
      <c r="K83" s="245">
        <f>+CF!F29</f>
        <v>7.1</v>
      </c>
      <c r="L83" s="245">
        <f>+CF!G29</f>
        <v>4.3</v>
      </c>
      <c r="M83" s="245">
        <f>+CF!H29</f>
        <v>0.7</v>
      </c>
      <c r="N83" s="245">
        <f>+CF!I29</f>
        <v>46</v>
      </c>
      <c r="O83" s="245">
        <f>+CF!J29</f>
        <v>267.5</v>
      </c>
      <c r="P83" s="245">
        <f>+CF!K29</f>
        <v>18.3</v>
      </c>
      <c r="Q83" s="245">
        <f>+CF!L29</f>
        <v>2.4</v>
      </c>
      <c r="R83" s="53">
        <f t="shared" si="44"/>
        <v>-0.20169702776664178</v>
      </c>
    </row>
    <row r="84" spans="1:18" x14ac:dyDescent="0.3">
      <c r="B84" t="s">
        <v>522</v>
      </c>
      <c r="G84" s="217">
        <f>+G85-G76-G79</f>
        <v>8698.2999999999993</v>
      </c>
      <c r="H84" s="217">
        <f t="shared" ref="H84:Q84" si="46">+H85-H76-H79</f>
        <v>14389.4</v>
      </c>
      <c r="I84" s="217">
        <f t="shared" si="46"/>
        <v>12754.999999999998</v>
      </c>
      <c r="J84" s="217">
        <f t="shared" si="46"/>
        <v>17098.900000000001</v>
      </c>
      <c r="K84" s="217">
        <f t="shared" si="46"/>
        <v>33081.900000000009</v>
      </c>
      <c r="L84" s="217">
        <f t="shared" si="46"/>
        <v>33245.000000000007</v>
      </c>
      <c r="M84" s="217">
        <f t="shared" si="46"/>
        <v>20681.5</v>
      </c>
      <c r="N84" s="217">
        <f t="shared" si="46"/>
        <v>17827.5</v>
      </c>
      <c r="O84" s="217">
        <f t="shared" si="46"/>
        <v>40236.899999999994</v>
      </c>
      <c r="P84" s="217">
        <f t="shared" si="46"/>
        <v>14396.000000000002</v>
      </c>
      <c r="Q84" s="217">
        <f t="shared" si="46"/>
        <v>31799.899999999998</v>
      </c>
      <c r="R84" s="53">
        <f t="shared" si="44"/>
        <v>0.12507385853515252</v>
      </c>
    </row>
    <row r="85" spans="1:18" s="1" customFormat="1" x14ac:dyDescent="0.3">
      <c r="B85" s="247" t="s">
        <v>300</v>
      </c>
      <c r="C85" s="247"/>
      <c r="D85" s="247"/>
      <c r="E85" s="247"/>
      <c r="F85" s="581"/>
      <c r="G85" s="248">
        <f>+CF!B37</f>
        <v>-6087.8</v>
      </c>
      <c r="H85" s="248">
        <f>+CF!C37</f>
        <v>-7125.5</v>
      </c>
      <c r="I85" s="248">
        <f>+CF!D37</f>
        <v>-6230.5</v>
      </c>
      <c r="J85" s="248">
        <f>+CF!E37</f>
        <v>-11919.2</v>
      </c>
      <c r="K85" s="248">
        <f>+CF!F37</f>
        <v>-21428.7</v>
      </c>
      <c r="L85" s="248">
        <f>+CF!G37</f>
        <v>-10450.9</v>
      </c>
      <c r="M85" s="248">
        <f>+CF!H37</f>
        <v>-11840.4</v>
      </c>
      <c r="N85" s="248">
        <f>+CF!I37</f>
        <v>-22392.3</v>
      </c>
      <c r="O85" s="248">
        <f>+CF!J37</f>
        <v>-17883.7</v>
      </c>
      <c r="P85" s="248">
        <f>+CF!K37</f>
        <v>-7334.7</v>
      </c>
      <c r="Q85" s="248">
        <f>+CF!L37</f>
        <v>-18004.599999999999</v>
      </c>
      <c r="R85" s="249">
        <f t="shared" ref="R85:R94" si="47">IFERROR((Q85/G85)^(1/COUNT($G$4:$Q$4))-1,"")</f>
        <v>0.10359872738172871</v>
      </c>
    </row>
    <row r="86" spans="1:18" x14ac:dyDescent="0.3">
      <c r="B86" t="s">
        <v>301</v>
      </c>
      <c r="G86" s="209">
        <f>+BS!B51+BS!B60</f>
        <v>3153.8999999999996</v>
      </c>
      <c r="H86" s="209">
        <f>+BS!C51+BS!C60</f>
        <v>2953.1</v>
      </c>
      <c r="I86" s="209">
        <f>+BS!D51+BS!D60</f>
        <v>3631.1</v>
      </c>
      <c r="J86" s="209">
        <f>+BS!E51+BS!E60</f>
        <v>3590.2</v>
      </c>
      <c r="K86" s="209">
        <f>+BS!F51+BS!F60</f>
        <v>4253.3999999999996</v>
      </c>
      <c r="L86" s="209">
        <f>+BS!G51+BS!G60</f>
        <v>8954.1</v>
      </c>
      <c r="M86" s="209">
        <f>+BS!H51+BS!H60</f>
        <v>8317</v>
      </c>
      <c r="N86" s="209">
        <f>+BS!I51+BS!I60</f>
        <v>14976.2</v>
      </c>
      <c r="O86" s="209">
        <f>+BS!J51+BS!J60</f>
        <v>19404.7</v>
      </c>
      <c r="P86" s="209">
        <f>+BS!K51+BS!K60</f>
        <v>23757</v>
      </c>
      <c r="Q86" s="209">
        <f>+BS!L51+BS!L60</f>
        <v>18715</v>
      </c>
      <c r="R86" s="53">
        <f t="shared" si="47"/>
        <v>0.17571974073322316</v>
      </c>
    </row>
    <row r="87" spans="1:18" x14ac:dyDescent="0.3">
      <c r="B87" t="s">
        <v>302</v>
      </c>
      <c r="G87" s="209">
        <f>+CF!B41</f>
        <v>28.4</v>
      </c>
      <c r="H87" s="209">
        <f>+CF!C41</f>
        <v>-472</v>
      </c>
      <c r="I87" s="209">
        <f>+CF!D41</f>
        <v>469.9</v>
      </c>
      <c r="J87" s="209">
        <f>+CF!E41</f>
        <v>71.7</v>
      </c>
      <c r="K87" s="209">
        <f>+CF!F41</f>
        <v>1047.2</v>
      </c>
      <c r="L87" s="209">
        <f>+CF!G41</f>
        <v>4858</v>
      </c>
      <c r="M87" s="209">
        <f>+CF!H41</f>
        <v>932</v>
      </c>
      <c r="N87" s="209">
        <f>+CF!I41</f>
        <v>5288.9</v>
      </c>
      <c r="O87" s="209">
        <f>+CF!J41</f>
        <v>4491</v>
      </c>
      <c r="P87" s="209">
        <f>+CF!K41</f>
        <v>6507.1</v>
      </c>
      <c r="Q87" s="209">
        <f>+CF!L41</f>
        <v>-7977.5</v>
      </c>
      <c r="R87" s="53">
        <f t="shared" si="47"/>
        <v>-2.6695341839039788</v>
      </c>
    </row>
    <row r="88" spans="1:18" x14ac:dyDescent="0.3">
      <c r="B88" t="s">
        <v>527</v>
      </c>
      <c r="G88" s="209"/>
      <c r="H88" s="209"/>
      <c r="I88" s="209"/>
      <c r="J88" s="209"/>
      <c r="K88" s="209"/>
      <c r="L88" s="209"/>
      <c r="M88" s="209">
        <f>+BS!G52+BS!H61</f>
        <v>1589.5</v>
      </c>
      <c r="N88" s="209">
        <f>+BS!H52+BS!I61</f>
        <v>1571.2</v>
      </c>
      <c r="O88" s="209">
        <f>+BS!I52+BS!J61</f>
        <v>1818.3000000000002</v>
      </c>
      <c r="P88" s="209">
        <f>+BS!J52+BS!K61</f>
        <v>2679.3</v>
      </c>
      <c r="Q88" s="209">
        <f>+BS!K52+BS!L61</f>
        <v>2811.5</v>
      </c>
      <c r="R88" s="53" t="str">
        <f t="shared" si="47"/>
        <v/>
      </c>
    </row>
    <row r="89" spans="1:18" x14ac:dyDescent="0.3">
      <c r="B89" t="s">
        <v>523</v>
      </c>
      <c r="G89" s="209">
        <f>+CF!B40</f>
        <v>0</v>
      </c>
      <c r="H89" s="209">
        <f>+CF!C40</f>
        <v>-218.4</v>
      </c>
      <c r="I89" s="209">
        <f>+CF!D40</f>
        <v>-353</v>
      </c>
      <c r="J89" s="209">
        <f>+CF!E40</f>
        <v>-423.6</v>
      </c>
      <c r="K89" s="209">
        <f>+CF!F40</f>
        <v>-706</v>
      </c>
      <c r="L89" s="209">
        <f>+CF!G40</f>
        <v>-1026</v>
      </c>
      <c r="M89" s="209">
        <f>+CF!H40</f>
        <v>-684</v>
      </c>
      <c r="N89" s="209">
        <f>+CF!I40</f>
        <v>-805</v>
      </c>
      <c r="O89" s="209">
        <f>+CF!J40</f>
        <v>-1680.9</v>
      </c>
      <c r="P89" s="209">
        <f>+CF!K40</f>
        <v>-825.6</v>
      </c>
      <c r="Q89" s="209">
        <f>+CF!L40</f>
        <v>-826.3</v>
      </c>
      <c r="R89" s="53" t="str">
        <f t="shared" si="47"/>
        <v/>
      </c>
    </row>
    <row r="90" spans="1:18" x14ac:dyDescent="0.3">
      <c r="B90" t="s">
        <v>525</v>
      </c>
      <c r="G90" s="209">
        <f>+CF!B45</f>
        <v>0</v>
      </c>
      <c r="H90" s="209">
        <f>+CF!C45</f>
        <v>-771.9</v>
      </c>
      <c r="I90" s="209">
        <f>+CF!D45</f>
        <v>0</v>
      </c>
      <c r="J90" s="209">
        <f>+CF!E45</f>
        <v>0</v>
      </c>
      <c r="K90" s="209">
        <f>+CF!F45</f>
        <v>-1736.5</v>
      </c>
      <c r="L90" s="209">
        <f>+CF!G45</f>
        <v>0</v>
      </c>
      <c r="M90" s="209">
        <f>+CF!H45</f>
        <v>0</v>
      </c>
      <c r="N90" s="209">
        <f>+CF!I45</f>
        <v>8.5</v>
      </c>
      <c r="O90" s="209">
        <f>+CF!J45</f>
        <v>11.7</v>
      </c>
      <c r="P90" s="209">
        <f>+CF!K45</f>
        <v>24.6</v>
      </c>
      <c r="Q90" s="209">
        <f>+CF!L45</f>
        <v>93.8</v>
      </c>
      <c r="R90" s="53" t="str">
        <f t="shared" si="47"/>
        <v/>
      </c>
    </row>
    <row r="91" spans="1:18" x14ac:dyDescent="0.3">
      <c r="B91" t="s">
        <v>530</v>
      </c>
      <c r="G91" s="217">
        <f>+G92-G86-G87-G88-G89-G90</f>
        <v>-3153.9999999999995</v>
      </c>
      <c r="H91" s="217">
        <f t="shared" ref="H91:Q91" si="48">+H92-H86-H87-H88-H89-H90</f>
        <v>-2953.0999999999995</v>
      </c>
      <c r="I91" s="217">
        <f t="shared" si="48"/>
        <v>-3631.1</v>
      </c>
      <c r="J91" s="217">
        <f t="shared" si="48"/>
        <v>-3590.2</v>
      </c>
      <c r="K91" s="217">
        <f t="shared" si="48"/>
        <v>-4253.3999999999996</v>
      </c>
      <c r="L91" s="217">
        <f t="shared" si="48"/>
        <v>-8949.4000000000015</v>
      </c>
      <c r="M91" s="217">
        <f t="shared" si="48"/>
        <v>-9902.4</v>
      </c>
      <c r="N91" s="217">
        <f t="shared" si="48"/>
        <v>-16547.5</v>
      </c>
      <c r="O91" s="217">
        <f t="shared" si="48"/>
        <v>-21223</v>
      </c>
      <c r="P91" s="217">
        <f t="shared" si="48"/>
        <v>-26445.600000000002</v>
      </c>
      <c r="Q91" s="217">
        <f t="shared" si="48"/>
        <v>-21520.400000000001</v>
      </c>
      <c r="R91" s="53">
        <f t="shared" si="47"/>
        <v>0.19074056780929105</v>
      </c>
    </row>
    <row r="92" spans="1:18" s="1" customFormat="1" x14ac:dyDescent="0.3">
      <c r="B92" s="247" t="s">
        <v>303</v>
      </c>
      <c r="C92" s="247"/>
      <c r="D92" s="247"/>
      <c r="E92" s="247"/>
      <c r="F92" s="581"/>
      <c r="G92" s="248">
        <f>+CF!B50</f>
        <v>28.3</v>
      </c>
      <c r="H92" s="248">
        <f>+CF!C50</f>
        <v>-1462.3</v>
      </c>
      <c r="I92" s="248">
        <f>+CF!D50</f>
        <v>116.9</v>
      </c>
      <c r="J92" s="248">
        <f>+CF!E50</f>
        <v>-351.9</v>
      </c>
      <c r="K92" s="248">
        <f>+CF!F50</f>
        <v>-1395.3</v>
      </c>
      <c r="L92" s="248">
        <f>+CF!G50</f>
        <v>3836.7</v>
      </c>
      <c r="M92" s="248">
        <f>+CF!H50</f>
        <v>252.1</v>
      </c>
      <c r="N92" s="248">
        <f>+CF!I50</f>
        <v>4492.3</v>
      </c>
      <c r="O92" s="248">
        <f>+CF!J50</f>
        <v>2821.8</v>
      </c>
      <c r="P92" s="248">
        <f>+CF!K50</f>
        <v>5696.8</v>
      </c>
      <c r="Q92" s="248">
        <f>+CF!L50</f>
        <v>-8703.9</v>
      </c>
      <c r="R92" s="249">
        <f t="shared" si="47"/>
        <v>-2.6833531010774601</v>
      </c>
    </row>
    <row r="93" spans="1:18" s="1" customFormat="1" ht="14.5" thickBot="1" x14ac:dyDescent="0.35">
      <c r="B93" s="252" t="s">
        <v>623</v>
      </c>
      <c r="C93" s="250"/>
      <c r="D93" s="250"/>
      <c r="E93" s="250"/>
      <c r="F93" s="583"/>
      <c r="G93" s="253">
        <f>+CF!B52</f>
        <v>-2.2999999999999998</v>
      </c>
      <c r="H93" s="253">
        <f>+CF!C52</f>
        <v>7.2</v>
      </c>
      <c r="I93" s="253">
        <f>+CF!D52</f>
        <v>2.7</v>
      </c>
      <c r="J93" s="253">
        <f>+CF!E52</f>
        <v>-83.3</v>
      </c>
      <c r="K93" s="253">
        <f>+CF!F52</f>
        <v>-3.8</v>
      </c>
      <c r="L93" s="253">
        <f>+CF!G52</f>
        <v>21.3</v>
      </c>
      <c r="M93" s="253">
        <f>+CF!H52</f>
        <v>-56.3</v>
      </c>
      <c r="N93" s="253">
        <f>+CF!I52</f>
        <v>184.3</v>
      </c>
      <c r="O93" s="253">
        <f>+CF!J52</f>
        <v>200.5</v>
      </c>
      <c r="P93" s="253">
        <f>+CF!K52</f>
        <v>-30</v>
      </c>
      <c r="Q93" s="253">
        <f>+CF!L52</f>
        <v>530.5</v>
      </c>
      <c r="R93" s="251">
        <f t="shared" si="47"/>
        <v>-2.6398885098690643</v>
      </c>
    </row>
    <row r="94" spans="1:18" s="1" customFormat="1" x14ac:dyDescent="0.3">
      <c r="B94" s="1" t="s">
        <v>304</v>
      </c>
      <c r="F94"/>
      <c r="G94" s="218">
        <f>+CF!B54</f>
        <v>-195.1</v>
      </c>
      <c r="H94" s="218">
        <f>+CF!C54</f>
        <v>739</v>
      </c>
      <c r="I94" s="218">
        <f>+CF!D54</f>
        <v>-561.9</v>
      </c>
      <c r="J94" s="218">
        <f>+CF!E54</f>
        <v>2336.1999999999998</v>
      </c>
      <c r="K94" s="218">
        <f>+CF!F54</f>
        <v>-600.70000000000005</v>
      </c>
      <c r="L94" s="218">
        <f>+CF!G54</f>
        <v>-43.2</v>
      </c>
      <c r="M94" s="218">
        <f>+CF!H54</f>
        <v>669.9</v>
      </c>
      <c r="N94" s="218">
        <f>+CF!I54</f>
        <v>2082</v>
      </c>
      <c r="O94" s="218">
        <f>+CF!J54</f>
        <v>-81</v>
      </c>
      <c r="P94" s="218">
        <f>+CF!K54</f>
        <v>2610.3000000000002</v>
      </c>
      <c r="Q94" s="218">
        <f>+CF!L54</f>
        <v>3617.8</v>
      </c>
      <c r="R94" s="55">
        <f t="shared" si="47"/>
        <v>-2.3040365171451729</v>
      </c>
    </row>
    <row r="95" spans="1:18" ht="14.5" x14ac:dyDescent="0.35">
      <c r="B95" s="76" t="s">
        <v>624</v>
      </c>
      <c r="H95" s="224"/>
    </row>
    <row r="96" spans="1:18" ht="15.5" x14ac:dyDescent="0.35">
      <c r="A96" t="s">
        <v>440</v>
      </c>
      <c r="B96" s="206" t="s">
        <v>625</v>
      </c>
      <c r="C96" s="47"/>
      <c r="D96" s="47"/>
      <c r="E96" s="47"/>
      <c r="F96" s="47"/>
      <c r="G96" s="451">
        <v>42004</v>
      </c>
      <c r="H96" s="451">
        <v>42369</v>
      </c>
      <c r="I96" s="451">
        <v>42735</v>
      </c>
      <c r="J96" s="451">
        <v>43099</v>
      </c>
      <c r="K96" s="451">
        <v>43464</v>
      </c>
      <c r="L96" s="451">
        <v>43829</v>
      </c>
      <c r="M96" s="451">
        <v>44196</v>
      </c>
      <c r="N96" s="451">
        <v>44561</v>
      </c>
      <c r="O96" s="451">
        <v>44926</v>
      </c>
      <c r="P96" s="451">
        <v>45290</v>
      </c>
      <c r="Q96" s="451">
        <v>45656</v>
      </c>
      <c r="R96" s="20"/>
    </row>
    <row r="97" spans="1:18" ht="4.1500000000000004" customHeight="1" x14ac:dyDescent="0.35">
      <c r="B97" s="212"/>
      <c r="C97" s="212"/>
      <c r="D97" s="212"/>
      <c r="E97" s="212"/>
      <c r="F97" s="212"/>
      <c r="G97" s="213"/>
      <c r="H97" s="213"/>
      <c r="I97" s="213"/>
      <c r="J97" s="213"/>
      <c r="K97" s="213"/>
      <c r="L97" s="213"/>
      <c r="M97" s="213"/>
      <c r="N97" s="213"/>
      <c r="O97" s="213"/>
      <c r="P97" s="213"/>
      <c r="Q97" s="213"/>
      <c r="R97" s="20"/>
    </row>
    <row r="98" spans="1:18" x14ac:dyDescent="0.3">
      <c r="B98" t="s">
        <v>626</v>
      </c>
      <c r="G98" s="243" cm="1">
        <f t="array" aca="1" ref="G98" ca="1">(IFERROR(_xlfn.STOCKHISTORY(Peers!$C$6, G96, G96, 0, 0, 1), IFERROR(_xlfn.STOCKHISTORY(Peers!$C$6, G96+1, G96+1, 0, 0, 1), _xlfn.STOCKHISTORY(Peers!$C$6, G96-2, G96-2, 0, 0, 1))))*_xlfn.XLOOKUP("Basic Weighted Average Shares",$B:$B,G:G)/1000</f>
        <v>34294.050000000003</v>
      </c>
      <c r="H98" s="243" cm="1">
        <f t="array" aca="1" ref="H98" ca="1">(IFERROR(_xlfn.STOCKHISTORY(Peers!$C$6, H96, H96, 0, 0, 1), IFERROR(_xlfn.STOCKHISTORY(Peers!$C$6, H96+1, H96+1, 0, 0, 1), _xlfn.STOCKHISTORY(Peers!$C$6, H96-2, H96-2, 0, 0, 1))))*_xlfn.XLOOKUP("Basic Weighted Average Shares",$B:$B,H:H)/1000</f>
        <v>22467.119999999999</v>
      </c>
      <c r="I98" s="243" cm="1">
        <f t="array" aca="1" ref="I98" ca="1">(IFERROR(_xlfn.STOCKHISTORY(Peers!$C$6, I96, I96, 0, 0, 1), IFERROR(_xlfn.STOCKHISTORY(Peers!$C$6, I96+1, I96+1, 0, 0, 1), _xlfn.STOCKHISTORY(Peers!$C$6, I96-2, I96-2, 0, 0, 1))))*_xlfn.XLOOKUP("Basic Weighted Average Shares",$B:$B,I:I)/1000</f>
        <v>31558.2</v>
      </c>
      <c r="J98" s="243" cm="1">
        <f t="array" aca="1" ref="J98" ca="1">(IFERROR(_xlfn.STOCKHISTORY(Peers!$C$6, J96, J96, 0, 0, 1), IFERROR(_xlfn.STOCKHISTORY(Peers!$C$6, J96+1, J96+1, 0, 0, 1), _xlfn.STOCKHISTORY(Peers!$C$6, J96-2, J96-2, 0, 0, 1))))*_xlfn.XLOOKUP("Basic Weighted Average Shares",$B:$B,J:J)/1000</f>
        <v>54009</v>
      </c>
      <c r="K98" s="243" cm="1">
        <f t="array" aca="1" ref="K98" ca="1">(IFERROR(_xlfn.STOCKHISTORY(Peers!$C$6, K96, K96, 0, 0, 1), IFERROR(_xlfn.STOCKHISTORY(Peers!$C$6, K96+1, K96+1, 0, 0, 1), _xlfn.STOCKHISTORY(Peers!$C$6, K96-2, K96-2, 0, 0, 1))))*_xlfn.XLOOKUP("Basic Weighted Average Shares",$B:$B,K:K)/1000</f>
        <v>42247.15</v>
      </c>
      <c r="L98" s="243" cm="1">
        <f t="array" aca="1" ref="L98" ca="1">(IFERROR(_xlfn.STOCKHISTORY(Peers!$C$6, L96, L96, 0, 0, 1), IFERROR(_xlfn.STOCKHISTORY(Peers!$C$6, L96+1, L96+1, 0, 0, 1), _xlfn.STOCKHISTORY(Peers!$C$6, L96-2, L96-2, 0, 0, 1))))*_xlfn.XLOOKUP("Basic Weighted Average Shares",$B:$B,L:L)/1000</f>
        <v>64364.4</v>
      </c>
      <c r="M98" s="243" cm="1">
        <f t="array" aca="1" ref="M98" ca="1">(IFERROR(_xlfn.STOCKHISTORY(Peers!$C$6, M96, M96, 0, 0, 1), IFERROR(_xlfn.STOCKHISTORY(Peers!$C$6, M96+1, M96+1, 0, 0, 1), _xlfn.STOCKHISTORY(Peers!$C$6, M96-2, M96-2, 0, 0, 1))))*_xlfn.XLOOKUP("Basic Weighted Average Shares",$B:$B,M:M)/1000</f>
        <v>79344</v>
      </c>
      <c r="N98" s="243" cm="1">
        <f t="array" aca="1" ref="N98" ca="1">(IFERROR(_xlfn.STOCKHISTORY(Peers!$C$6, N96, N96, 0, 0, 1), IFERROR(_xlfn.STOCKHISTORY(Peers!$C$6, N96+1, N96+1, 0, 0, 1), _xlfn.STOCKHISTORY(Peers!$C$6, N96-2, N96-2, 0, 0, 1))))*_xlfn.XLOOKUP("Basic Weighted Average Shares",$B:$B,N:N)/1000</f>
        <v>87172.800000000003</v>
      </c>
      <c r="O98" s="243" cm="1">
        <f t="array" aca="1" ref="O98" ca="1">(IFERROR(_xlfn.STOCKHISTORY(Peers!$C$6, O96, O96, 0, 0, 1), IFERROR(_xlfn.STOCKHISTORY(Peers!$C$6, O96+1, O96+1, 0, 0, 1), _xlfn.STOCKHISTORY(Peers!$C$6, O96-2, O96-2, 0, 0, 1))))*_xlfn.XLOOKUP("Basic Weighted Average Shares",$B:$B,O:O)/1000</f>
        <v>51570</v>
      </c>
      <c r="P98" s="243" cm="1">
        <f t="array" aca="1" ref="P98" ca="1">(IFERROR(_xlfn.STOCKHISTORY(Peers!$C$6, P96, P96, 0, 0, 1), IFERROR(_xlfn.STOCKHISTORY(Peers!$C$6, P96+1, P96+1, 0, 0, 1), _xlfn.STOCKHISTORY(Peers!$C$6, P96-2, P96-2, 0, 0, 1))))*_xlfn.XLOOKUP("Basic Weighted Average Shares",$B:$B,P:P)/1000</f>
        <v>97366.15</v>
      </c>
      <c r="Q98" s="243" cm="1">
        <f t="array" aca="1" ref="Q98" ca="1">(IFERROR(_xlfn.STOCKHISTORY(Peers!$C$6, Q96, Q96, 0, 0, 1), IFERROR(_xlfn.STOCKHISTORY(Peers!$C$6, Q96+1, Q96+1, 0, 0, 1), _xlfn.STOCKHISTORY(Peers!$C$6, Q96-2, Q96-2, 0, 0, 1))))*_xlfn.XLOOKUP("Basic Weighted Average Shares",$B:$B,Q:Q)/1000</f>
        <v>119764.93000000002</v>
      </c>
    </row>
    <row r="99" spans="1:18" x14ac:dyDescent="0.3">
      <c r="B99" t="s">
        <v>285</v>
      </c>
      <c r="G99" s="224">
        <f>_xlfn.XLOOKUP("Cash &amp; Cash Equivalents &amp; ST Investments",$B$30:$B$62,G$30:G$62)</f>
        <v>3977.2000000000003</v>
      </c>
      <c r="H99" s="224">
        <f t="shared" ref="H99:Q99" si="49">_xlfn.XLOOKUP("Cash &amp; Cash Equivalents &amp; ST Investments",$B$30:$B$62,H$30:H$62)</f>
        <v>4682.8999999999996</v>
      </c>
      <c r="I99" s="224">
        <f t="shared" si="49"/>
        <v>4052</v>
      </c>
      <c r="J99" s="224">
        <f t="shared" si="49"/>
        <v>8320.2000000000007</v>
      </c>
      <c r="K99" s="224">
        <f t="shared" si="49"/>
        <v>8135.8</v>
      </c>
      <c r="L99" s="224">
        <f t="shared" si="49"/>
        <v>3760.8999999999996</v>
      </c>
      <c r="M99" s="224">
        <f t="shared" si="49"/>
        <v>4627.8999999999996</v>
      </c>
      <c r="N99" s="224">
        <f t="shared" si="49"/>
        <v>8351.6</v>
      </c>
      <c r="O99" s="224">
        <f t="shared" si="49"/>
        <v>6079.4</v>
      </c>
      <c r="P99" s="224">
        <f t="shared" si="49"/>
        <v>8691.1</v>
      </c>
      <c r="Q99" s="224">
        <f t="shared" si="49"/>
        <v>13928</v>
      </c>
    </row>
    <row r="100" spans="1:18" x14ac:dyDescent="0.3">
      <c r="B100" t="s">
        <v>296</v>
      </c>
      <c r="G100" s="224">
        <f>(_xlfn.XLOOKUP("Short-Term Debt",$B$30:$B$62,G$30:G$62)+_xlfn.XLOOKUP("Long-Term Debt",$B$30:$B$62,G$30:G$62))</f>
        <v>3153.8999999999996</v>
      </c>
      <c r="H100" s="224">
        <f t="shared" ref="H100:Q100" si="50">(_xlfn.XLOOKUP("Short-Term Debt",$B$30:$B$62,H$30:H$62)+_xlfn.XLOOKUP("Long-Term Debt",$B$30:$B$62,H$30:H$62))</f>
        <v>2953.1</v>
      </c>
      <c r="I100" s="224">
        <f t="shared" si="50"/>
        <v>3631.1</v>
      </c>
      <c r="J100" s="224">
        <f t="shared" si="50"/>
        <v>3590.2</v>
      </c>
      <c r="K100" s="224">
        <f t="shared" si="50"/>
        <v>4253.3999999999996</v>
      </c>
      <c r="L100" s="224">
        <f t="shared" si="50"/>
        <v>10621.1</v>
      </c>
      <c r="M100" s="224">
        <f t="shared" si="50"/>
        <v>9960.7999999999993</v>
      </c>
      <c r="N100" s="224">
        <f t="shared" si="50"/>
        <v>16502</v>
      </c>
      <c r="O100" s="224">
        <f t="shared" si="50"/>
        <v>21201.8</v>
      </c>
      <c r="P100" s="224">
        <f t="shared" si="50"/>
        <v>26786.9</v>
      </c>
      <c r="Q100" s="224">
        <f t="shared" si="50"/>
        <v>21483.4</v>
      </c>
    </row>
    <row r="101" spans="1:18" x14ac:dyDescent="0.3">
      <c r="B101" t="s">
        <v>627</v>
      </c>
      <c r="G101" s="272"/>
      <c r="H101" s="272"/>
      <c r="I101" s="272"/>
      <c r="J101" s="272"/>
      <c r="K101" s="272"/>
      <c r="L101" s="272"/>
      <c r="M101" s="272"/>
      <c r="N101" s="272"/>
      <c r="O101" s="272"/>
      <c r="P101" s="272"/>
      <c r="Q101" s="272"/>
    </row>
    <row r="102" spans="1:18" x14ac:dyDescent="0.3">
      <c r="B102" t="s">
        <v>613</v>
      </c>
      <c r="G102" s="224">
        <f>_xlfn.XLOOKUP("Non-Controlling Interest",$B$30:$B$62,G$30:G$62)</f>
        <v>-0.2</v>
      </c>
      <c r="H102" s="224">
        <f t="shared" ref="H102:Q102" si="51">_xlfn.XLOOKUP("Non-Controlling Interest",$B$30:$B$62,H$30:H$62)</f>
        <v>0.8</v>
      </c>
      <c r="I102" s="224">
        <f t="shared" si="51"/>
        <v>6.6</v>
      </c>
      <c r="J102" s="224">
        <f t="shared" si="51"/>
        <v>5.6</v>
      </c>
      <c r="K102" s="224">
        <f t="shared" si="51"/>
        <v>6.6</v>
      </c>
      <c r="L102" s="224">
        <f t="shared" si="51"/>
        <v>14.8</v>
      </c>
      <c r="M102" s="224">
        <f t="shared" si="51"/>
        <v>20.6</v>
      </c>
      <c r="N102" s="224">
        <f t="shared" si="51"/>
        <v>34</v>
      </c>
      <c r="O102" s="224">
        <f t="shared" si="51"/>
        <v>24.2</v>
      </c>
      <c r="P102" s="224">
        <f t="shared" si="51"/>
        <v>-0.5</v>
      </c>
      <c r="Q102" s="224">
        <f t="shared" si="51"/>
        <v>12.3</v>
      </c>
    </row>
    <row r="103" spans="1:18" x14ac:dyDescent="0.3">
      <c r="B103" t="s">
        <v>542</v>
      </c>
      <c r="G103" s="226">
        <f t="shared" ref="G103:M103" ca="1" si="52">+G98-G99+G100+G101+G102</f>
        <v>33470.550000000003</v>
      </c>
      <c r="H103" s="226">
        <f t="shared" ca="1" si="52"/>
        <v>20738.12</v>
      </c>
      <c r="I103" s="226">
        <f t="shared" ca="1" si="52"/>
        <v>31143.899999999998</v>
      </c>
      <c r="J103" s="226">
        <f t="shared" ca="1" si="52"/>
        <v>49284.6</v>
      </c>
      <c r="K103" s="226">
        <f t="shared" ca="1" si="52"/>
        <v>38371.35</v>
      </c>
      <c r="L103" s="226">
        <f t="shared" ca="1" si="52"/>
        <v>71239.400000000009</v>
      </c>
      <c r="M103" s="226">
        <f t="shared" ca="1" si="52"/>
        <v>84697.500000000015</v>
      </c>
      <c r="N103" s="226">
        <f ca="1">+N98-N99+N100+N101+N102</f>
        <v>95357.2</v>
      </c>
      <c r="O103" s="226">
        <f t="shared" ref="O103:Q103" ca="1" si="53">+O98-O99+O100+O101+O102</f>
        <v>66716.599999999991</v>
      </c>
      <c r="P103" s="226">
        <f t="shared" ca="1" si="53"/>
        <v>115461.44999999998</v>
      </c>
      <c r="Q103" s="226">
        <f t="shared" ca="1" si="53"/>
        <v>127332.63000000002</v>
      </c>
    </row>
    <row r="104" spans="1:18" ht="5.25" customHeight="1" x14ac:dyDescent="0.3"/>
    <row r="105" spans="1:18" ht="15.5" x14ac:dyDescent="0.35">
      <c r="A105" t="s">
        <v>440</v>
      </c>
      <c r="B105" s="43" t="s">
        <v>96</v>
      </c>
      <c r="C105" s="47"/>
      <c r="D105" s="47"/>
      <c r="E105" s="47"/>
      <c r="F105" s="47"/>
      <c r="G105" s="227" t="s">
        <v>628</v>
      </c>
      <c r="H105" s="207">
        <v>2025</v>
      </c>
      <c r="I105" s="207">
        <f>+H105+1</f>
        <v>2026</v>
      </c>
      <c r="J105" s="207">
        <f t="shared" ref="J105:Q105" si="54">+I105+1</f>
        <v>2027</v>
      </c>
      <c r="K105" s="207">
        <f t="shared" si="54"/>
        <v>2028</v>
      </c>
      <c r="L105" s="207">
        <f t="shared" si="54"/>
        <v>2029</v>
      </c>
      <c r="M105" s="207">
        <f t="shared" si="54"/>
        <v>2030</v>
      </c>
      <c r="N105" s="207">
        <f t="shared" si="54"/>
        <v>2031</v>
      </c>
      <c r="O105" s="207">
        <f t="shared" si="54"/>
        <v>2032</v>
      </c>
      <c r="P105" s="207">
        <f t="shared" si="54"/>
        <v>2033</v>
      </c>
      <c r="Q105" s="688">
        <f t="shared" si="54"/>
        <v>2034</v>
      </c>
    </row>
    <row r="106" spans="1:18" ht="4.1500000000000004" customHeight="1" x14ac:dyDescent="0.35">
      <c r="B106" s="212"/>
      <c r="C106" s="212"/>
      <c r="D106" s="212"/>
      <c r="E106" s="212"/>
      <c r="F106" s="212"/>
      <c r="G106" s="213"/>
      <c r="H106" s="213"/>
      <c r="I106" s="213"/>
      <c r="J106" s="213"/>
      <c r="K106" s="213"/>
      <c r="L106" s="213"/>
      <c r="M106" s="213"/>
      <c r="N106" s="213"/>
      <c r="O106" s="213"/>
      <c r="P106" s="213"/>
      <c r="Q106" s="213"/>
    </row>
    <row r="107" spans="1:18" x14ac:dyDescent="0.3">
      <c r="B107" t="s">
        <v>628</v>
      </c>
      <c r="G107" s="687"/>
      <c r="H107" s="225"/>
      <c r="I107" s="225"/>
      <c r="J107" s="225"/>
      <c r="K107" s="225"/>
      <c r="L107" s="225"/>
      <c r="M107" s="225"/>
      <c r="N107" s="225"/>
      <c r="O107" s="225"/>
      <c r="P107" s="225"/>
      <c r="Q107" s="225"/>
    </row>
    <row r="108" spans="1:18" x14ac:dyDescent="0.3">
      <c r="B108" t="s">
        <v>629</v>
      </c>
      <c r="G108"/>
      <c r="H108" s="747" cm="1">
        <f t="array" ref="H108:P108">+TRANSPOSE(DDIS!B4:B12)/1000000000</f>
        <v>530.27</v>
      </c>
      <c r="I108" s="747">
        <v>3478.24</v>
      </c>
      <c r="J108" s="747">
        <v>1213.78</v>
      </c>
      <c r="K108" s="747">
        <v>2767.57</v>
      </c>
      <c r="L108" s="747">
        <v>2017.57</v>
      </c>
      <c r="M108" s="747">
        <v>3014.86</v>
      </c>
      <c r="N108" s="747">
        <v>1757.57</v>
      </c>
      <c r="O108" s="747">
        <v>70</v>
      </c>
      <c r="P108" s="747">
        <v>1180.68</v>
      </c>
      <c r="Q108" s="747">
        <f>+DDIS!B14/1000000000</f>
        <v>100</v>
      </c>
    </row>
    <row r="109" spans="1:18" x14ac:dyDescent="0.3">
      <c r="B109" t="s">
        <v>630</v>
      </c>
      <c r="G109"/>
      <c r="H109" s="747" cm="1">
        <f t="array" ref="H109:Q109">TRANSPOSE(DDIS!B19:B28)/1000000000</f>
        <v>2935.13</v>
      </c>
      <c r="I109" s="748">
        <v>293.51299999999998</v>
      </c>
      <c r="J109" s="748">
        <v>1467.57</v>
      </c>
      <c r="K109" s="748">
        <v>0</v>
      </c>
      <c r="L109" s="748">
        <v>0</v>
      </c>
      <c r="M109" s="748">
        <v>0</v>
      </c>
      <c r="N109" s="748">
        <v>0</v>
      </c>
      <c r="O109" s="748">
        <v>1467.57</v>
      </c>
      <c r="P109" s="748">
        <v>0</v>
      </c>
      <c r="Q109" s="748">
        <v>1467.57</v>
      </c>
    </row>
    <row r="110" spans="1:18" ht="3.75" customHeight="1" x14ac:dyDescent="0.3"/>
    <row r="111" spans="1:18" ht="15.5" x14ac:dyDescent="0.35">
      <c r="A111" t="s">
        <v>440</v>
      </c>
      <c r="B111" s="43" t="s">
        <v>631</v>
      </c>
      <c r="C111" s="47"/>
      <c r="D111" s="47"/>
      <c r="E111" s="47"/>
      <c r="F111" s="47"/>
      <c r="G111" s="207">
        <v>2014</v>
      </c>
      <c r="H111" s="207">
        <f>+G111+1</f>
        <v>2015</v>
      </c>
      <c r="I111" s="207">
        <f t="shared" ref="I111" si="55">+H111+1</f>
        <v>2016</v>
      </c>
      <c r="J111" s="207">
        <f t="shared" ref="J111" si="56">+I111+1</f>
        <v>2017</v>
      </c>
      <c r="K111" s="207">
        <f t="shared" ref="K111" si="57">+J111+1</f>
        <v>2018</v>
      </c>
      <c r="L111" s="207">
        <f t="shared" ref="L111" si="58">+K111+1</f>
        <v>2019</v>
      </c>
      <c r="M111" s="207">
        <f t="shared" ref="M111" si="59">+L111+1</f>
        <v>2020</v>
      </c>
      <c r="N111" s="207">
        <f>+M111+1</f>
        <v>2021</v>
      </c>
      <c r="O111" s="207">
        <f>+N111+1</f>
        <v>2022</v>
      </c>
      <c r="P111" s="207">
        <f t="shared" ref="P111" si="60">+O111+1</f>
        <v>2023</v>
      </c>
      <c r="Q111" s="207">
        <f>+P111+1</f>
        <v>2024</v>
      </c>
      <c r="R111" s="49" t="str">
        <f>"CAGR "&amp;$G$4&amp;" - "&amp;$Q$4</f>
        <v>CAGR 2014 - 2024</v>
      </c>
    </row>
    <row r="112" spans="1:18" ht="5.25" customHeight="1" x14ac:dyDescent="0.35">
      <c r="B112" s="212"/>
      <c r="C112" s="212"/>
      <c r="D112" s="212"/>
      <c r="E112" s="212"/>
      <c r="F112" s="212"/>
      <c r="G112" s="213"/>
      <c r="H112" s="213"/>
      <c r="I112" s="213"/>
      <c r="J112" s="213"/>
      <c r="K112" s="213"/>
      <c r="L112" s="213"/>
      <c r="M112" s="213"/>
      <c r="N112" s="213"/>
      <c r="O112" s="213"/>
      <c r="P112" s="213"/>
      <c r="Q112" s="213"/>
      <c r="R112" s="51"/>
    </row>
    <row r="113" spans="2:18" x14ac:dyDescent="0.3">
      <c r="B113" t="s">
        <v>296</v>
      </c>
      <c r="G113" s="224">
        <f t="shared" ref="G113:Q113" si="61">IFERROR(SUM(G55+G50),"")</f>
        <v>3153.8999999999996</v>
      </c>
      <c r="H113" s="224">
        <f t="shared" si="61"/>
        <v>2953.1</v>
      </c>
      <c r="I113" s="224">
        <f t="shared" si="61"/>
        <v>3631.1</v>
      </c>
      <c r="J113" s="224">
        <f t="shared" si="61"/>
        <v>3590.2</v>
      </c>
      <c r="K113" s="224">
        <f t="shared" si="61"/>
        <v>4253.3999999999996</v>
      </c>
      <c r="L113" s="224">
        <f t="shared" si="61"/>
        <v>10621.1</v>
      </c>
      <c r="M113" s="224">
        <f t="shared" si="61"/>
        <v>9960.7999999999993</v>
      </c>
      <c r="N113" s="224">
        <f t="shared" si="61"/>
        <v>16502</v>
      </c>
      <c r="O113" s="224">
        <f t="shared" si="61"/>
        <v>21201.8</v>
      </c>
      <c r="P113" s="224">
        <f t="shared" si="61"/>
        <v>26786.9</v>
      </c>
      <c r="Q113" s="224">
        <f t="shared" si="61"/>
        <v>21483.4</v>
      </c>
      <c r="R113" s="53">
        <f t="shared" ref="R113:R121" si="62">IFERROR((Q113/G113)^(1/COUNT($G$4:$Q$4))-1,"")</f>
        <v>0.19055774121654667</v>
      </c>
    </row>
    <row r="114" spans="2:18" x14ac:dyDescent="0.3">
      <c r="B114" t="s">
        <v>510</v>
      </c>
      <c r="G114" s="224">
        <f t="shared" ref="G114:Q114" si="63">IFERROR(SUM(G51,G56),"")</f>
        <v>3153.8999999999996</v>
      </c>
      <c r="H114" s="224">
        <f t="shared" si="63"/>
        <v>2953.1</v>
      </c>
      <c r="I114" s="224">
        <f t="shared" si="63"/>
        <v>3631.1</v>
      </c>
      <c r="J114" s="224">
        <f t="shared" si="63"/>
        <v>3590.2</v>
      </c>
      <c r="K114" s="224">
        <f t="shared" si="63"/>
        <v>4253.3999999999996</v>
      </c>
      <c r="L114" s="224">
        <f t="shared" si="63"/>
        <v>8954.1</v>
      </c>
      <c r="M114" s="224">
        <f t="shared" si="63"/>
        <v>8317</v>
      </c>
      <c r="N114" s="224">
        <f t="shared" si="63"/>
        <v>14976.2</v>
      </c>
      <c r="O114" s="224">
        <f t="shared" si="63"/>
        <v>19404.7</v>
      </c>
      <c r="P114" s="224">
        <f t="shared" si="63"/>
        <v>23757</v>
      </c>
      <c r="Q114" s="224">
        <f t="shared" si="63"/>
        <v>18715</v>
      </c>
      <c r="R114" s="53">
        <f t="shared" si="62"/>
        <v>0.17571974073322316</v>
      </c>
    </row>
    <row r="115" spans="2:18" x14ac:dyDescent="0.3">
      <c r="B115" t="s">
        <v>511</v>
      </c>
      <c r="G115" s="224">
        <f t="shared" ref="G115:Q115" si="64">IFERROR(SUM(G52,G57),"")</f>
        <v>0</v>
      </c>
      <c r="H115" s="224">
        <f t="shared" si="64"/>
        <v>0</v>
      </c>
      <c r="I115" s="224">
        <f t="shared" si="64"/>
        <v>0</v>
      </c>
      <c r="J115" s="224">
        <f t="shared" si="64"/>
        <v>0</v>
      </c>
      <c r="K115" s="224">
        <f t="shared" si="64"/>
        <v>0</v>
      </c>
      <c r="L115" s="224">
        <f t="shared" si="64"/>
        <v>1667</v>
      </c>
      <c r="M115" s="224">
        <f t="shared" si="64"/>
        <v>1643.8</v>
      </c>
      <c r="N115" s="224">
        <f t="shared" si="64"/>
        <v>1525.8000000000002</v>
      </c>
      <c r="O115" s="224">
        <f t="shared" si="64"/>
        <v>1797.1</v>
      </c>
      <c r="P115" s="224">
        <f t="shared" si="64"/>
        <v>3029.9</v>
      </c>
      <c r="Q115" s="224">
        <f t="shared" si="64"/>
        <v>2768.4</v>
      </c>
      <c r="R115" s="53" t="str">
        <f t="shared" si="62"/>
        <v/>
      </c>
    </row>
    <row r="116" spans="2:18" x14ac:dyDescent="0.3">
      <c r="B116" t="s">
        <v>632</v>
      </c>
      <c r="G116" s="224">
        <f t="shared" ref="G116:Q116" si="65">+G113-G32</f>
        <v>-823.30000000000064</v>
      </c>
      <c r="H116" s="224">
        <f t="shared" si="65"/>
        <v>-1729.7999999999997</v>
      </c>
      <c r="I116" s="224">
        <f t="shared" si="65"/>
        <v>-420.90000000000009</v>
      </c>
      <c r="J116" s="224">
        <f t="shared" si="65"/>
        <v>-4730.0000000000009</v>
      </c>
      <c r="K116" s="224">
        <f t="shared" si="65"/>
        <v>-3882.4000000000005</v>
      </c>
      <c r="L116" s="224">
        <f t="shared" si="65"/>
        <v>6860.2000000000007</v>
      </c>
      <c r="M116" s="224">
        <f t="shared" si="65"/>
        <v>5332.9</v>
      </c>
      <c r="N116" s="224">
        <f t="shared" si="65"/>
        <v>8150.4</v>
      </c>
      <c r="O116" s="224">
        <f t="shared" si="65"/>
        <v>15122.4</v>
      </c>
      <c r="P116" s="224">
        <f t="shared" si="65"/>
        <v>18095.800000000003</v>
      </c>
      <c r="Q116" s="224">
        <f t="shared" si="65"/>
        <v>7555.4000000000015</v>
      </c>
      <c r="R116" s="53">
        <f t="shared" si="62"/>
        <v>-2.2232581625534484</v>
      </c>
    </row>
    <row r="117" spans="2:18" x14ac:dyDescent="0.3">
      <c r="B117" t="s">
        <v>633</v>
      </c>
      <c r="G117" s="238">
        <f t="shared" ref="G117:Q117" si="66">IFERROR(G23/G22,"")</f>
        <v>0.16889214676281805</v>
      </c>
      <c r="H117" s="238">
        <f t="shared" si="66"/>
        <v>0.17944240951965229</v>
      </c>
      <c r="I117" s="238">
        <f t="shared" si="66"/>
        <v>7.9587141702418707E-2</v>
      </c>
      <c r="J117" s="238">
        <f t="shared" si="66"/>
        <v>0.20813863507842495</v>
      </c>
      <c r="K117" s="238">
        <f t="shared" si="66"/>
        <v>0.27182164076996607</v>
      </c>
      <c r="L117" s="238">
        <f t="shared" si="66"/>
        <v>0.17412751264027612</v>
      </c>
      <c r="M117" s="238">
        <f t="shared" si="66"/>
        <v>0.23698893698893694</v>
      </c>
      <c r="N117" s="238">
        <f t="shared" si="66"/>
        <v>0.2832289803220035</v>
      </c>
      <c r="O117" s="238">
        <f t="shared" si="66"/>
        <v>0.4399670230838415</v>
      </c>
      <c r="P117" s="238">
        <f t="shared" si="66"/>
        <v>0.21618816424913589</v>
      </c>
      <c r="Q117" s="238">
        <f t="shared" si="66"/>
        <v>0.17116660735592726</v>
      </c>
      <c r="R117" s="53">
        <f t="shared" si="62"/>
        <v>1.2168368214027225E-3</v>
      </c>
    </row>
    <row r="118" spans="2:18" x14ac:dyDescent="0.3">
      <c r="B118" t="s">
        <v>456</v>
      </c>
      <c r="G118" s="243">
        <f t="shared" ref="G118:Q118" si="67">IFERROR(G16*(1-G117),"")</f>
        <v>4252.529552658687</v>
      </c>
      <c r="H118" s="243">
        <f t="shared" si="67"/>
        <v>4384.8956520088823</v>
      </c>
      <c r="I118" s="243">
        <f t="shared" si="67"/>
        <v>3024.5686936516818</v>
      </c>
      <c r="J118" s="243">
        <f t="shared" si="67"/>
        <v>10891.657143813807</v>
      </c>
      <c r="K118" s="243">
        <f t="shared" si="67"/>
        <v>15202.834966168726</v>
      </c>
      <c r="L118" s="243">
        <f t="shared" si="67"/>
        <v>2245.7124676285625</v>
      </c>
      <c r="M118" s="243">
        <f t="shared" si="67"/>
        <v>3824.6692544492557</v>
      </c>
      <c r="N118" s="243">
        <f t="shared" si="67"/>
        <v>8895.3433855098428</v>
      </c>
      <c r="O118" s="243">
        <f t="shared" si="67"/>
        <v>3813.4885530128886</v>
      </c>
      <c r="P118" s="243">
        <f t="shared" si="67"/>
        <v>-6059.1790150884772</v>
      </c>
      <c r="Q118" s="243">
        <f t="shared" si="67"/>
        <v>19450.564758535511</v>
      </c>
      <c r="R118" s="53">
        <f t="shared" si="62"/>
        <v>0.14822209002139353</v>
      </c>
    </row>
    <row r="119" spans="2:18" x14ac:dyDescent="0.3">
      <c r="B119" t="s">
        <v>496</v>
      </c>
      <c r="G119" s="452">
        <f t="shared" ref="G119:Q119" si="68">IFERROR(G35/G6*365,"")</f>
        <v>79.559752651002015</v>
      </c>
      <c r="H119" s="452">
        <f t="shared" si="68"/>
        <v>51.035535695286733</v>
      </c>
      <c r="I119" s="452">
        <f t="shared" si="68"/>
        <v>69.012123502732877</v>
      </c>
      <c r="J119" s="452">
        <f t="shared" si="68"/>
        <v>67.313596418394255</v>
      </c>
      <c r="K119" s="452">
        <f t="shared" si="68"/>
        <v>57.035339262358114</v>
      </c>
      <c r="L119" s="452">
        <f t="shared" si="68"/>
        <v>57.631721296594748</v>
      </c>
      <c r="M119" s="452">
        <f t="shared" si="68"/>
        <v>56.423258015573467</v>
      </c>
      <c r="N119" s="452">
        <f t="shared" si="68"/>
        <v>70.177811422910011</v>
      </c>
      <c r="O119" s="452">
        <f t="shared" si="68"/>
        <v>42.42175314197609</v>
      </c>
      <c r="P119" s="452">
        <f t="shared" si="68"/>
        <v>73.525348153709515</v>
      </c>
      <c r="Q119" s="452">
        <f t="shared" si="68"/>
        <v>71.789086459293273</v>
      </c>
      <c r="R119" s="53">
        <f t="shared" si="62"/>
        <v>-9.2997491418987943E-3</v>
      </c>
    </row>
    <row r="120" spans="2:18" x14ac:dyDescent="0.3">
      <c r="B120" t="s">
        <v>498</v>
      </c>
      <c r="G120" s="452">
        <f t="shared" ref="G120:Q120" si="69">IFERROR(G36/G7*365,"")</f>
        <v>57.772281936649847</v>
      </c>
      <c r="H120" s="452">
        <f t="shared" si="69"/>
        <v>66.763128364113584</v>
      </c>
      <c r="I120" s="452">
        <f t="shared" si="69"/>
        <v>68.559946602886782</v>
      </c>
      <c r="J120" s="452">
        <f t="shared" si="69"/>
        <v>75.874757908327965</v>
      </c>
      <c r="K120" s="452">
        <f t="shared" si="69"/>
        <v>106.33731423903879</v>
      </c>
      <c r="L120" s="452">
        <f t="shared" si="69"/>
        <v>102.7146789380832</v>
      </c>
      <c r="M120" s="452">
        <f t="shared" si="69"/>
        <v>106.2006040834906</v>
      </c>
      <c r="N120" s="452">
        <f t="shared" si="69"/>
        <v>135.85797401603622</v>
      </c>
      <c r="O120" s="452">
        <f t="shared" si="69"/>
        <v>197.20199560594196</v>
      </c>
      <c r="P120" s="452">
        <f t="shared" si="69"/>
        <v>147.76497633576784</v>
      </c>
      <c r="Q120" s="452">
        <f t="shared" si="69"/>
        <v>141.41137151969457</v>
      </c>
      <c r="R120" s="53">
        <f t="shared" si="62"/>
        <v>8.478146403564657E-2</v>
      </c>
    </row>
    <row r="121" spans="2:18" x14ac:dyDescent="0.3">
      <c r="B121" t="s">
        <v>507</v>
      </c>
      <c r="G121" s="452">
        <f t="shared" ref="G121:Q121" si="70">IFERROR(G49/G6*365,"")</f>
        <v>16.790477413930024</v>
      </c>
      <c r="H121" s="452">
        <f t="shared" si="70"/>
        <v>15.366581551228853</v>
      </c>
      <c r="I121" s="452">
        <f t="shared" si="70"/>
        <v>14.773607396208863</v>
      </c>
      <c r="J121" s="452">
        <f t="shared" si="70"/>
        <v>9.1960982284602153</v>
      </c>
      <c r="K121" s="452">
        <f t="shared" si="70"/>
        <v>9.8945484125394696</v>
      </c>
      <c r="L121" s="452">
        <f t="shared" si="70"/>
        <v>14.097911502850982</v>
      </c>
      <c r="M121" s="452">
        <f t="shared" si="70"/>
        <v>11.970476859224334</v>
      </c>
      <c r="N121" s="452">
        <f t="shared" si="70"/>
        <v>11.53798566438283</v>
      </c>
      <c r="O121" s="452">
        <f t="shared" si="70"/>
        <v>17.882886315147818</v>
      </c>
      <c r="P121" s="452">
        <f t="shared" si="70"/>
        <v>20.558312503624219</v>
      </c>
      <c r="Q121" s="452">
        <f t="shared" si="70"/>
        <v>12.557438097684047</v>
      </c>
      <c r="R121" s="53">
        <f t="shared" si="62"/>
        <v>-2.606330876148677E-2</v>
      </c>
    </row>
    <row r="123" spans="2:18" x14ac:dyDescent="0.3">
      <c r="B123" t="s">
        <v>634</v>
      </c>
      <c r="G123" s="20">
        <v>3444</v>
      </c>
      <c r="H123" s="20">
        <v>3953.2</v>
      </c>
      <c r="I123" s="20">
        <v>4456.3</v>
      </c>
      <c r="J123" s="20">
        <v>5026.1000000000004</v>
      </c>
      <c r="K123" s="20">
        <v>6428.3</v>
      </c>
      <c r="L123" s="20">
        <v>8620.4</v>
      </c>
      <c r="M123" s="20">
        <v>9771.9</v>
      </c>
      <c r="N123" s="20">
        <v>10656.7</v>
      </c>
      <c r="O123" s="20">
        <v>14151.5</v>
      </c>
      <c r="P123" s="20">
        <v>13673.7</v>
      </c>
      <c r="Q123" s="20">
        <v>12581.5</v>
      </c>
    </row>
    <row r="124" spans="2:18" x14ac:dyDescent="0.3">
      <c r="B124" t="s">
        <v>635</v>
      </c>
      <c r="G124" s="224">
        <f t="shared" ref="G124:Q124" si="71">+G123-G13</f>
        <v>3215.5</v>
      </c>
      <c r="H124" s="224">
        <f t="shared" si="71"/>
        <v>3624.1</v>
      </c>
      <c r="I124" s="224">
        <f t="shared" si="71"/>
        <v>4091.4</v>
      </c>
      <c r="J124" s="224">
        <f t="shared" si="71"/>
        <v>4581.4000000000005</v>
      </c>
      <c r="K124" s="224">
        <f t="shared" si="71"/>
        <v>5855.7</v>
      </c>
      <c r="L124" s="224">
        <f t="shared" si="71"/>
        <v>7726.5999999999995</v>
      </c>
      <c r="M124" s="224">
        <f t="shared" si="71"/>
        <v>8806.4</v>
      </c>
      <c r="N124" s="224">
        <f t="shared" si="71"/>
        <v>9911.8000000000011</v>
      </c>
      <c r="O124" s="224">
        <f t="shared" si="71"/>
        <v>13472.1</v>
      </c>
      <c r="P124" s="224">
        <f t="shared" si="71"/>
        <v>13086.6</v>
      </c>
      <c r="Q124" s="224">
        <f t="shared" si="71"/>
        <v>12021.9</v>
      </c>
    </row>
    <row r="125" spans="2:18" x14ac:dyDescent="0.3">
      <c r="B125" t="s">
        <v>636</v>
      </c>
      <c r="C125" s="549"/>
      <c r="G125" s="852">
        <f t="shared" ref="G125:Q125" si="72">+G124/G7</f>
        <v>0.33984379128486419</v>
      </c>
      <c r="H125" s="852">
        <f t="shared" si="72"/>
        <v>0.34464689883409094</v>
      </c>
      <c r="I125" s="852">
        <f t="shared" si="72"/>
        <v>0.37928636983063102</v>
      </c>
      <c r="J125" s="852">
        <f t="shared" si="72"/>
        <v>0.3606890361995938</v>
      </c>
      <c r="K125" s="852">
        <f t="shared" si="72"/>
        <v>0.3857306597807757</v>
      </c>
      <c r="L125" s="852">
        <f t="shared" si="72"/>
        <v>0.41057878291920846</v>
      </c>
      <c r="M125" s="852">
        <f t="shared" si="72"/>
        <v>0.41756678583960016</v>
      </c>
      <c r="N125" s="852">
        <f t="shared" si="72"/>
        <v>0.41220847057257881</v>
      </c>
      <c r="O125" s="852">
        <f t="shared" si="72"/>
        <v>0.46465611494910963</v>
      </c>
      <c r="P125" s="852">
        <f t="shared" si="72"/>
        <v>0.39300043244282151</v>
      </c>
      <c r="Q125" s="852">
        <f t="shared" si="72"/>
        <v>0.34983180463730323</v>
      </c>
    </row>
    <row r="126" spans="2:18" x14ac:dyDescent="0.3">
      <c r="C126" s="549"/>
    </row>
    <row r="127" spans="2:18" x14ac:dyDescent="0.3">
      <c r="C127" s="549"/>
    </row>
    <row r="128" spans="2:18" x14ac:dyDescent="0.3">
      <c r="C128" s="549"/>
    </row>
    <row r="129" spans="3:3" x14ac:dyDescent="0.3">
      <c r="C129" s="549"/>
    </row>
    <row r="130" spans="3:3" x14ac:dyDescent="0.3">
      <c r="C130" s="549"/>
    </row>
    <row r="131" spans="3:3" x14ac:dyDescent="0.3">
      <c r="C131" s="549"/>
    </row>
    <row r="132" spans="3:3" x14ac:dyDescent="0.3">
      <c r="C132" s="549"/>
    </row>
    <row r="133" spans="3:3" x14ac:dyDescent="0.3">
      <c r="C133" s="549"/>
    </row>
    <row r="134" spans="3:3" x14ac:dyDescent="0.3">
      <c r="C134" s="549"/>
    </row>
    <row r="135" spans="3:3" x14ac:dyDescent="0.3">
      <c r="C135" s="549"/>
    </row>
    <row r="136" spans="3:3" x14ac:dyDescent="0.3">
      <c r="C136" s="549"/>
    </row>
    <row r="137" spans="3:3" x14ac:dyDescent="0.3">
      <c r="C137" s="549"/>
    </row>
    <row r="138" spans="3:3" x14ac:dyDescent="0.3">
      <c r="C138" s="549"/>
    </row>
    <row r="139" spans="3:3" x14ac:dyDescent="0.3">
      <c r="C139" s="549"/>
    </row>
    <row r="140" spans="3:3" x14ac:dyDescent="0.3">
      <c r="C140" s="549"/>
    </row>
    <row r="141" spans="3:3" x14ac:dyDescent="0.3">
      <c r="C141" s="549"/>
    </row>
    <row r="142" spans="3:3" x14ac:dyDescent="0.3">
      <c r="C142" s="549"/>
    </row>
    <row r="143" spans="3:3" x14ac:dyDescent="0.3">
      <c r="C143" s="549"/>
    </row>
    <row r="144" spans="3:3" x14ac:dyDescent="0.3">
      <c r="C144" s="549"/>
    </row>
    <row r="145" spans="3:3" x14ac:dyDescent="0.3">
      <c r="C145" s="549"/>
    </row>
    <row r="146" spans="3:3" x14ac:dyDescent="0.3">
      <c r="C146" s="549"/>
    </row>
    <row r="147" spans="3:3" x14ac:dyDescent="0.3">
      <c r="C147" s="549"/>
    </row>
    <row r="148" spans="3:3" x14ac:dyDescent="0.3">
      <c r="C148" s="549"/>
    </row>
    <row r="149" spans="3:3" x14ac:dyDescent="0.3">
      <c r="C149" s="549"/>
    </row>
    <row r="150" spans="3:3" x14ac:dyDescent="0.3">
      <c r="C150" s="549"/>
    </row>
    <row r="151" spans="3:3" x14ac:dyDescent="0.3">
      <c r="C151" s="549"/>
    </row>
    <row r="152" spans="3:3" x14ac:dyDescent="0.3">
      <c r="C152" s="549"/>
    </row>
    <row r="153" spans="3:3" x14ac:dyDescent="0.3">
      <c r="C153" s="549"/>
    </row>
    <row r="154" spans="3:3" x14ac:dyDescent="0.3">
      <c r="C154" s="549"/>
    </row>
    <row r="155" spans="3:3" x14ac:dyDescent="0.3">
      <c r="C155" s="549"/>
    </row>
    <row r="156" spans="3:3" x14ac:dyDescent="0.3">
      <c r="C156" s="549"/>
    </row>
    <row r="157" spans="3:3" x14ac:dyDescent="0.3">
      <c r="C157" s="549"/>
    </row>
    <row r="158" spans="3:3" x14ac:dyDescent="0.3">
      <c r="C158" s="549"/>
    </row>
    <row r="159" spans="3:3" x14ac:dyDescent="0.3">
      <c r="C159" s="549"/>
    </row>
    <row r="160" spans="3:3" x14ac:dyDescent="0.3">
      <c r="C160" s="549"/>
    </row>
    <row r="161" spans="3:3" x14ac:dyDescent="0.3">
      <c r="C161" s="549"/>
    </row>
    <row r="162" spans="3:3" x14ac:dyDescent="0.3">
      <c r="C162" s="549"/>
    </row>
    <row r="163" spans="3:3" x14ac:dyDescent="0.3">
      <c r="C163" s="549"/>
    </row>
    <row r="164" spans="3:3" x14ac:dyDescent="0.3">
      <c r="C164" s="549"/>
    </row>
    <row r="165" spans="3:3" x14ac:dyDescent="0.3">
      <c r="C165" s="549"/>
    </row>
    <row r="166" spans="3:3" x14ac:dyDescent="0.3">
      <c r="C166" s="549"/>
    </row>
    <row r="167" spans="3:3" x14ac:dyDescent="0.3">
      <c r="C167" s="549"/>
    </row>
    <row r="168" spans="3:3" x14ac:dyDescent="0.3">
      <c r="C168" s="549"/>
    </row>
    <row r="169" spans="3:3" x14ac:dyDescent="0.3">
      <c r="C169" s="549"/>
    </row>
    <row r="170" spans="3:3" x14ac:dyDescent="0.3">
      <c r="C170" s="549"/>
    </row>
    <row r="171" spans="3:3" x14ac:dyDescent="0.3">
      <c r="C171" s="549"/>
    </row>
    <row r="172" spans="3:3" x14ac:dyDescent="0.3">
      <c r="C172" s="549"/>
    </row>
    <row r="173" spans="3:3" x14ac:dyDescent="0.3">
      <c r="C173" s="549"/>
    </row>
    <row r="174" spans="3:3" x14ac:dyDescent="0.3">
      <c r="C174" s="549"/>
    </row>
    <row r="175" spans="3:3" x14ac:dyDescent="0.3">
      <c r="C175" s="549"/>
    </row>
    <row r="176" spans="3:3" x14ac:dyDescent="0.3">
      <c r="C176" s="549"/>
    </row>
    <row r="177" spans="3:3" x14ac:dyDescent="0.3">
      <c r="C177" s="549"/>
    </row>
    <row r="178" spans="3:3" x14ac:dyDescent="0.3">
      <c r="C178" s="549"/>
    </row>
    <row r="179" spans="3:3" x14ac:dyDescent="0.3">
      <c r="C179" s="549"/>
    </row>
    <row r="180" spans="3:3" x14ac:dyDescent="0.3">
      <c r="C180" s="549"/>
    </row>
    <row r="181" spans="3:3" x14ac:dyDescent="0.3">
      <c r="C181" s="549"/>
    </row>
    <row r="182" spans="3:3" x14ac:dyDescent="0.3">
      <c r="C182" s="549"/>
    </row>
    <row r="183" spans="3:3" x14ac:dyDescent="0.3">
      <c r="C183" s="549"/>
    </row>
    <row r="184" spans="3:3" x14ac:dyDescent="0.3">
      <c r="C184" s="549"/>
    </row>
    <row r="185" spans="3:3" x14ac:dyDescent="0.3">
      <c r="C185" s="549"/>
    </row>
    <row r="186" spans="3:3" x14ac:dyDescent="0.3">
      <c r="C186" s="549"/>
    </row>
    <row r="187" spans="3:3" x14ac:dyDescent="0.3">
      <c r="C187" s="549"/>
    </row>
    <row r="188" spans="3:3" x14ac:dyDescent="0.3">
      <c r="C188" s="549"/>
    </row>
    <row r="189" spans="3:3" x14ac:dyDescent="0.3">
      <c r="C189" s="549"/>
    </row>
    <row r="190" spans="3:3" x14ac:dyDescent="0.3">
      <c r="C190" s="549"/>
    </row>
    <row r="191" spans="3:3" x14ac:dyDescent="0.3">
      <c r="C191" s="549"/>
    </row>
    <row r="192" spans="3:3" x14ac:dyDescent="0.3">
      <c r="C192" s="549"/>
    </row>
    <row r="193" spans="3:3" x14ac:dyDescent="0.3">
      <c r="C193" s="549"/>
    </row>
    <row r="194" spans="3:3" x14ac:dyDescent="0.3">
      <c r="C194" s="549"/>
    </row>
    <row r="195" spans="3:3" x14ac:dyDescent="0.3">
      <c r="C195" s="549"/>
    </row>
    <row r="196" spans="3:3" x14ac:dyDescent="0.3">
      <c r="C196" s="549"/>
    </row>
    <row r="197" spans="3:3" x14ac:dyDescent="0.3">
      <c r="C197" s="549"/>
    </row>
    <row r="198" spans="3:3" x14ac:dyDescent="0.3">
      <c r="C198" s="549"/>
    </row>
    <row r="199" spans="3:3" x14ac:dyDescent="0.3">
      <c r="C199" s="549"/>
    </row>
    <row r="200" spans="3:3" x14ac:dyDescent="0.3">
      <c r="C200" s="549"/>
    </row>
    <row r="201" spans="3:3" x14ac:dyDescent="0.3">
      <c r="C201" s="549"/>
    </row>
    <row r="202" spans="3:3" x14ac:dyDescent="0.3">
      <c r="C202" s="549"/>
    </row>
    <row r="203" spans="3:3" x14ac:dyDescent="0.3">
      <c r="C203" s="549"/>
    </row>
    <row r="204" spans="3:3" x14ac:dyDescent="0.3">
      <c r="C204" s="549"/>
    </row>
    <row r="205" spans="3:3" x14ac:dyDescent="0.3">
      <c r="C205" s="549"/>
    </row>
    <row r="206" spans="3:3" x14ac:dyDescent="0.3">
      <c r="C206" s="549"/>
    </row>
    <row r="207" spans="3:3" x14ac:dyDescent="0.3">
      <c r="C207" s="549"/>
    </row>
    <row r="208" spans="3:3" x14ac:dyDescent="0.3">
      <c r="C208" s="549"/>
    </row>
    <row r="209" spans="3:3" x14ac:dyDescent="0.3">
      <c r="C209" s="549"/>
    </row>
    <row r="210" spans="3:3" x14ac:dyDescent="0.3">
      <c r="C210" s="549"/>
    </row>
    <row r="211" spans="3:3" x14ac:dyDescent="0.3">
      <c r="C211" s="549"/>
    </row>
    <row r="212" spans="3:3" x14ac:dyDescent="0.3">
      <c r="C212" s="549"/>
    </row>
    <row r="213" spans="3:3" x14ac:dyDescent="0.3">
      <c r="C213" s="549"/>
    </row>
    <row r="214" spans="3:3" x14ac:dyDescent="0.3">
      <c r="C214" s="549"/>
    </row>
    <row r="215" spans="3:3" x14ac:dyDescent="0.3">
      <c r="C215" s="549"/>
    </row>
    <row r="216" spans="3:3" x14ac:dyDescent="0.3">
      <c r="C216" s="549"/>
    </row>
    <row r="217" spans="3:3" x14ac:dyDescent="0.3">
      <c r="C217" s="549"/>
    </row>
    <row r="218" spans="3:3" x14ac:dyDescent="0.3">
      <c r="C218" s="549"/>
    </row>
    <row r="219" spans="3:3" x14ac:dyDescent="0.3">
      <c r="C219" s="549"/>
    </row>
    <row r="220" spans="3:3" x14ac:dyDescent="0.3">
      <c r="C220" s="549"/>
    </row>
    <row r="221" spans="3:3" x14ac:dyDescent="0.3">
      <c r="C221" s="549"/>
    </row>
    <row r="222" spans="3:3" x14ac:dyDescent="0.3">
      <c r="C222" s="549"/>
    </row>
    <row r="223" spans="3:3" x14ac:dyDescent="0.3">
      <c r="C223" s="549"/>
    </row>
    <row r="224" spans="3:3" x14ac:dyDescent="0.3">
      <c r="C224" s="549"/>
    </row>
    <row r="225" spans="3:3" x14ac:dyDescent="0.3">
      <c r="C225" s="549"/>
    </row>
    <row r="226" spans="3:3" x14ac:dyDescent="0.3">
      <c r="C226" s="549"/>
    </row>
    <row r="227" spans="3:3" x14ac:dyDescent="0.3">
      <c r="C227" s="549"/>
    </row>
    <row r="228" spans="3:3" x14ac:dyDescent="0.3">
      <c r="C228" s="549"/>
    </row>
    <row r="229" spans="3:3" x14ac:dyDescent="0.3">
      <c r="C229" s="549"/>
    </row>
    <row r="230" spans="3:3" x14ac:dyDescent="0.3">
      <c r="C230" s="549"/>
    </row>
    <row r="231" spans="3:3" x14ac:dyDescent="0.3">
      <c r="C231" s="549"/>
    </row>
    <row r="232" spans="3:3" x14ac:dyDescent="0.3">
      <c r="C232" s="549"/>
    </row>
    <row r="233" spans="3:3" x14ac:dyDescent="0.3">
      <c r="C233" s="549"/>
    </row>
    <row r="234" spans="3:3" x14ac:dyDescent="0.3">
      <c r="C234" s="549"/>
    </row>
    <row r="235" spans="3:3" x14ac:dyDescent="0.3">
      <c r="C235" s="549"/>
    </row>
    <row r="236" spans="3:3" x14ac:dyDescent="0.3">
      <c r="C236" s="549"/>
    </row>
    <row r="237" spans="3:3" x14ac:dyDescent="0.3">
      <c r="C237" s="549"/>
    </row>
    <row r="238" spans="3:3" x14ac:dyDescent="0.3">
      <c r="C238" s="549"/>
    </row>
    <row r="239" spans="3:3" x14ac:dyDescent="0.3">
      <c r="C239" s="549"/>
    </row>
    <row r="240" spans="3:3" x14ac:dyDescent="0.3">
      <c r="C240" s="549"/>
    </row>
    <row r="241" spans="3:3" x14ac:dyDescent="0.3">
      <c r="C241" s="549"/>
    </row>
    <row r="242" spans="3:3" x14ac:dyDescent="0.3">
      <c r="C242" s="549"/>
    </row>
    <row r="243" spans="3:3" x14ac:dyDescent="0.3">
      <c r="C243" s="549"/>
    </row>
    <row r="244" spans="3:3" x14ac:dyDescent="0.3">
      <c r="C244" s="549"/>
    </row>
    <row r="245" spans="3:3" x14ac:dyDescent="0.3">
      <c r="C245" s="549"/>
    </row>
    <row r="246" spans="3:3" x14ac:dyDescent="0.3">
      <c r="C246" s="549"/>
    </row>
    <row r="247" spans="3:3" x14ac:dyDescent="0.3">
      <c r="C247" s="549"/>
    </row>
    <row r="248" spans="3:3" x14ac:dyDescent="0.3">
      <c r="C248" s="549"/>
    </row>
    <row r="249" spans="3:3" x14ac:dyDescent="0.3">
      <c r="C249" s="549"/>
    </row>
    <row r="250" spans="3:3" x14ac:dyDescent="0.3">
      <c r="C250" s="549"/>
    </row>
    <row r="251" spans="3:3" x14ac:dyDescent="0.3">
      <c r="C251" s="549"/>
    </row>
    <row r="252" spans="3:3" x14ac:dyDescent="0.3">
      <c r="C252" s="549"/>
    </row>
    <row r="253" spans="3:3" x14ac:dyDescent="0.3">
      <c r="C253" s="549"/>
    </row>
    <row r="254" spans="3:3" x14ac:dyDescent="0.3">
      <c r="C254" s="549"/>
    </row>
    <row r="255" spans="3:3" x14ac:dyDescent="0.3">
      <c r="C255" s="549"/>
    </row>
    <row r="256" spans="3:3" x14ac:dyDescent="0.3">
      <c r="C256" s="549"/>
    </row>
    <row r="257" spans="3:3" x14ac:dyDescent="0.3">
      <c r="C257" s="549"/>
    </row>
    <row r="258" spans="3:3" x14ac:dyDescent="0.3">
      <c r="C258" s="549"/>
    </row>
    <row r="259" spans="3:3" x14ac:dyDescent="0.3">
      <c r="C259" s="549"/>
    </row>
    <row r="260" spans="3:3" x14ac:dyDescent="0.3">
      <c r="C260" s="549"/>
    </row>
    <row r="261" spans="3:3" x14ac:dyDescent="0.3">
      <c r="C261" s="549"/>
    </row>
    <row r="262" spans="3:3" x14ac:dyDescent="0.3">
      <c r="C262" s="549"/>
    </row>
    <row r="263" spans="3:3" x14ac:dyDescent="0.3">
      <c r="C263" s="549"/>
    </row>
    <row r="264" spans="3:3" x14ac:dyDescent="0.3">
      <c r="C264" s="549"/>
    </row>
    <row r="265" spans="3:3" x14ac:dyDescent="0.3">
      <c r="C265" s="549"/>
    </row>
    <row r="266" spans="3:3" x14ac:dyDescent="0.3">
      <c r="C266" s="549"/>
    </row>
    <row r="267" spans="3:3" x14ac:dyDescent="0.3">
      <c r="C267" s="549"/>
    </row>
    <row r="268" spans="3:3" x14ac:dyDescent="0.3">
      <c r="C268" s="549"/>
    </row>
    <row r="269" spans="3:3" x14ac:dyDescent="0.3">
      <c r="C269" s="549"/>
    </row>
    <row r="270" spans="3:3" x14ac:dyDescent="0.3">
      <c r="C270" s="549"/>
    </row>
    <row r="271" spans="3:3" x14ac:dyDescent="0.3">
      <c r="C271" s="549"/>
    </row>
    <row r="272" spans="3:3" x14ac:dyDescent="0.3">
      <c r="C272" s="549"/>
    </row>
    <row r="273" spans="3:3" x14ac:dyDescent="0.3">
      <c r="C273" s="549"/>
    </row>
    <row r="274" spans="3:3" x14ac:dyDescent="0.3">
      <c r="C274" s="549"/>
    </row>
    <row r="275" spans="3:3" x14ac:dyDescent="0.3">
      <c r="C275" s="549"/>
    </row>
    <row r="276" spans="3:3" x14ac:dyDescent="0.3">
      <c r="C276" s="549"/>
    </row>
    <row r="277" spans="3:3" x14ac:dyDescent="0.3">
      <c r="C277" s="549"/>
    </row>
    <row r="278" spans="3:3" x14ac:dyDescent="0.3">
      <c r="C278" s="549"/>
    </row>
    <row r="279" spans="3:3" x14ac:dyDescent="0.3">
      <c r="C279" s="549"/>
    </row>
    <row r="280" spans="3:3" x14ac:dyDescent="0.3">
      <c r="C280" s="549"/>
    </row>
    <row r="281" spans="3:3" x14ac:dyDescent="0.3">
      <c r="C281" s="549"/>
    </row>
    <row r="282" spans="3:3" x14ac:dyDescent="0.3">
      <c r="C282" s="549"/>
    </row>
    <row r="283" spans="3:3" x14ac:dyDescent="0.3">
      <c r="C283" s="549"/>
    </row>
    <row r="284" spans="3:3" x14ac:dyDescent="0.3">
      <c r="C284" s="549"/>
    </row>
    <row r="285" spans="3:3" x14ac:dyDescent="0.3">
      <c r="C285" s="549"/>
    </row>
    <row r="286" spans="3:3" x14ac:dyDescent="0.3">
      <c r="C286" s="549"/>
    </row>
    <row r="287" spans="3:3" x14ac:dyDescent="0.3">
      <c r="C287" s="549"/>
    </row>
    <row r="288" spans="3:3" x14ac:dyDescent="0.3">
      <c r="C288" s="549"/>
    </row>
    <row r="289" spans="3:3" x14ac:dyDescent="0.3">
      <c r="C289" s="549"/>
    </row>
    <row r="290" spans="3:3" x14ac:dyDescent="0.3">
      <c r="C290" s="549"/>
    </row>
    <row r="291" spans="3:3" x14ac:dyDescent="0.3">
      <c r="C291" s="549"/>
    </row>
    <row r="292" spans="3:3" x14ac:dyDescent="0.3">
      <c r="C292" s="549"/>
    </row>
    <row r="293" spans="3:3" x14ac:dyDescent="0.3">
      <c r="C293" s="549"/>
    </row>
    <row r="294" spans="3:3" x14ac:dyDescent="0.3">
      <c r="C294" s="549"/>
    </row>
    <row r="295" spans="3:3" x14ac:dyDescent="0.3">
      <c r="C295" s="549"/>
    </row>
    <row r="296" spans="3:3" x14ac:dyDescent="0.3">
      <c r="C296" s="549"/>
    </row>
    <row r="297" spans="3:3" x14ac:dyDescent="0.3">
      <c r="C297" s="549"/>
    </row>
    <row r="298" spans="3:3" x14ac:dyDescent="0.3">
      <c r="C298" s="549"/>
    </row>
    <row r="299" spans="3:3" x14ac:dyDescent="0.3">
      <c r="C299" s="549"/>
    </row>
    <row r="300" spans="3:3" x14ac:dyDescent="0.3">
      <c r="C300" s="549"/>
    </row>
    <row r="301" spans="3:3" x14ac:dyDescent="0.3">
      <c r="C301" s="549"/>
    </row>
    <row r="302" spans="3:3" x14ac:dyDescent="0.3">
      <c r="C302" s="549"/>
    </row>
    <row r="303" spans="3:3" x14ac:dyDescent="0.3">
      <c r="C303" s="549"/>
    </row>
    <row r="304" spans="3:3" x14ac:dyDescent="0.3">
      <c r="C304" s="549"/>
    </row>
    <row r="305" spans="3:3" x14ac:dyDescent="0.3">
      <c r="C305" s="549"/>
    </row>
    <row r="306" spans="3:3" x14ac:dyDescent="0.3">
      <c r="C306" s="549"/>
    </row>
    <row r="307" spans="3:3" x14ac:dyDescent="0.3">
      <c r="C307" s="549"/>
    </row>
    <row r="308" spans="3:3" x14ac:dyDescent="0.3">
      <c r="C308" s="549"/>
    </row>
    <row r="309" spans="3:3" x14ac:dyDescent="0.3">
      <c r="C309" s="549"/>
    </row>
    <row r="310" spans="3:3" x14ac:dyDescent="0.3">
      <c r="C310" s="549"/>
    </row>
    <row r="311" spans="3:3" x14ac:dyDescent="0.3">
      <c r="C311" s="549"/>
    </row>
    <row r="312" spans="3:3" x14ac:dyDescent="0.3">
      <c r="C312" s="549"/>
    </row>
    <row r="313" spans="3:3" x14ac:dyDescent="0.3">
      <c r="C313" s="549"/>
    </row>
    <row r="314" spans="3:3" x14ac:dyDescent="0.3">
      <c r="C314" s="549"/>
    </row>
    <row r="315" spans="3:3" x14ac:dyDescent="0.3">
      <c r="C315" s="549"/>
    </row>
    <row r="316" spans="3:3" x14ac:dyDescent="0.3">
      <c r="C316" s="549"/>
    </row>
    <row r="317" spans="3:3" x14ac:dyDescent="0.3">
      <c r="C317" s="549"/>
    </row>
    <row r="318" spans="3:3" x14ac:dyDescent="0.3">
      <c r="C318" s="549"/>
    </row>
    <row r="319" spans="3:3" x14ac:dyDescent="0.3">
      <c r="C319" s="549"/>
    </row>
    <row r="320" spans="3:3" x14ac:dyDescent="0.3">
      <c r="C320" s="549"/>
    </row>
    <row r="321" spans="3:3" x14ac:dyDescent="0.3">
      <c r="C321" s="549"/>
    </row>
    <row r="322" spans="3:3" x14ac:dyDescent="0.3">
      <c r="C322" s="549"/>
    </row>
    <row r="323" spans="3:3" x14ac:dyDescent="0.3">
      <c r="C323" s="549"/>
    </row>
    <row r="324" spans="3:3" x14ac:dyDescent="0.3">
      <c r="C324" s="549"/>
    </row>
    <row r="325" spans="3:3" x14ac:dyDescent="0.3">
      <c r="C325" s="549"/>
    </row>
    <row r="326" spans="3:3" x14ac:dyDescent="0.3">
      <c r="C326" s="549"/>
    </row>
    <row r="327" spans="3:3" x14ac:dyDescent="0.3">
      <c r="C327" s="549"/>
    </row>
    <row r="328" spans="3:3" x14ac:dyDescent="0.3">
      <c r="C328" s="549"/>
    </row>
    <row r="329" spans="3:3" x14ac:dyDescent="0.3">
      <c r="C329" s="549"/>
    </row>
    <row r="330" spans="3:3" x14ac:dyDescent="0.3">
      <c r="C330" s="549"/>
    </row>
    <row r="331" spans="3:3" x14ac:dyDescent="0.3">
      <c r="C331" s="549"/>
    </row>
    <row r="332" spans="3:3" x14ac:dyDescent="0.3">
      <c r="C332" s="549"/>
    </row>
    <row r="333" spans="3:3" x14ac:dyDescent="0.3">
      <c r="C333" s="549"/>
    </row>
    <row r="334" spans="3:3" x14ac:dyDescent="0.3">
      <c r="C334" s="549"/>
    </row>
    <row r="335" spans="3:3" x14ac:dyDescent="0.3">
      <c r="C335" s="549"/>
    </row>
    <row r="336" spans="3:3" x14ac:dyDescent="0.3">
      <c r="C336" s="549"/>
    </row>
    <row r="337" spans="3:3" x14ac:dyDescent="0.3">
      <c r="C337" s="549"/>
    </row>
    <row r="338" spans="3:3" x14ac:dyDescent="0.3">
      <c r="C338" s="549"/>
    </row>
    <row r="339" spans="3:3" x14ac:dyDescent="0.3">
      <c r="C339" s="549"/>
    </row>
    <row r="340" spans="3:3" x14ac:dyDescent="0.3">
      <c r="C340" s="549"/>
    </row>
    <row r="341" spans="3:3" x14ac:dyDescent="0.3">
      <c r="C341" s="549"/>
    </row>
    <row r="342" spans="3:3" x14ac:dyDescent="0.3">
      <c r="C342" s="549"/>
    </row>
    <row r="343" spans="3:3" x14ac:dyDescent="0.3">
      <c r="C343" s="549"/>
    </row>
    <row r="344" spans="3:3" x14ac:dyDescent="0.3">
      <c r="C344" s="549"/>
    </row>
    <row r="345" spans="3:3" x14ac:dyDescent="0.3">
      <c r="C345" s="549"/>
    </row>
    <row r="346" spans="3:3" x14ac:dyDescent="0.3">
      <c r="C346" s="549"/>
    </row>
    <row r="347" spans="3:3" x14ac:dyDescent="0.3">
      <c r="C347" s="549"/>
    </row>
    <row r="348" spans="3:3" x14ac:dyDescent="0.3">
      <c r="C348" s="549"/>
    </row>
    <row r="349" spans="3:3" x14ac:dyDescent="0.3">
      <c r="C349" s="549"/>
    </row>
    <row r="350" spans="3:3" x14ac:dyDescent="0.3">
      <c r="C350" s="549"/>
    </row>
    <row r="351" spans="3:3" x14ac:dyDescent="0.3">
      <c r="C351" s="549"/>
    </row>
    <row r="352" spans="3:3" x14ac:dyDescent="0.3">
      <c r="C352" s="549"/>
    </row>
    <row r="353" spans="3:3" x14ac:dyDescent="0.3">
      <c r="C353" s="549"/>
    </row>
    <row r="354" spans="3:3" x14ac:dyDescent="0.3">
      <c r="C354" s="549"/>
    </row>
    <row r="355" spans="3:3" x14ac:dyDescent="0.3">
      <c r="C355" s="549"/>
    </row>
    <row r="356" spans="3:3" x14ac:dyDescent="0.3">
      <c r="C356" s="549"/>
    </row>
    <row r="357" spans="3:3" x14ac:dyDescent="0.3">
      <c r="C357" s="549"/>
    </row>
    <row r="358" spans="3:3" x14ac:dyDescent="0.3">
      <c r="C358" s="549"/>
    </row>
    <row r="359" spans="3:3" x14ac:dyDescent="0.3">
      <c r="C359" s="549"/>
    </row>
    <row r="360" spans="3:3" x14ac:dyDescent="0.3">
      <c r="C360" s="549"/>
    </row>
    <row r="361" spans="3:3" x14ac:dyDescent="0.3">
      <c r="C361" s="549"/>
    </row>
    <row r="362" spans="3:3" x14ac:dyDescent="0.3">
      <c r="C362" s="549"/>
    </row>
    <row r="363" spans="3:3" x14ac:dyDescent="0.3">
      <c r="C363" s="549"/>
    </row>
    <row r="364" spans="3:3" x14ac:dyDescent="0.3">
      <c r="C364" s="549"/>
    </row>
    <row r="365" spans="3:3" x14ac:dyDescent="0.3">
      <c r="C365" s="549"/>
    </row>
    <row r="366" spans="3:3" x14ac:dyDescent="0.3">
      <c r="C366" s="549"/>
    </row>
    <row r="367" spans="3:3" x14ac:dyDescent="0.3">
      <c r="C367" s="549"/>
    </row>
    <row r="368" spans="3:3" x14ac:dyDescent="0.3">
      <c r="C368" s="549"/>
    </row>
    <row r="369" spans="3:3" x14ac:dyDescent="0.3">
      <c r="C369" s="549"/>
    </row>
    <row r="370" spans="3:3" x14ac:dyDescent="0.3">
      <c r="C370" s="549"/>
    </row>
    <row r="371" spans="3:3" x14ac:dyDescent="0.3">
      <c r="C371" s="549"/>
    </row>
    <row r="372" spans="3:3" x14ac:dyDescent="0.3">
      <c r="C372" s="549"/>
    </row>
    <row r="373" spans="3:3" x14ac:dyDescent="0.3">
      <c r="C373" s="549"/>
    </row>
    <row r="374" spans="3:3" x14ac:dyDescent="0.3">
      <c r="C374" s="549"/>
    </row>
    <row r="375" spans="3:3" x14ac:dyDescent="0.3">
      <c r="C375" s="549"/>
    </row>
    <row r="376" spans="3:3" x14ac:dyDescent="0.3">
      <c r="C376" s="549"/>
    </row>
    <row r="377" spans="3:3" x14ac:dyDescent="0.3">
      <c r="C377" s="549"/>
    </row>
    <row r="378" spans="3:3" x14ac:dyDescent="0.3">
      <c r="C378" s="549"/>
    </row>
    <row r="379" spans="3:3" x14ac:dyDescent="0.3">
      <c r="C379" s="549"/>
    </row>
    <row r="380" spans="3:3" x14ac:dyDescent="0.3">
      <c r="C380" s="549"/>
    </row>
    <row r="381" spans="3:3" x14ac:dyDescent="0.3">
      <c r="C381" s="549"/>
    </row>
    <row r="382" spans="3:3" x14ac:dyDescent="0.3">
      <c r="C382" s="549"/>
    </row>
    <row r="383" spans="3:3" x14ac:dyDescent="0.3">
      <c r="C383" s="549"/>
    </row>
    <row r="384" spans="3:3" x14ac:dyDescent="0.3">
      <c r="C384" s="549"/>
    </row>
    <row r="385" spans="3:3" x14ac:dyDescent="0.3">
      <c r="C385" s="549"/>
    </row>
    <row r="386" spans="3:3" x14ac:dyDescent="0.3">
      <c r="C386" s="549"/>
    </row>
    <row r="387" spans="3:3" x14ac:dyDescent="0.3">
      <c r="C387" s="549"/>
    </row>
    <row r="388" spans="3:3" x14ac:dyDescent="0.3">
      <c r="C388" s="549"/>
    </row>
    <row r="389" spans="3:3" x14ac:dyDescent="0.3">
      <c r="C389" s="549"/>
    </row>
    <row r="390" spans="3:3" x14ac:dyDescent="0.3">
      <c r="C390" s="549"/>
    </row>
    <row r="391" spans="3:3" x14ac:dyDescent="0.3">
      <c r="C391" s="549"/>
    </row>
    <row r="392" spans="3:3" x14ac:dyDescent="0.3">
      <c r="C392" s="549"/>
    </row>
    <row r="393" spans="3:3" x14ac:dyDescent="0.3">
      <c r="C393" s="549"/>
    </row>
    <row r="394" spans="3:3" x14ac:dyDescent="0.3">
      <c r="C394" s="549"/>
    </row>
    <row r="395" spans="3:3" x14ac:dyDescent="0.3">
      <c r="C395" s="549"/>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700-000019000000}">
          <x14:colorSeries rgb="FF7B1314"/>
          <x14:colorNegative rgb="FFD00000"/>
          <x14:colorAxis rgb="FF000000"/>
          <x14:colorMarkers rgb="FFD00000"/>
          <x14:colorFirst rgb="FFD00000"/>
          <x14:colorLast rgb="FFD00000"/>
          <x14:colorHigh rgb="FFD00000"/>
          <x14:colorLow rgb="FFD00000"/>
          <x14:sparklines>
            <x14:sparkline>
              <xm:f>Inputs!G121:P121</xm:f>
              <xm:sqref>F121</xm:sqref>
            </x14:sparkline>
          </x14:sparklines>
        </x14:sparklineGroup>
        <x14:sparklineGroup displayEmptyCellsAs="gap" xr2:uid="{00000000-0003-0000-0700-000018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gap" xr2:uid="{00000000-0003-0000-0700-000005000000}">
          <x14:colorSeries rgb="FF7B1314"/>
          <x14:colorNegative rgb="FFD00000"/>
          <x14:colorAxis rgb="FF000000"/>
          <x14:colorMarkers rgb="FFD00000"/>
          <x14:colorFirst rgb="FFD00000"/>
          <x14:colorLast rgb="FFD00000"/>
          <x14:colorHigh rgb="FFD00000"/>
          <x14:colorLow rgb="FFD00000"/>
          <x14:sparklines>
            <x14:sparkline>
              <xm:f>Inputs!G21:Q21</xm:f>
              <xm:sqref>F21</xm:sqref>
            </x14:sparkline>
          </x14:sparklines>
        </x14:sparklineGroup>
        <x14:sparklineGroup displayEmptyCellsAs="gap" xr2:uid="{00000000-0003-0000-0700-000006000000}">
          <x14:colorSeries rgb="FF7B1314"/>
          <x14:colorNegative rgb="FFD00000"/>
          <x14:colorAxis rgb="FF000000"/>
          <x14:colorMarkers rgb="FFD00000"/>
          <x14:colorFirst rgb="FFD00000"/>
          <x14:colorLast rgb="FFD00000"/>
          <x14:colorHigh rgb="FFD00000"/>
          <x14:colorLow rgb="FFD00000"/>
          <x14:sparklines>
            <x14:sparkline>
              <xm:f>Inputs!G20:Q20</xm:f>
              <xm:sqref>F20</xm:sqref>
            </x14:sparkline>
          </x14:sparklines>
        </x14:sparklineGroup>
        <x14:sparklineGroup displayEmptyCellsAs="gap" xr2:uid="{00000000-0003-0000-0700-000007000000}">
          <x14:colorSeries rgb="FF7B1314"/>
          <x14:colorNegative rgb="FFD00000"/>
          <x14:colorAxis rgb="FF000000"/>
          <x14:colorMarkers rgb="FFD00000"/>
          <x14:colorFirst rgb="FFD00000"/>
          <x14:colorLast rgb="FFD00000"/>
          <x14:colorHigh rgb="FFD00000"/>
          <x14:colorLow rgb="FFD00000"/>
          <x14:sparklines>
            <x14:sparkline>
              <xm:f>Inputs!G19:Q19</xm:f>
              <xm:sqref>F19</xm:sqref>
            </x14:sparkline>
          </x14:sparklines>
        </x14:sparklineGroup>
        <x14:sparklineGroup displayEmptyCellsAs="gap" xr2:uid="{00000000-0003-0000-0700-000008000000}">
          <x14:colorSeries rgb="FF7B1314"/>
          <x14:colorNegative rgb="FFD00000"/>
          <x14:colorAxis rgb="FF000000"/>
          <x14:colorMarkers rgb="FFD00000"/>
          <x14:colorFirst rgb="FFD00000"/>
          <x14:colorLast rgb="FFD00000"/>
          <x14:colorHigh rgb="FFD00000"/>
          <x14:colorLow rgb="FFD00000"/>
          <x14:sparklines>
            <x14:sparkline>
              <xm:f>Inputs!G28:Q28</xm:f>
              <xm:sqref>F28</xm:sqref>
            </x14:sparkline>
          </x14:sparklines>
        </x14:sparklineGroup>
        <x14:sparklineGroup displayEmptyCellsAs="gap" xr2:uid="{00000000-0003-0000-07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7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7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7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7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7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gap" xr2:uid="{00000000-0003-0000-07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700-000010000000}">
          <x14:colorSeries rgb="FF7B1314"/>
          <x14:colorNegative rgb="FFD00000"/>
          <x14:colorAxis rgb="FF000000"/>
          <x14:colorMarkers rgb="FFD00000"/>
          <x14:colorFirst rgb="FFD00000"/>
          <x14:colorLast rgb="FFD00000"/>
          <x14:colorHigh rgb="FFD00000"/>
          <x14:colorLow rgb="FFD00000"/>
          <x14:sparklines>
            <x14:sparkline>
              <xm:f>Inputs!G22:Q22</xm:f>
              <xm:sqref>F22</xm:sqref>
            </x14:sparkline>
          </x14:sparklines>
        </x14:sparklineGroup>
        <x14:sparklineGroup displayEmptyCellsAs="gap" xr2:uid="{00000000-0003-0000-07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700-000012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 displayEmptyCellsAs="gap" xr2:uid="{00000000-0003-0000-0700-000017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700-000016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700-000015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700-000014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700-00001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700-000004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700-000003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700-00001A000000}">
          <x14:colorSeries rgb="FF7B1314"/>
          <x14:colorNegative rgb="FFD00000"/>
          <x14:colorAxis rgb="FF000000"/>
          <x14:colorMarkers rgb="FFD00000"/>
          <x14:colorFirst rgb="FFD00000"/>
          <x14:colorLast rgb="FFD00000"/>
          <x14:colorHigh rgb="FFD00000"/>
          <x14:colorLow rgb="FFD00000"/>
          <x14:sparklines>
            <x14:sparkline>
              <xm:f>Inputs!G6:Q6</xm:f>
              <xm:sqref>F6</xm:sqref>
            </x14:sparkline>
          </x14:sparklines>
        </x14:sparklineGroup>
        <x14:sparklineGroup displayEmptyCellsAs="gap" xr2:uid="{00000000-0003-0000-07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s>
        </x14:sparklineGroup>
        <x14:sparklineGroup displayEmptyCellsAs="gap" xr2:uid="{00000000-0003-0000-0700-00001C000000}">
          <x14:colorSeries rgb="FF7B1314"/>
          <x14:colorNegative rgb="FFD00000"/>
          <x14:colorAxis rgb="FF000000"/>
          <x14:colorMarkers rgb="FFD00000"/>
          <x14:colorFirst rgb="FFD00000"/>
          <x14:colorLast rgb="FFD00000"/>
          <x14:colorHigh rgb="FFD00000"/>
          <x14:colorLow rgb="FFD00000"/>
          <x14:sparklines>
            <x14:sparkline>
              <xm:f>Inputs!G8:Q8</xm:f>
              <xm:sqref>F8</xm:sqref>
            </x14:sparkline>
          </x14:sparklines>
        </x14:sparklineGroup>
        <x14:sparklineGroup displayEmptyCellsAs="gap" xr2:uid="{00000000-0003-0000-0700-00001D000000}">
          <x14:colorSeries rgb="FF7B1314"/>
          <x14:colorNegative rgb="FFD00000"/>
          <x14:colorAxis rgb="FF000000"/>
          <x14:colorMarkers rgb="FFD00000"/>
          <x14:colorFirst rgb="FFD00000"/>
          <x14:colorLast rgb="FFD00000"/>
          <x14:colorHigh rgb="FFD00000"/>
          <x14:colorLow rgb="FFD00000"/>
          <x14:sparklines>
            <x14:sparkline>
              <xm:f>Inputs!G9:Q9</xm:f>
              <xm:sqref>F9</xm:sqref>
            </x14:sparkline>
          </x14:sparklines>
        </x14:sparklineGroup>
        <x14:sparklineGroup displayEmptyCellsAs="gap" xr2:uid="{00000000-0003-0000-0700-00001E000000}">
          <x14:colorSeries rgb="FF7B1314"/>
          <x14:colorNegative rgb="FFD00000"/>
          <x14:colorAxis rgb="FF000000"/>
          <x14:colorMarkers rgb="FFD00000"/>
          <x14:colorFirst rgb="FFD00000"/>
          <x14:colorLast rgb="FFD00000"/>
          <x14:colorHigh rgb="FFD00000"/>
          <x14:colorLow rgb="FFD00000"/>
          <x14:sparklines>
            <x14:sparkline>
              <xm:f>Inputs!G10:Q10</xm:f>
              <xm:sqref>F10</xm:sqref>
            </x14:sparkline>
          </x14:sparklines>
        </x14:sparklineGroup>
        <x14:sparklineGroup displayEmptyCellsAs="gap" xr2:uid="{00000000-0003-0000-0700-00001F000000}">
          <x14:colorSeries rgb="FF7B1314"/>
          <x14:colorNegative rgb="FFD00000"/>
          <x14:colorAxis rgb="FF000000"/>
          <x14:colorMarkers rgb="FFD00000"/>
          <x14:colorFirst rgb="FFD00000"/>
          <x14:colorLast rgb="FFD00000"/>
          <x14:colorHigh rgb="FFD00000"/>
          <x14:colorLow rgb="FFD00000"/>
          <x14:sparklines>
            <x14:sparkline>
              <xm:f>Inputs!G11:Q11</xm:f>
              <xm:sqref>F11</xm:sqref>
            </x14:sparkline>
          </x14:sparklines>
        </x14:sparklineGroup>
        <x14:sparklineGroup displayEmptyCellsAs="gap" xr2:uid="{00000000-0003-0000-0700-000020000000}">
          <x14:colorSeries rgb="FF7B1314"/>
          <x14:colorNegative rgb="FFD00000"/>
          <x14:colorAxis rgb="FF000000"/>
          <x14:colorMarkers rgb="FFD00000"/>
          <x14:colorFirst rgb="FFD00000"/>
          <x14:colorLast rgb="FFD00000"/>
          <x14:colorHigh rgb="FFD00000"/>
          <x14:colorLow rgb="FFD00000"/>
          <x14:sparklines>
            <x14:sparkline>
              <xm:f>Inputs!G12:Q12</xm:f>
              <xm:sqref>F12</xm:sqref>
            </x14:sparkline>
          </x14:sparklines>
        </x14:sparklineGroup>
        <x14:sparklineGroup displayEmptyCellsAs="gap" xr2:uid="{00000000-0003-0000-0700-000021000000}">
          <x14:colorSeries rgb="FF7B1314"/>
          <x14:colorNegative rgb="FFD00000"/>
          <x14:colorAxis rgb="FF000000"/>
          <x14:colorMarkers rgb="FFD00000"/>
          <x14:colorFirst rgb="FFD00000"/>
          <x14:colorLast rgb="FFD00000"/>
          <x14:colorHigh rgb="FFD00000"/>
          <x14:colorLow rgb="FFD00000"/>
          <x14:sparklines>
            <x14:sparkline>
              <xm:f>Inputs!G13:Q13</xm:f>
              <xm:sqref>F13</xm:sqref>
            </x14:sparkline>
          </x14:sparklines>
        </x14:sparklineGroup>
        <x14:sparklineGroup displayEmptyCellsAs="gap" xr2:uid="{00000000-0003-0000-07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gap" xr2:uid="{00000000-0003-0000-07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s>
        </x14:sparklineGroup>
        <x14:sparklineGroup displayEmptyCellsAs="gap" xr2:uid="{00000000-0003-0000-0700-000024000000}">
          <x14:colorSeries rgb="FF7B1314"/>
          <x14:colorNegative rgb="FFD00000"/>
          <x14:colorAxis rgb="FF000000"/>
          <x14:colorMarkers rgb="FFD00000"/>
          <x14:colorFirst rgb="FFD00000"/>
          <x14:colorLast rgb="FFD00000"/>
          <x14:colorHigh rgb="FFD00000"/>
          <x14:colorLow rgb="FFD00000"/>
          <x14:sparklines>
            <x14:sparkline>
              <xm:f>Inputs!G17:Q17</xm:f>
              <xm:sqref>F17</xm:sqref>
            </x14:sparkline>
          </x14:sparklines>
        </x14:sparklineGroup>
        <x14:sparklineGroup displayEmptyCellsAs="gap" xr2:uid="{00000000-0003-0000-0700-000025000000}">
          <x14:colorSeries rgb="FF7B1314"/>
          <x14:colorNegative rgb="FFD00000"/>
          <x14:colorAxis rgb="FF000000"/>
          <x14:colorMarkers rgb="FFD00000"/>
          <x14:colorFirst rgb="FFD00000"/>
          <x14:colorLast rgb="FFD00000"/>
          <x14:colorHigh rgb="FFD00000"/>
          <x14:colorLow rgb="FFD00000"/>
          <x14:sparklines>
            <x14:sparkline>
              <xm:f>Inputs!G18:Q18</xm:f>
              <xm:sqref>F18</xm:sqref>
            </x14:sparkline>
          </x14:sparklines>
        </x14:sparklineGroup>
        <x14:sparklineGroup displayEmptyCellsAs="gap" xr2:uid="{00000000-0003-0000-0700-000026000000}">
          <x14:colorSeries rgb="FF7B1314"/>
          <x14:colorNegative rgb="FFD00000"/>
          <x14:colorAxis rgb="FF000000"/>
          <x14:colorMarkers rgb="FFD00000"/>
          <x14:colorFirst rgb="FFD00000"/>
          <x14:colorLast rgb="FFD00000"/>
          <x14:colorHigh rgb="FFD00000"/>
          <x14:colorLow rgb="FFD00000"/>
          <x14:sparklines>
            <x14:sparkline>
              <xm:f>Inputs!G23:Q23</xm:f>
              <xm:sqref>F23</xm:sqref>
            </x14:sparkline>
          </x14:sparklines>
        </x14:sparklineGroup>
        <x14:sparklineGroup displayEmptyCellsAs="gap" xr2:uid="{00000000-0003-0000-0700-000027000000}">
          <x14:colorSeries rgb="FF7B1314"/>
          <x14:colorNegative rgb="FFD00000"/>
          <x14:colorAxis rgb="FF000000"/>
          <x14:colorMarkers rgb="FFD00000"/>
          <x14:colorFirst rgb="FFD00000"/>
          <x14:colorLast rgb="FFD00000"/>
          <x14:colorHigh rgb="FFD00000"/>
          <x14:colorLow rgb="FFD00000"/>
          <x14:sparklines>
            <x14:sparkline>
              <xm:f>Inputs!G24:Q24</xm:f>
              <xm:sqref>F24</xm:sqref>
            </x14:sparkline>
          </x14:sparklines>
        </x14:sparklineGroup>
        <x14:sparklineGroup displayEmptyCellsAs="gap" xr2:uid="{00000000-0003-0000-0700-000028000000}">
          <x14:colorSeries rgb="FF7B1314"/>
          <x14:colorNegative rgb="FFD00000"/>
          <x14:colorAxis rgb="FF000000"/>
          <x14:colorMarkers rgb="FFD00000"/>
          <x14:colorFirst rgb="FFD00000"/>
          <x14:colorLast rgb="FFD00000"/>
          <x14:colorHigh rgb="FFD00000"/>
          <x14:colorLow rgb="FFD00000"/>
          <x14:sparklines>
            <x14:sparkline>
              <xm:f>Inputs!G25:Q25</xm:f>
              <xm:sqref>F25</xm:sqref>
            </x14:sparkline>
          </x14:sparklines>
        </x14:sparklineGroup>
        <x14:sparklineGroup displayEmptyCellsAs="gap" xr2:uid="{00000000-0003-0000-0700-000029000000}">
          <x14:colorSeries rgb="FF7B1314"/>
          <x14:colorNegative rgb="FFD00000"/>
          <x14:colorAxis rgb="FF000000"/>
          <x14:colorMarkers rgb="FFD00000"/>
          <x14:colorFirst rgb="FFD00000"/>
          <x14:colorLast rgb="FFD00000"/>
          <x14:colorHigh rgb="FFD00000"/>
          <x14:colorLow rgb="FFD00000"/>
          <x14:sparklines>
            <x14:sparkline>
              <xm:f>Inputs!G26:Q26</xm:f>
              <xm:sqref>F26</xm:sqref>
            </x14:sparkline>
          </x14:sparklines>
        </x14:sparklineGroup>
        <x14:sparklineGroup displayEmptyCellsAs="gap" xr2:uid="{00000000-0003-0000-0700-00002A000000}">
          <x14:colorSeries rgb="FF7B1314"/>
          <x14:colorNegative rgb="FFD00000"/>
          <x14:colorAxis rgb="FF000000"/>
          <x14:colorMarkers rgb="FFD00000"/>
          <x14:colorFirst rgb="FFD00000"/>
          <x14:colorLast rgb="FFD00000"/>
          <x14:colorHigh rgb="FFD00000"/>
          <x14:colorLow rgb="FFD00000"/>
          <x14:sparklines>
            <x14:sparkline>
              <xm:f>Inputs!G27:Q27</xm:f>
              <xm:sqref>F27</xm:sqref>
            </x14:sparkline>
          </x14:sparklines>
        </x14:sparklineGroup>
        <x14:sparklineGroup displayEmptyCellsAs="gap" xr2:uid="{00000000-0003-0000-07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7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7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7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7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7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gap" xr2:uid="{00000000-0003-0000-07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s>
        </x14:sparklineGroup>
        <x14:sparklineGroup displayEmptyCellsAs="gap" xr2:uid="{00000000-0003-0000-0700-000032000000}">
          <x14:colorSeries rgb="FF7B1314"/>
          <x14:colorNegative rgb="FFD00000"/>
          <x14:colorAxis rgb="FF000000"/>
          <x14:colorMarkers rgb="FFD00000"/>
          <x14:colorFirst rgb="FFD00000"/>
          <x14:colorLast rgb="FFD00000"/>
          <x14:colorHigh rgb="FFD00000"/>
          <x14:colorLow rgb="FFD00000"/>
          <x14:sparklines>
            <x14:sparkline>
              <xm:f>Inputs!G40:Q40</xm:f>
              <xm:sqref>F40</xm:sqref>
            </x14:sparkline>
          </x14:sparklines>
        </x14:sparklineGroup>
        <x14:sparklineGroup displayEmptyCellsAs="gap" xr2:uid="{00000000-0003-0000-0700-000033000000}">
          <x14:colorSeries rgb="FF7B1314"/>
          <x14:colorNegative rgb="FFD00000"/>
          <x14:colorAxis rgb="FF000000"/>
          <x14:colorMarkers rgb="FFD00000"/>
          <x14:colorFirst rgb="FFD00000"/>
          <x14:colorLast rgb="FFD00000"/>
          <x14:colorHigh rgb="FFD00000"/>
          <x14:colorLow rgb="FFD00000"/>
          <x14:sparklines>
            <x14:sparkline>
              <xm:f>Inputs!G41:Q41</xm:f>
              <xm:sqref>F41</xm:sqref>
            </x14:sparkline>
          </x14:sparklines>
        </x14:sparklineGroup>
        <x14:sparklineGroup displayEmptyCellsAs="gap" xr2:uid="{00000000-0003-0000-07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7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7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7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7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7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7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7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7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7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7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7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7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7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7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7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gap" xr2:uid="{00000000-0003-0000-0700-000044000000}">
          <x14:colorSeries rgb="FF7B1314"/>
          <x14:colorNegative rgb="FFD00000"/>
          <x14:colorAxis rgb="FF000000"/>
          <x14:colorMarkers rgb="FFD00000"/>
          <x14:colorFirst rgb="FFD00000"/>
          <x14:colorLast rgb="FFD00000"/>
          <x14:colorHigh rgb="FFD00000"/>
          <x14:colorLow rgb="FFD00000"/>
          <x14:sparklines>
            <x14:sparkline>
              <xm:f>Inputs!G78:Q78</xm:f>
              <xm:sqref>F78</xm:sqref>
            </x14:sparkline>
          </x14:sparklines>
        </x14:sparklineGroup>
        <x14:sparklineGroup displayEmptyCellsAs="gap" xr2:uid="{00000000-0003-0000-0700-000045000000}">
          <x14:colorSeries rgb="FF7B1314"/>
          <x14:colorNegative rgb="FFD00000"/>
          <x14:colorAxis rgb="FF000000"/>
          <x14:colorMarkers rgb="FFD00000"/>
          <x14:colorFirst rgb="FFD00000"/>
          <x14:colorLast rgb="FFD00000"/>
          <x14:colorHigh rgb="FFD00000"/>
          <x14:colorLow rgb="FFD00000"/>
          <x14:sparklines>
            <x14:sparkline>
              <xm:f>Inputs!G77:Q77</xm:f>
              <xm:sqref>F77</xm:sqref>
            </x14:sparkline>
          </x14:sparklines>
        </x14:sparklineGroup>
        <x14:sparklineGroup displayEmptyCellsAs="gap" xr2:uid="{00000000-0003-0000-0700-000046000000}">
          <x14:colorSeries rgb="FF7B1314"/>
          <x14:colorNegative rgb="FFD00000"/>
          <x14:colorAxis rgb="FF000000"/>
          <x14:colorMarkers rgb="FFD00000"/>
          <x14:colorFirst rgb="FFD00000"/>
          <x14:colorLast rgb="FFD00000"/>
          <x14:colorHigh rgb="FFD00000"/>
          <x14:colorLow rgb="FFD00000"/>
          <x14:sparklines>
            <x14:sparkline>
              <xm:f>Inputs!G76:Q76</xm:f>
              <xm:sqref>F76</xm:sqref>
            </x14:sparkline>
          </x14:sparklines>
        </x14:sparklineGroup>
        <x14:sparklineGroup displayEmptyCellsAs="gap" xr2:uid="{00000000-0003-0000-0700-000047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s>
        </x14:sparklineGroup>
        <x14:sparklineGroup displayEmptyCellsAs="gap" xr2:uid="{00000000-0003-0000-0700-000048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gap" xr2:uid="{00000000-0003-0000-0700-000049000000}">
          <x14:colorSeries rgb="FF7B1314"/>
          <x14:colorNegative rgb="FFD00000"/>
          <x14:colorAxis rgb="FF000000"/>
          <x14:colorMarkers rgb="FFD00000"/>
          <x14:colorFirst rgb="FFD00000"/>
          <x14:colorLast rgb="FFD00000"/>
          <x14:colorHigh rgb="FFD00000"/>
          <x14:colorLow rgb="FFD00000"/>
          <x14:sparklines>
            <x14:sparkline>
              <xm:f>Inputs!G73:Q73</xm:f>
              <xm:sqref>F73</xm:sqref>
            </x14:sparkline>
          </x14:sparklines>
        </x14:sparklineGroup>
        <x14:sparklineGroup displayEmptyCellsAs="gap" xr2:uid="{00000000-0003-0000-0700-00004A000000}">
          <x14:colorSeries rgb="FF7B1314"/>
          <x14:colorNegative rgb="FFD00000"/>
          <x14:colorAxis rgb="FF000000"/>
          <x14:colorMarkers rgb="FFD00000"/>
          <x14:colorFirst rgb="FFD00000"/>
          <x14:colorLast rgb="FFD00000"/>
          <x14:colorHigh rgb="FFD00000"/>
          <x14:colorLow rgb="FFD00000"/>
          <x14:sparklines>
            <x14:sparkline>
              <xm:f>Inputs!G72:Q72</xm:f>
              <xm:sqref>F72</xm:sqref>
            </x14:sparkline>
          </x14:sparklines>
        </x14:sparklineGroup>
        <x14:sparklineGroup displayEmptyCellsAs="gap" xr2:uid="{00000000-0003-0000-0700-00004B000000}">
          <x14:colorSeries rgb="FF7B1314"/>
          <x14:colorNegative rgb="FFD00000"/>
          <x14:colorAxis rgb="FF000000"/>
          <x14:colorMarkers rgb="FFD00000"/>
          <x14:colorFirst rgb="FFD00000"/>
          <x14:colorLast rgb="FFD00000"/>
          <x14:colorHigh rgb="FFD00000"/>
          <x14:colorLow rgb="FFD00000"/>
          <x14:sparklines>
            <x14:sparkline>
              <xm:f>Inputs!G71:Q71</xm:f>
              <xm:sqref>F71</xm:sqref>
            </x14:sparkline>
          </x14:sparklines>
        </x14:sparklineGroup>
        <x14:sparklineGroup displayEmptyCellsAs="gap" xr2:uid="{00000000-0003-0000-0700-00004C000000}">
          <x14:colorSeries rgb="FF7B1314"/>
          <x14:colorNegative rgb="FFD00000"/>
          <x14:colorAxis rgb="FF000000"/>
          <x14:colorMarkers rgb="FFD00000"/>
          <x14:colorFirst rgb="FFD00000"/>
          <x14:colorLast rgb="FFD00000"/>
          <x14:colorHigh rgb="FFD00000"/>
          <x14:colorLow rgb="FFD00000"/>
          <x14:sparklines>
            <x14:sparkline>
              <xm:f>Inputs!G70:Q70</xm:f>
              <xm:sqref>F70</xm:sqref>
            </x14:sparkline>
          </x14:sparklines>
        </x14:sparklineGroup>
        <x14:sparklineGroup displayEmptyCellsAs="gap" xr2:uid="{00000000-0003-0000-0700-00004D000000}">
          <x14:colorSeries rgb="FF7B1314"/>
          <x14:colorNegative rgb="FFD00000"/>
          <x14:colorAxis rgb="FF000000"/>
          <x14:colorMarkers rgb="FFD00000"/>
          <x14:colorFirst rgb="FFD00000"/>
          <x14:colorLast rgb="FFD00000"/>
          <x14:colorHigh rgb="FFD00000"/>
          <x14:colorLow rgb="FFD00000"/>
          <x14:sparklines>
            <x14:sparkline>
              <xm:f>Inputs!G69:Q69</xm:f>
              <xm:sqref>F69</xm:sqref>
            </x14:sparkline>
          </x14:sparklines>
        </x14:sparklineGroup>
        <x14:sparklineGroup displayEmptyCellsAs="gap" xr2:uid="{00000000-0003-0000-07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s>
        </x14:sparklineGroup>
        <x14:sparklineGroup displayEmptyCellsAs="gap" xr2:uid="{00000000-0003-0000-07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7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gap" xr2:uid="{00000000-0003-0000-0700-000051000000}">
          <x14:colorSeries rgb="FF7B1314"/>
          <x14:colorNegative rgb="FFD00000"/>
          <x14:colorAxis rgb="FF000000"/>
          <x14:colorMarkers rgb="FFD00000"/>
          <x14:colorFirst rgb="FFD00000"/>
          <x14:colorLast rgb="FFD00000"/>
          <x14:colorHigh rgb="FFD00000"/>
          <x14:colorLow rgb="FFD00000"/>
          <x14:sparklines>
            <x14:sparkline>
              <xm:f>Inputs!G79:Q79</xm:f>
              <xm:sqref>F79</xm:sqref>
            </x14:sparkline>
          </x14:sparklines>
        </x14:sparklineGroup>
        <x14:sparklineGroup displayEmptyCellsAs="gap" xr2:uid="{00000000-0003-0000-0700-000052000000}">
          <x14:colorSeries rgb="FF7B1314"/>
          <x14:colorNegative rgb="FFD00000"/>
          <x14:colorAxis rgb="FF000000"/>
          <x14:colorMarkers rgb="FFD00000"/>
          <x14:colorFirst rgb="FFD00000"/>
          <x14:colorLast rgb="FFD00000"/>
          <x14:colorHigh rgb="FFD00000"/>
          <x14:colorLow rgb="FFD00000"/>
          <x14:sparklines>
            <x14:sparkline>
              <xm:f>Inputs!G80:Q80</xm:f>
              <xm:sqref>F80</xm:sqref>
            </x14:sparkline>
          </x14:sparklines>
        </x14:sparklineGroup>
        <x14:sparklineGroup displayEmptyCellsAs="gap" xr2:uid="{00000000-0003-0000-0700-000053000000}">
          <x14:colorSeries rgb="FF7B1314"/>
          <x14:colorNegative rgb="FFD00000"/>
          <x14:colorAxis rgb="FF000000"/>
          <x14:colorMarkers rgb="FFD00000"/>
          <x14:colorFirst rgb="FFD00000"/>
          <x14:colorLast rgb="FFD00000"/>
          <x14:colorHigh rgb="FFD00000"/>
          <x14:colorLow rgb="FFD00000"/>
          <x14:sparklines>
            <x14:sparkline>
              <xm:f>Inputs!G81:Q81</xm:f>
              <xm:sqref>F81</xm:sqref>
            </x14:sparkline>
          </x14:sparklines>
        </x14:sparklineGroup>
        <x14:sparklineGroup displayEmptyCellsAs="gap" xr2:uid="{00000000-0003-0000-0700-000054000000}">
          <x14:colorSeries rgb="FF7B1314"/>
          <x14:colorNegative rgb="FFD00000"/>
          <x14:colorAxis rgb="FF000000"/>
          <x14:colorMarkers rgb="FFD00000"/>
          <x14:colorFirst rgb="FFD00000"/>
          <x14:colorLast rgb="FFD00000"/>
          <x14:colorHigh rgb="FFD00000"/>
          <x14:colorLow rgb="FFD00000"/>
          <x14:sparklines>
            <x14:sparkline>
              <xm:f>Inputs!G82:Q82</xm:f>
              <xm:sqref>F82</xm:sqref>
            </x14:sparkline>
          </x14:sparklines>
        </x14:sparklineGroup>
        <x14:sparklineGroup displayEmptyCellsAs="gap" xr2:uid="{00000000-0003-0000-0700-000055000000}">
          <x14:colorSeries rgb="FF7B1314"/>
          <x14:colorNegative rgb="FFD00000"/>
          <x14:colorAxis rgb="FF000000"/>
          <x14:colorMarkers rgb="FFD00000"/>
          <x14:colorFirst rgb="FFD00000"/>
          <x14:colorLast rgb="FFD00000"/>
          <x14:colorHigh rgb="FFD00000"/>
          <x14:colorLow rgb="FFD00000"/>
          <x14:sparklines>
            <x14:sparkline>
              <xm:f>Inputs!G83:Q83</xm:f>
              <xm:sqref>F83</xm:sqref>
            </x14:sparkline>
          </x14:sparklines>
        </x14:sparklineGroup>
        <x14:sparklineGroup displayEmptyCellsAs="gap" xr2:uid="{00000000-0003-0000-0700-000056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gap" xr2:uid="{00000000-0003-0000-0700-000057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s>
        </x14:sparklineGroup>
        <x14:sparklineGroup displayEmptyCellsAs="gap" xr2:uid="{00000000-0003-0000-0700-000058000000}">
          <x14:colorSeries rgb="FF7B1314"/>
          <x14:colorNegative rgb="FFD00000"/>
          <x14:colorAxis rgb="FF000000"/>
          <x14:colorMarkers rgb="FFD00000"/>
          <x14:colorFirst rgb="FFD00000"/>
          <x14:colorLast rgb="FFD00000"/>
          <x14:colorHigh rgb="FFD00000"/>
          <x14:colorLow rgb="FFD00000"/>
          <x14:sparklines>
            <x14:sparkline>
              <xm:f>Inputs!G86:Q86</xm:f>
              <xm:sqref>F86</xm:sqref>
            </x14:sparkline>
          </x14:sparklines>
        </x14:sparklineGroup>
        <x14:sparklineGroup displayEmptyCellsAs="gap" xr2:uid="{00000000-0003-0000-0700-000059000000}">
          <x14:colorSeries rgb="FF7B1314"/>
          <x14:colorNegative rgb="FFD00000"/>
          <x14:colorAxis rgb="FF000000"/>
          <x14:colorMarkers rgb="FFD00000"/>
          <x14:colorFirst rgb="FFD00000"/>
          <x14:colorLast rgb="FFD00000"/>
          <x14:colorHigh rgb="FFD00000"/>
          <x14:colorLow rgb="FFD00000"/>
          <x14:sparklines>
            <x14:sparkline>
              <xm:f>Inputs!G87:Q87</xm:f>
              <xm:sqref>F87</xm:sqref>
            </x14:sparkline>
          </x14:sparklines>
        </x14:sparklineGroup>
        <x14:sparklineGroup displayEmptyCellsAs="gap" xr2:uid="{00000000-0003-0000-0700-00005A000000}">
          <x14:colorSeries rgb="FF7B1314"/>
          <x14:colorNegative rgb="FFD00000"/>
          <x14:colorAxis rgb="FF000000"/>
          <x14:colorMarkers rgb="FFD00000"/>
          <x14:colorFirst rgb="FFD00000"/>
          <x14:colorLast rgb="FFD00000"/>
          <x14:colorHigh rgb="FFD00000"/>
          <x14:colorLow rgb="FFD00000"/>
          <x14:sparklines>
            <x14:sparkline>
              <xm:f>Inputs!G88:Q88</xm:f>
              <xm:sqref>F88</xm:sqref>
            </x14:sparkline>
          </x14:sparklines>
        </x14:sparklineGroup>
        <x14:sparklineGroup displayEmptyCellsAs="gap" xr2:uid="{00000000-0003-0000-0700-00005B000000}">
          <x14:colorSeries rgb="FF7B1314"/>
          <x14:colorNegative rgb="FFD00000"/>
          <x14:colorAxis rgb="FF000000"/>
          <x14:colorMarkers rgb="FFD00000"/>
          <x14:colorFirst rgb="FFD00000"/>
          <x14:colorLast rgb="FFD00000"/>
          <x14:colorHigh rgb="FFD00000"/>
          <x14:colorLow rgb="FFD00000"/>
          <x14:sparklines>
            <x14:sparkline>
              <xm:f>Inputs!G89:Q89</xm:f>
              <xm:sqref>F89</xm:sqref>
            </x14:sparkline>
          </x14:sparklines>
        </x14:sparklineGroup>
        <x14:sparklineGroup displayEmptyCellsAs="gap" xr2:uid="{00000000-0003-0000-0700-00005C000000}">
          <x14:colorSeries rgb="FF7B1314"/>
          <x14:colorNegative rgb="FFD00000"/>
          <x14:colorAxis rgb="FF000000"/>
          <x14:colorMarkers rgb="FFD00000"/>
          <x14:colorFirst rgb="FFD00000"/>
          <x14:colorLast rgb="FFD00000"/>
          <x14:colorHigh rgb="FFD00000"/>
          <x14:colorLow rgb="FFD00000"/>
          <x14:sparklines>
            <x14:sparkline>
              <xm:f>Inputs!G90:Q90</xm:f>
              <xm:sqref>F90</xm:sqref>
            </x14:sparkline>
          </x14:sparklines>
        </x14:sparklineGroup>
        <x14:sparklineGroup displayEmptyCellsAs="gap" xr2:uid="{00000000-0003-0000-0700-00005D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700-00005E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700-00005F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700-000060000000}">
          <x14:colorSeries rgb="FF7B1314"/>
          <x14:colorNegative rgb="FFD00000"/>
          <x14:colorAxis rgb="FF000000"/>
          <x14:colorMarkers rgb="FFD00000"/>
          <x14:colorFirst rgb="FFD00000"/>
          <x14:colorLast rgb="FFD00000"/>
          <x14:colorHigh rgb="FFD00000"/>
          <x14:colorLow rgb="FFD00000"/>
          <x14:sparklines>
            <x14:sparkline>
              <xm:f>Inputs!G95:Q95</xm:f>
              <xm:sqref>F95</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pageSetUpPr autoPageBreaks="0"/>
  </sheetPr>
  <dimension ref="B2:N30"/>
  <sheetViews>
    <sheetView showGridLines="0" topLeftCell="A3" zoomScale="97" zoomScaleNormal="115" workbookViewId="0">
      <selection activeCell="J25" sqref="J25"/>
    </sheetView>
  </sheetViews>
  <sheetFormatPr defaultRowHeight="14" x14ac:dyDescent="0.3"/>
  <cols>
    <col min="1" max="1" width="2.25" customWidth="1"/>
    <col min="6" max="6" width="8.08203125" customWidth="1"/>
    <col min="7" max="7" width="14.25" customWidth="1"/>
    <col min="8" max="8" width="10.25" bestFit="1" customWidth="1"/>
    <col min="9" max="9" width="17.08203125" bestFit="1" customWidth="1"/>
    <col min="10" max="10" width="7.5" customWidth="1"/>
    <col min="12" max="12" width="10.25" customWidth="1"/>
    <col min="13" max="13" width="33" customWidth="1"/>
    <col min="14" max="14" width="14" customWidth="1"/>
    <col min="16" max="16" width="26.75" bestFit="1" customWidth="1"/>
    <col min="17" max="17" width="10.25" bestFit="1" customWidth="1"/>
    <col min="18" max="18" width="12.08203125" bestFit="1" customWidth="1"/>
  </cols>
  <sheetData>
    <row r="2" spans="2:14" s="31" customFormat="1" ht="20" x14ac:dyDescent="0.4">
      <c r="B2" s="34" t="s">
        <v>462</v>
      </c>
    </row>
    <row r="4" spans="2:14" x14ac:dyDescent="0.3">
      <c r="B4" t="s">
        <v>637</v>
      </c>
    </row>
    <row r="5" spans="2:14" x14ac:dyDescent="0.3">
      <c r="B5" t="s">
        <v>638</v>
      </c>
    </row>
    <row r="7" spans="2:14" x14ac:dyDescent="0.3">
      <c r="B7" s="2" t="s">
        <v>462</v>
      </c>
      <c r="C7" s="3"/>
      <c r="D7" s="3"/>
      <c r="E7" s="3"/>
      <c r="F7" s="3"/>
      <c r="G7" s="100"/>
      <c r="I7" s="2" t="s">
        <v>639</v>
      </c>
      <c r="J7" s="101" t="s">
        <v>103</v>
      </c>
      <c r="K7" s="101" t="s">
        <v>640</v>
      </c>
      <c r="M7" s="641" t="s">
        <v>199</v>
      </c>
      <c r="N7" s="642" t="s">
        <v>641</v>
      </c>
    </row>
    <row r="8" spans="2:14" ht="4.1500000000000004" customHeight="1" x14ac:dyDescent="0.3">
      <c r="B8" s="102"/>
      <c r="C8" s="103"/>
      <c r="D8" s="103"/>
      <c r="E8" s="103"/>
      <c r="F8" s="103"/>
      <c r="G8" s="104"/>
      <c r="I8" s="103"/>
      <c r="J8" s="105"/>
      <c r="K8" s="106"/>
      <c r="M8" s="643" t="s">
        <v>642</v>
      </c>
      <c r="N8" s="643"/>
    </row>
    <row r="9" spans="2:14" x14ac:dyDescent="0.3">
      <c r="B9" s="107" t="s">
        <v>643</v>
      </c>
      <c r="G9" s="919" cm="1">
        <f t="array" aca="1" ref="G9" ca="1">+_FV(DCF!R4,"Market cap",TRUE)/1000000000</f>
        <v>129802.8</v>
      </c>
      <c r="I9" t="str">
        <f>+Segments!B6</f>
        <v>South Korea</v>
      </c>
      <c r="J9" s="108">
        <f>+Segments!D6</f>
        <v>2.8766054390988768E-2</v>
      </c>
      <c r="K9" s="109">
        <v>4.99E-2</v>
      </c>
      <c r="M9" s="107" t="str">
        <f ca="1">+Peers!B8</f>
        <v>Samsung Electronics Co., Ltd.</v>
      </c>
      <c r="N9" s="645">
        <f ca="1">+Peers!E75</f>
        <v>1.0231584737434651</v>
      </c>
    </row>
    <row r="10" spans="2:14" x14ac:dyDescent="0.3">
      <c r="B10" t="s">
        <v>644</v>
      </c>
      <c r="G10" s="14">
        <f ca="1">IFERROR(G9/G23,"")</f>
        <v>0.8579949790529473</v>
      </c>
      <c r="I10" t="str">
        <f>+Segments!B7</f>
        <v>China</v>
      </c>
      <c r="J10" s="108">
        <f>+Segments!D7</f>
        <v>0.23467091283890507</v>
      </c>
      <c r="K10" s="109">
        <v>5.2699999999999997E-2</v>
      </c>
      <c r="M10" s="107" t="str">
        <f ca="1">+Peers!B9</f>
        <v>MICRON TECHNOLOGY, INC.</v>
      </c>
      <c r="N10" s="645">
        <f ca="1">+Peers!F75</f>
        <v>1.0152922252642931</v>
      </c>
    </row>
    <row r="11" spans="2:14" x14ac:dyDescent="0.3">
      <c r="B11" t="s">
        <v>645</v>
      </c>
      <c r="G11" s="26">
        <f ca="1">IFERROR(G12+G14*G15,"")</f>
        <v>8.100629905994218E-2</v>
      </c>
      <c r="I11" t="str">
        <f>+Segments!B8</f>
        <v>Asia (without China)</v>
      </c>
      <c r="J11" s="108">
        <f>+Segments!D8</f>
        <v>8.129929244730745E-2</v>
      </c>
      <c r="K11" s="109">
        <v>5.9499999999999997E-2</v>
      </c>
      <c r="M11" s="107" t="str">
        <f ca="1">+Peers!B10</f>
        <v>Kioxia Holdings Corporation</v>
      </c>
      <c r="N11" s="645">
        <f ca="1">+Peers!G75</f>
        <v>0.47803005188465031</v>
      </c>
    </row>
    <row r="12" spans="2:14" x14ac:dyDescent="0.3">
      <c r="B12" t="s">
        <v>646</v>
      </c>
      <c r="G12" s="110">
        <v>2.7E-2</v>
      </c>
      <c r="I12" t="str">
        <f>+Segments!B9</f>
        <v>United States</v>
      </c>
      <c r="J12" s="108">
        <f>+Segments!D9</f>
        <v>0.6339205308118161</v>
      </c>
      <c r="K12" s="109">
        <v>4.3299999999999998E-2</v>
      </c>
      <c r="M12" s="107" t="str">
        <f ca="1">+Peers!B11</f>
        <v>WESTERN DIGITAL CORPORATION</v>
      </c>
      <c r="N12" s="645">
        <f ca="1">+Peers!H75</f>
        <v>0.77695708450372081</v>
      </c>
    </row>
    <row r="13" spans="2:14" hidden="1" x14ac:dyDescent="0.3">
      <c r="B13" t="s">
        <v>647</v>
      </c>
      <c r="G13" s="111">
        <f ca="1">+N19</f>
        <v>0.82335945884903239</v>
      </c>
      <c r="I13" t="str">
        <f>+Segments!B10</f>
        <v>Europe</v>
      </c>
      <c r="J13" s="108">
        <f>+Segments!D10</f>
        <v>2.1343209510982664E-2</v>
      </c>
      <c r="K13" s="109">
        <v>5.1299999999999998E-2</v>
      </c>
      <c r="M13" s="107" t="str">
        <f>+Peers!B12</f>
        <v/>
      </c>
      <c r="N13" s="645" t="str">
        <f>+Peers!I75</f>
        <v/>
      </c>
    </row>
    <row r="14" spans="2:14" x14ac:dyDescent="0.3">
      <c r="B14" t="s">
        <v>38</v>
      </c>
      <c r="G14" s="787" cm="1">
        <f t="array" aca="1" ref="G14" ca="1">+_FV(DCF!R4,"Beta")</f>
        <v>1.1446000000000001</v>
      </c>
      <c r="I14" t="s">
        <v>69</v>
      </c>
      <c r="J14" s="26">
        <f>1-SUM(J9:J13)</f>
        <v>0</v>
      </c>
      <c r="K14" s="26">
        <f>MAX(K9:K13)</f>
        <v>5.9499999999999997E-2</v>
      </c>
      <c r="M14" s="107" t="str">
        <f>+Peers!B13</f>
        <v/>
      </c>
      <c r="N14" s="645" t="str">
        <f>+Peers!J75</f>
        <v/>
      </c>
    </row>
    <row r="15" spans="2:14" x14ac:dyDescent="0.3">
      <c r="B15" t="s">
        <v>648</v>
      </c>
      <c r="G15" s="361">
        <f>SUMPRODUCT(J9:J13,K9:K13)</f>
        <v>4.7183556753400469E-2</v>
      </c>
      <c r="J15" s="26"/>
      <c r="K15" s="26"/>
      <c r="M15" s="107" t="str">
        <f>+Peers!B14</f>
        <v/>
      </c>
      <c r="N15" s="645" t="str">
        <f>+Peers!K75</f>
        <v/>
      </c>
    </row>
    <row r="16" spans="2:14" x14ac:dyDescent="0.3">
      <c r="B16" s="1" t="s">
        <v>645</v>
      </c>
      <c r="G16" s="26">
        <f ca="1">IFERROR(+G12+G14*G15,"")</f>
        <v>8.100629905994218E-2</v>
      </c>
      <c r="I16" s="784"/>
      <c r="J16" s="785" t="s">
        <v>649</v>
      </c>
      <c r="K16" s="785" t="s">
        <v>640</v>
      </c>
      <c r="M16" s="107" t="str">
        <f>+Peers!B15</f>
        <v/>
      </c>
      <c r="N16" s="645" t="str">
        <f>+Peers!L75</f>
        <v/>
      </c>
    </row>
    <row r="17" spans="2:14" x14ac:dyDescent="0.3">
      <c r="I17" s="784" t="s">
        <v>650</v>
      </c>
      <c r="J17" s="784">
        <v>6.16</v>
      </c>
      <c r="K17" s="784">
        <v>4.33</v>
      </c>
      <c r="M17" s="107" t="str">
        <f>+Peers!B16</f>
        <v/>
      </c>
      <c r="N17" s="645" t="str">
        <f>+Peers!M75</f>
        <v/>
      </c>
    </row>
    <row r="18" spans="2:14" x14ac:dyDescent="0.3">
      <c r="B18" s="107" t="s">
        <v>651</v>
      </c>
      <c r="G18" s="112">
        <f>+Inputs!Q113</f>
        <v>21483.4</v>
      </c>
      <c r="I18" s="784" t="s">
        <v>652</v>
      </c>
      <c r="J18" s="784">
        <v>4.01</v>
      </c>
      <c r="K18" s="784">
        <v>5.13</v>
      </c>
      <c r="M18" s="107" t="str">
        <f>+Peers!B17</f>
        <v/>
      </c>
      <c r="N18" s="645" t="str">
        <f>+Peers!N75</f>
        <v/>
      </c>
    </row>
    <row r="19" spans="2:14" x14ac:dyDescent="0.3">
      <c r="B19" t="s">
        <v>488</v>
      </c>
      <c r="G19" s="14">
        <f ca="1">IFERROR(G18/G23,"")</f>
        <v>0.14200502094705267</v>
      </c>
      <c r="I19" s="784" t="s">
        <v>653</v>
      </c>
      <c r="J19" s="784">
        <v>1.67</v>
      </c>
      <c r="K19" s="784">
        <v>5.13</v>
      </c>
      <c r="M19" s="644" t="s">
        <v>206</v>
      </c>
      <c r="N19" s="646">
        <f ca="1">IFERROR(+AVERAGEIF(N9:N18,"&gt;0"),"")</f>
        <v>0.82335945884903239</v>
      </c>
    </row>
    <row r="20" spans="2:14" x14ac:dyDescent="0.3">
      <c r="B20" t="s">
        <v>654</v>
      </c>
      <c r="G20" s="110">
        <f>(Inputs!Q18)/(0.5*Inputs!Q113+0.5*Inputs!P113)</f>
        <v>5.5736135884798726E-2</v>
      </c>
      <c r="I20" s="784" t="s">
        <v>655</v>
      </c>
      <c r="J20" s="784">
        <v>1.51</v>
      </c>
      <c r="K20" s="784">
        <v>6.46</v>
      </c>
    </row>
    <row r="21" spans="2:14" x14ac:dyDescent="0.3">
      <c r="B21" t="s">
        <v>656</v>
      </c>
      <c r="G21" s="110">
        <v>0.25</v>
      </c>
      <c r="I21" s="784" t="s">
        <v>657</v>
      </c>
      <c r="J21" s="784">
        <v>1.37</v>
      </c>
      <c r="K21" s="784">
        <v>7.27</v>
      </c>
      <c r="M21" t="s">
        <v>658</v>
      </c>
    </row>
    <row r="22" spans="2:14" x14ac:dyDescent="0.3">
      <c r="I22" s="784" t="s">
        <v>108</v>
      </c>
      <c r="J22" s="784"/>
      <c r="K22" s="786">
        <f>(K17*J17+K18*J18+K19*J19+K20*J20+K21*J21)/K23</f>
        <v>5.1308220108695659</v>
      </c>
      <c r="M22" t="s">
        <v>659</v>
      </c>
    </row>
    <row r="23" spans="2:14" x14ac:dyDescent="0.3">
      <c r="B23" t="s">
        <v>109</v>
      </c>
      <c r="G23" s="21">
        <f ca="1">+G9+G18</f>
        <v>151286.20000000001</v>
      </c>
      <c r="I23" s="784"/>
      <c r="J23" s="784"/>
      <c r="K23" s="664">
        <f>SUM(J17:J21)</f>
        <v>14.719999999999999</v>
      </c>
      <c r="M23" t="s">
        <v>660</v>
      </c>
    </row>
    <row r="24" spans="2:14" x14ac:dyDescent="0.3">
      <c r="I24" s="784" t="s">
        <v>661</v>
      </c>
      <c r="J24" s="784">
        <v>3.95</v>
      </c>
      <c r="K24" s="784">
        <v>5.13</v>
      </c>
    </row>
    <row r="25" spans="2:14" x14ac:dyDescent="0.3">
      <c r="B25" t="s">
        <v>662</v>
      </c>
      <c r="G25" s="110">
        <v>0.02</v>
      </c>
      <c r="I25" s="784" t="s">
        <v>663</v>
      </c>
      <c r="J25" s="784">
        <v>3.45</v>
      </c>
      <c r="K25" s="784">
        <v>7.26</v>
      </c>
    </row>
    <row r="26" spans="2:14" x14ac:dyDescent="0.3">
      <c r="I26" s="784" t="s">
        <v>160</v>
      </c>
      <c r="J26" s="784">
        <v>4.4800000000000004</v>
      </c>
      <c r="K26" s="784">
        <v>5.27</v>
      </c>
    </row>
    <row r="27" spans="2:14" x14ac:dyDescent="0.3">
      <c r="B27" s="1" t="s">
        <v>462</v>
      </c>
      <c r="G27" s="113">
        <f ca="1">IFERROR(G10*G11+G19*G20*(1-G21)+G25,"")</f>
        <v>9.5439106222963338E-2</v>
      </c>
      <c r="I27" s="784" t="s">
        <v>664</v>
      </c>
      <c r="J27" s="784">
        <v>1.1000000000000001</v>
      </c>
      <c r="K27" s="784">
        <v>5.93</v>
      </c>
    </row>
    <row r="28" spans="2:14" x14ac:dyDescent="0.3">
      <c r="I28" s="784" t="s">
        <v>665</v>
      </c>
      <c r="J28" s="784">
        <v>0.74</v>
      </c>
      <c r="K28" s="784">
        <v>8.35</v>
      </c>
    </row>
    <row r="29" spans="2:14" x14ac:dyDescent="0.3">
      <c r="I29" s="784" t="s">
        <v>666</v>
      </c>
      <c r="J29" s="784"/>
      <c r="K29" s="786">
        <f>(K24*J24+K25*J25+K26*J26+K27*J27+K28*J28)/K30</f>
        <v>5.9491326530612243</v>
      </c>
    </row>
    <row r="30" spans="2:14" x14ac:dyDescent="0.3">
      <c r="K30" s="664">
        <f>SUM(J24:J28)</f>
        <v>13.72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B1:T76"/>
  <sheetViews>
    <sheetView showGridLines="0" zoomScaleNormal="100" workbookViewId="0">
      <selection activeCell="B78" sqref="B78"/>
    </sheetView>
  </sheetViews>
  <sheetFormatPr defaultRowHeight="14" x14ac:dyDescent="0.3"/>
  <cols>
    <col min="1" max="1" width="1.58203125" customWidth="1"/>
    <col min="2" max="2" width="15.58203125" style="8" customWidth="1"/>
    <col min="4" max="4" width="16.08203125" customWidth="1"/>
    <col min="5" max="13" width="13.25" customWidth="1"/>
    <col min="14" max="17" width="12.75" style="20" customWidth="1"/>
    <col min="18" max="18" width="12.75" customWidth="1"/>
  </cols>
  <sheetData>
    <row r="1" spans="2:19" x14ac:dyDescent="0.3">
      <c r="R1" s="20"/>
    </row>
    <row r="2" spans="2:19" s="231" customFormat="1" ht="20.25" customHeight="1" x14ac:dyDescent="0.4">
      <c r="B2" s="230" t="s">
        <v>667</v>
      </c>
      <c r="C2" s="449"/>
      <c r="D2" s="449"/>
      <c r="E2" s="449"/>
      <c r="F2" s="449"/>
      <c r="G2" s="449"/>
      <c r="H2" s="449"/>
      <c r="I2" s="449"/>
      <c r="J2" s="449"/>
      <c r="K2" s="449"/>
      <c r="L2" s="449"/>
      <c r="M2" s="449"/>
      <c r="N2" s="450"/>
      <c r="O2" s="450"/>
      <c r="P2" s="450"/>
      <c r="Q2" s="232"/>
      <c r="R2" s="232"/>
      <c r="S2" s="449"/>
    </row>
    <row r="3" spans="2:19" x14ac:dyDescent="0.3">
      <c r="R3" s="20"/>
    </row>
    <row r="4" spans="2:19" ht="15.5" x14ac:dyDescent="0.35">
      <c r="B4" s="7" t="s">
        <v>668</v>
      </c>
      <c r="C4" s="47"/>
      <c r="D4" s="49"/>
      <c r="E4" s="49"/>
      <c r="F4" s="343">
        <v>2014</v>
      </c>
      <c r="G4" s="343">
        <f t="shared" ref="G4:J4" si="0">+F4+1</f>
        <v>2015</v>
      </c>
      <c r="H4" s="343">
        <f t="shared" si="0"/>
        <v>2016</v>
      </c>
      <c r="I4" s="343">
        <f t="shared" si="0"/>
        <v>2017</v>
      </c>
      <c r="J4" s="343">
        <f t="shared" si="0"/>
        <v>2018</v>
      </c>
      <c r="K4" s="343">
        <f t="shared" ref="K4" si="1">+J4+1</f>
        <v>2019</v>
      </c>
      <c r="L4" s="343">
        <f t="shared" ref="L4" si="2">+K4+1</f>
        <v>2020</v>
      </c>
      <c r="M4" s="343">
        <f t="shared" ref="M4" si="3">+L4+1</f>
        <v>2021</v>
      </c>
      <c r="N4" s="343">
        <v>2022</v>
      </c>
      <c r="O4" s="343">
        <f t="shared" ref="O4" si="4">+N4+1</f>
        <v>2023</v>
      </c>
      <c r="P4" s="344">
        <f>+O4+1</f>
        <v>2024</v>
      </c>
      <c r="Q4" s="342">
        <f>+P4+1</f>
        <v>2025</v>
      </c>
      <c r="R4" s="342">
        <f>+Q4+1</f>
        <v>2026</v>
      </c>
    </row>
    <row r="5" spans="2:19" ht="4.1500000000000004" customHeight="1" x14ac:dyDescent="0.35">
      <c r="B5" s="233"/>
      <c r="C5" s="44"/>
      <c r="D5" s="51"/>
      <c r="E5" s="51"/>
      <c r="F5" s="51"/>
      <c r="G5" s="51"/>
      <c r="H5" s="51"/>
      <c r="I5" s="51"/>
      <c r="J5" s="51"/>
      <c r="K5" s="51"/>
      <c r="L5" s="51"/>
      <c r="M5" s="51"/>
      <c r="N5" s="208"/>
      <c r="O5" s="208"/>
      <c r="P5" s="324"/>
      <c r="Q5" s="208"/>
      <c r="R5" s="208"/>
    </row>
    <row r="6" spans="2:19" ht="15.5" x14ac:dyDescent="0.35">
      <c r="B6" s="12" t="s">
        <v>9</v>
      </c>
      <c r="F6" s="13">
        <f ca="1">IFERROR(_xlfn.XLOOKUP("Enterprise Value",Inputs!$B:$B,Inputs!G:G)/_xlfn.XLOOKUP("Revenue (Sales)",Inputs!$B:$B,Inputs!G:G),"")</f>
        <v>1.9544161956369415</v>
      </c>
      <c r="G6" s="13">
        <f ca="1">IFERROR(_xlfn.XLOOKUP("Enterprise Value",Inputs!$B:$B,Inputs!H:H)/_xlfn.XLOOKUP("Revenue (Sales)",Inputs!$B:$B,Inputs!H:H),"")</f>
        <v>1.1032088520055325</v>
      </c>
      <c r="H6" s="13">
        <f ca="1">IFERROR(_xlfn.XLOOKUP("Enterprise Value",Inputs!$B:$B,Inputs!I:I)/_xlfn.XLOOKUP("Revenue (Sales)",Inputs!$B:$B,Inputs!I:I),"")</f>
        <v>1.810902430515176</v>
      </c>
      <c r="I6" s="13">
        <f ca="1">IFERROR(_xlfn.XLOOKUP("Enterprise Value",Inputs!$B:$B,Inputs!J:J)/_xlfn.XLOOKUP("Revenue (Sales)",Inputs!$B:$B,Inputs!J:J),"")</f>
        <v>1.636850950201598</v>
      </c>
      <c r="J6" s="13">
        <f ca="1">IFERROR(_xlfn.XLOOKUP("Enterprise Value",Inputs!$B:$B,Inputs!K:K)/_xlfn.XLOOKUP("Revenue (Sales)",Inputs!$B:$B,Inputs!K:K),"")</f>
        <v>0.94872679261517467</v>
      </c>
      <c r="K6" s="13">
        <f ca="1">IFERROR(_xlfn.XLOOKUP("Enterprise Value",Inputs!$B:$B,Inputs!L:L)/_xlfn.XLOOKUP("Revenue (Sales)",Inputs!$B:$B,Inputs!L:L),"")</f>
        <v>2.6394054248315162</v>
      </c>
      <c r="L6" s="13">
        <f ca="1">IFERROR(_xlfn.XLOOKUP("Enterprise Value",Inputs!$B:$B,Inputs!M:M)/_xlfn.XLOOKUP("Revenue (Sales)",Inputs!$B:$B,Inputs!M:M),"")</f>
        <v>2.6550607515893221</v>
      </c>
      <c r="M6" s="13">
        <f ca="1">IFERROR(_xlfn.XLOOKUP("Enterprise Value",Inputs!$B:$B,Inputs!N:N)/_xlfn.XLOOKUP("Revenue (Sales)",Inputs!$B:$B,Inputs!N:N),"")</f>
        <v>2.2177227672113453</v>
      </c>
      <c r="N6" s="13">
        <f ca="1">IFERROR(_xlfn.XLOOKUP("Enterprise Value",Inputs!$B:$B,Inputs!O:O)/_xlfn.XLOOKUP("Revenue (Sales)",Inputs!$B:$B,Inputs!O:O),"")</f>
        <v>1.4951637771841439</v>
      </c>
      <c r="O6" s="13">
        <f ca="1">IFERROR(_xlfn.XLOOKUP("Enterprise Value",Inputs!$B:$B,Inputs!P:P)/_xlfn.XLOOKUP("Revenue (Sales)",Inputs!$B:$B,Inputs!P:P),"")</f>
        <v>3.523851161427956</v>
      </c>
      <c r="P6" s="322">
        <f ca="1">IFERROR(_xlfn.XLOOKUP("Enterprise Value",Inputs!$B:$B,Inputs!Q:Q)/_xlfn.XLOOKUP("Revenue (Sales)",Inputs!$B:$B,Inputs!Q:Q),"")</f>
        <v>1.9236570332210357</v>
      </c>
      <c r="Q6" s="329">
        <f ca="1">IFERROR(_xlfn.XLOOKUP("Enterprise Value",DCF!$B:$B,DCF!R:R)/_xlfn.XLOOKUP("Revenue (Sales)",DCF!$B:$B,DCF!H:H),"")</f>
        <v>2.7637354169381676</v>
      </c>
      <c r="R6" s="329">
        <f ca="1">IFERROR(_xlfn.XLOOKUP("Enterprise Value",DCF!$B:$B,DCF!S:S)/_xlfn.XLOOKUP("Revenue (Sales)",DCF!$B:$B,DCF!I:I),"")</f>
        <v>2.5429700214466764</v>
      </c>
    </row>
    <row r="7" spans="2:19" ht="15.5" x14ac:dyDescent="0.35">
      <c r="B7" s="15" t="s">
        <v>11</v>
      </c>
      <c r="F7" s="13">
        <f ca="1">IFERROR(_xlfn.XLOOKUP("Market Capitalization",Inputs!$B:$B,Inputs!G:G)/_xlfn.XLOOKUP("Revenue (Sales)",Inputs!$B:$B,Inputs!G:G),"")</f>
        <v>2.0025021021161304</v>
      </c>
      <c r="G7" s="13">
        <f ca="1">IFERROR(_xlfn.XLOOKUP("Market Capitalization",Inputs!$B:$B,Inputs!H:H)/_xlfn.XLOOKUP("Revenue (Sales)",Inputs!$B:$B,Inputs!H:H),"")</f>
        <v>1.1951867219917012</v>
      </c>
      <c r="H7" s="13">
        <f ca="1">IFERROR(_xlfn.XLOOKUP("Market Capitalization",Inputs!$B:$B,Inputs!I:I)/_xlfn.XLOOKUP("Revenue (Sales)",Inputs!$B:$B,Inputs!I:I),"")</f>
        <v>1.8349924409815095</v>
      </c>
      <c r="I7" s="13">
        <f ca="1">IFERROR(_xlfn.XLOOKUP("Market Capitalization",Inputs!$B:$B,Inputs!J:J)/_xlfn.XLOOKUP("Revenue (Sales)",Inputs!$B:$B,Inputs!J:J),"")</f>
        <v>1.7937587597228772</v>
      </c>
      <c r="J7" s="13">
        <f ca="1">IFERROR(_xlfn.XLOOKUP("Market Capitalization",Inputs!$B:$B,Inputs!K:K)/_xlfn.XLOOKUP("Revenue (Sales)",Inputs!$B:$B,Inputs!K:K),"")</f>
        <v>1.0445554591285471</v>
      </c>
      <c r="K7" s="13">
        <f ca="1">IFERROR(_xlfn.XLOOKUP("Market Capitalization",Inputs!$B:$B,Inputs!L:L)/_xlfn.XLOOKUP("Revenue (Sales)",Inputs!$B:$B,Inputs!L:L),"")</f>
        <v>2.3846880592203981</v>
      </c>
      <c r="L7" s="13">
        <f ca="1">IFERROR(_xlfn.XLOOKUP("Market Capitalization",Inputs!$B:$B,Inputs!M:M)/_xlfn.XLOOKUP("Revenue (Sales)",Inputs!$B:$B,Inputs!M:M),"")</f>
        <v>2.4872415392910434</v>
      </c>
      <c r="M7" s="13">
        <f ca="1">IFERROR(_xlfn.XLOOKUP("Market Capitalization",Inputs!$B:$B,Inputs!N:N)/_xlfn.XLOOKUP("Revenue (Sales)",Inputs!$B:$B,Inputs!N:N),"")</f>
        <v>2.027378144928345</v>
      </c>
      <c r="N7" s="13">
        <f ca="1">IFERROR(_xlfn.XLOOKUP("Market Capitalization",Inputs!$B:$B,Inputs!O:O)/_xlfn.XLOOKUP("Revenue (Sales)",Inputs!$B:$B,Inputs!O:O),"")</f>
        <v>1.1557183068289798</v>
      </c>
      <c r="O7" s="13">
        <f ca="1">IFERROR(_xlfn.XLOOKUP("Market Capitalization",Inputs!$B:$B,Inputs!P:P)/_xlfn.XLOOKUP("Revenue (Sales)",Inputs!$B:$B,Inputs!P:P),"")</f>
        <v>2.9715876663706253</v>
      </c>
      <c r="P7" s="322">
        <f ca="1">IFERROR(_xlfn.XLOOKUP("Market Capitalization",Inputs!$B:$B,Inputs!Q:Q)/_xlfn.XLOOKUP("Revenue (Sales)",Inputs!$B:$B,Inputs!Q:Q),"")</f>
        <v>1.8093292342090557</v>
      </c>
      <c r="Q7" s="329">
        <f ca="1">IFERROR(_xlfn.XLOOKUP("Equity Value",DCF!$B:$B,DCF!R:R)/_xlfn.XLOOKUP("Revenue (Sales)",DCF!$B:$B,DCF!H:H),"")</f>
        <v>2.5449300869362275</v>
      </c>
      <c r="R7" s="329">
        <f ca="1">IFERROR(_xlfn.XLOOKUP("Equity Value",DCF!$B:$B,DCF!S:S)/_xlfn.XLOOKUP("Revenue (Sales)",DCF!$B:$B,DCF!I:I),"")</f>
        <v>2.2047794819060025</v>
      </c>
    </row>
    <row r="8" spans="2:19" ht="15.5" x14ac:dyDescent="0.35">
      <c r="B8" s="234" t="s">
        <v>13</v>
      </c>
      <c r="F8" s="13">
        <f ca="1">IFERROR(_xlfn.XLOOKUP("Enterprise Value",Inputs!$B:$B,Inputs!G:G)/_xlfn.XLOOKUP("EBITDA",Inputs!$B:$B,Inputs!G:G),"")</f>
        <v>6.2617956297238671</v>
      </c>
      <c r="G8" s="13">
        <f ca="1">IFERROR(_xlfn.XLOOKUP("Enterprise Value",Inputs!$B:$B,Inputs!H:H)/_xlfn.XLOOKUP("EBITDA",Inputs!$B:$B,Inputs!H:H),"")</f>
        <v>3.6556470235681919</v>
      </c>
      <c r="H8" s="13">
        <f ca="1">IFERROR(_xlfn.XLOOKUP("Enterprise Value",Inputs!$B:$B,Inputs!I:I)/_xlfn.XLOOKUP("EBITDA",Inputs!$B:$B,Inputs!I:I),"")</f>
        <v>8.5302382908792111</v>
      </c>
      <c r="I8" s="13">
        <f ca="1">IFERROR(_xlfn.XLOOKUP("Enterprise Value",Inputs!$B:$B,Inputs!J:J)/_xlfn.XLOOKUP("EBITDA",Inputs!$B:$B,Inputs!J:J),"")</f>
        <v>3.4709420249028109</v>
      </c>
      <c r="J8" s="13">
        <f ca="1">IFERROR(_xlfn.XLOOKUP("Enterprise Value",Inputs!$B:$B,Inputs!K:K)/_xlfn.XLOOKUP("EBITDA",Inputs!$B:$B,Inputs!K:K),"")</f>
        <v>1.7888324281485279</v>
      </c>
      <c r="K8" s="13">
        <f ca="1">IFERROR(_xlfn.XLOOKUP("Enterprise Value",Inputs!$B:$B,Inputs!L:L)/_xlfn.XLOOKUP("EBITDA",Inputs!$B:$B,Inputs!L:L),"")</f>
        <v>19.717520066426786</v>
      </c>
      <c r="L8" s="13">
        <f ca="1">IFERROR(_xlfn.XLOOKUP("Enterprise Value",Inputs!$B:$B,Inputs!M:M)/_xlfn.XLOOKUP("EBITDA",Inputs!$B:$B,Inputs!M:M),"")</f>
        <v>14.167963065187935</v>
      </c>
      <c r="M8" s="13">
        <f ca="1">IFERROR(_xlfn.XLOOKUP("Enterprise Value",Inputs!$B:$B,Inputs!N:N)/_xlfn.XLOOKUP("EBITDA",Inputs!$B:$B,Inputs!N:N),"")</f>
        <v>7.2486317197762071</v>
      </c>
      <c r="N8" s="13">
        <f ca="1">IFERROR(_xlfn.XLOOKUP("Enterprise Value",Inputs!$B:$B,Inputs!O:O)/_xlfn.XLOOKUP("EBITDA",Inputs!$B:$B,Inputs!O:O),"")</f>
        <v>8.9088505501549005</v>
      </c>
      <c r="O8" s="13">
        <f ca="1">IFERROR(_xlfn.XLOOKUP("Enterprise Value",Inputs!$B:$B,Inputs!P:P)/_xlfn.XLOOKUP("EBITDA",Inputs!$B:$B,Inputs!P:P),"")</f>
        <v>-16.163600856746889</v>
      </c>
      <c r="P8" s="322">
        <f ca="1">IFERROR(_xlfn.XLOOKUP("Enterprise Value",Inputs!$B:$B,Inputs!Q:Q)/_xlfn.XLOOKUP("EBITDA",Inputs!$B:$B,Inputs!Q:Q),"")</f>
        <v>5.2995642402297429</v>
      </c>
      <c r="Q8" s="329">
        <f ca="1">IFERROR(_xlfn.XLOOKUP("Enterprise Value",DCF!$B:$B,DCF!R:R)/_xlfn.XLOOKUP("EBITDA",DCF!$B:$B,DCF!H:H),"")</f>
        <v>11.452242818247758</v>
      </c>
      <c r="R8" s="329">
        <f ca="1">IFERROR(_xlfn.XLOOKUP("Enterprise Value",DCF!$B:$B,DCF!S:S)/_xlfn.XLOOKUP("EBITDA",DCF!$B:$B,DCF!I:I),"")</f>
        <v>9.9819784088040127</v>
      </c>
    </row>
    <row r="9" spans="2:19" ht="15.5" x14ac:dyDescent="0.35">
      <c r="B9" s="234" t="s">
        <v>15</v>
      </c>
      <c r="F9" s="13">
        <f ca="1">IFERROR(_xlfn.XLOOKUP("Enterprise Value",Inputs!$B:$B,Inputs!G:G)/_xlfn.XLOOKUP("Operating Income (EBIT)",Inputs!$B:$B,Inputs!G:G),"")</f>
        <v>6.5414329548341739</v>
      </c>
      <c r="G9" s="13">
        <f ca="1">IFERROR(_xlfn.XLOOKUP("Enterprise Value",Inputs!$B:$B,Inputs!H:H)/_xlfn.XLOOKUP("Operating Income (EBIT)",Inputs!$B:$B,Inputs!H:H),"")</f>
        <v>3.8807814663722442</v>
      </c>
      <c r="H9" s="13">
        <f ca="1">IFERROR(_xlfn.XLOOKUP("Enterprise Value",Inputs!$B:$B,Inputs!I:I)/_xlfn.XLOOKUP("Operating Income (EBIT)",Inputs!$B:$B,Inputs!I:I),"")</f>
        <v>9.4774656888104438</v>
      </c>
      <c r="I9" s="13">
        <f ca="1">IFERROR(_xlfn.XLOOKUP("Enterprise Value",Inputs!$B:$B,Inputs!J:J)/_xlfn.XLOOKUP("Operating Income (EBIT)",Inputs!$B:$B,Inputs!J:J),"")</f>
        <v>3.5831618742956843</v>
      </c>
      <c r="J9" s="13">
        <f ca="1">IFERROR(_xlfn.XLOOKUP("Enterprise Value",Inputs!$B:$B,Inputs!K:K)/_xlfn.XLOOKUP("Operating Income (EBIT)",Inputs!$B:$B,Inputs!K:K),"")</f>
        <v>1.8378931789116719</v>
      </c>
      <c r="K9" s="13">
        <f ca="1">IFERROR(_xlfn.XLOOKUP("Enterprise Value",Inputs!$B:$B,Inputs!L:L)/_xlfn.XLOOKUP("Operating Income (EBIT)",Inputs!$B:$B,Inputs!L:L),"")</f>
        <v>26.198661370991456</v>
      </c>
      <c r="L9" s="13">
        <f ca="1">IFERROR(_xlfn.XLOOKUP("Enterprise Value",Inputs!$B:$B,Inputs!M:M)/_xlfn.XLOOKUP("Operating Income (EBIT)",Inputs!$B:$B,Inputs!M:M),"")</f>
        <v>16.896919762199257</v>
      </c>
      <c r="M9" s="13">
        <f ca="1">IFERROR(_xlfn.XLOOKUP("Enterprise Value",Inputs!$B:$B,Inputs!N:N)/_xlfn.XLOOKUP("Operating Income (EBIT)",Inputs!$B:$B,Inputs!N:N),"")</f>
        <v>7.6837143340612206</v>
      </c>
      <c r="N9" s="13">
        <f ca="1">IFERROR(_xlfn.XLOOKUP("Enterprise Value",Inputs!$B:$B,Inputs!O:O)/_xlfn.XLOOKUP("Operating Income (EBIT)",Inputs!$B:$B,Inputs!O:O),"")</f>
        <v>9.7977207977207996</v>
      </c>
      <c r="O9" s="13">
        <f ca="1">IFERROR(_xlfn.XLOOKUP("Enterprise Value",Inputs!$B:$B,Inputs!P:P)/_xlfn.XLOOKUP("Operating Income (EBIT)",Inputs!$B:$B,Inputs!P:P),"")</f>
        <v>-14.936025302701029</v>
      </c>
      <c r="P9" s="322">
        <f ca="1">IFERROR(_xlfn.XLOOKUP("Enterprise Value",Inputs!$B:$B,Inputs!Q:Q)/_xlfn.XLOOKUP("Operating Income (EBIT)",Inputs!$B:$B,Inputs!Q:Q),"")</f>
        <v>5.4259368315194711</v>
      </c>
      <c r="Q9" s="329">
        <f ca="1">IFERROR(_xlfn.XLOOKUP("Enterprise Value",DCF!$B:$B,DCF!R:R)/_xlfn.XLOOKUP("Operating Income (EBIT)",DCF!$B:$B,DCF!H:H),"")</f>
        <v>11.868305498904949</v>
      </c>
      <c r="R9" s="329">
        <f ca="1">IFERROR(_xlfn.XLOOKUP("Enterprise Value",DCF!$B:$B,DCF!S:S)/_xlfn.XLOOKUP("Operating Income (EBIT)",DCF!$B:$B,DCF!I:I),"")</f>
        <v>10.324852936644909</v>
      </c>
    </row>
    <row r="10" spans="2:19" ht="15.5" x14ac:dyDescent="0.35">
      <c r="B10" s="15" t="s">
        <v>17</v>
      </c>
      <c r="F10" s="13">
        <f ca="1">IFERROR(_xlfn.XLOOKUP("Market Capitalization",Inputs!$B:$B,Inputs!G:G)/_xlfn.XLOOKUP("Net Income",Inputs!$B:$B,Inputs!G:G),"")</f>
        <v>8.1747872517937648</v>
      </c>
      <c r="G10" s="13">
        <f ca="1">IFERROR(_xlfn.XLOOKUP("Market Capitalization",Inputs!$B:$B,Inputs!H:H)/_xlfn.XLOOKUP("Net Income",Inputs!$B:$B,Inputs!H:H),"")</f>
        <v>5.1963918956425195</v>
      </c>
      <c r="H10" s="13">
        <f ca="1">IFERROR(_xlfn.XLOOKUP("Market Capitalization",Inputs!$B:$B,Inputs!I:I)/_xlfn.XLOOKUP("Net Income",Inputs!$B:$B,Inputs!I:I),"")</f>
        <v>10.659393366209553</v>
      </c>
      <c r="I10" s="13">
        <f ca="1">IFERROR(_xlfn.XLOOKUP("Market Capitalization",Inputs!$B:$B,Inputs!J:J)/_xlfn.XLOOKUP("Net Income",Inputs!$B:$B,Inputs!J:J),"")</f>
        <v>5.0749368087725397</v>
      </c>
      <c r="J10" s="13">
        <f ca="1">IFERROR(_xlfn.XLOOKUP("Market Capitalization",Inputs!$B:$B,Inputs!K:K)/_xlfn.XLOOKUP("Net Income",Inputs!$B:$B,Inputs!K:K),"")</f>
        <v>2.7185718330523416</v>
      </c>
      <c r="K10" s="13">
        <f ca="1">IFERROR(_xlfn.XLOOKUP("Market Capitalization",Inputs!$B:$B,Inputs!L:L)/_xlfn.XLOOKUP("Net Income",Inputs!$B:$B,Inputs!L:L),"")</f>
        <v>32.036434224279503</v>
      </c>
      <c r="L10" s="13">
        <f ca="1">IFERROR(_xlfn.XLOOKUP("Market Capitalization",Inputs!$B:$B,Inputs!M:M)/_xlfn.XLOOKUP("Net Income",Inputs!$B:$B,Inputs!M:M),"")</f>
        <v>16.672760511882991</v>
      </c>
      <c r="M10" s="13">
        <f ca="1">IFERROR(_xlfn.XLOOKUP("Market Capitalization",Inputs!$B:$B,Inputs!N:N)/_xlfn.XLOOKUP("Net Income",Inputs!$B:$B,Inputs!N:N),"")</f>
        <v>9.065202470830469</v>
      </c>
      <c r="N10" s="13">
        <f ca="1">IFERROR(_xlfn.XLOOKUP("Market Capitalization",Inputs!$B:$B,Inputs!O:O)/_xlfn.XLOOKUP("Net Income",Inputs!$B:$B,Inputs!O:O),"")</f>
        <v>23.004862381228552</v>
      </c>
      <c r="O10" s="13">
        <f ca="1">IFERROR(_xlfn.XLOOKUP("Market Capitalization",Inputs!$B:$B,Inputs!P:P)/_xlfn.XLOOKUP("Net Income",Inputs!$B:$B,Inputs!P:P),"")</f>
        <v>-10.655549597268434</v>
      </c>
      <c r="P10" s="322">
        <f ca="1">IFERROR(_xlfn.XLOOKUP("Market Capitalization",Inputs!$B:$B,Inputs!Q:Q)/_xlfn.XLOOKUP("Net Income",Inputs!$B:$B,Inputs!Q:Q),"")</f>
        <v>6.0496198938228352</v>
      </c>
      <c r="Q10" s="329">
        <f ca="1">IFERROR(_xlfn.XLOOKUP("Equity Value",DCF!$B:$B,DCF!R:R)/_xlfn.XLOOKUP("Net Income",DCF!$B:$B,DCF!H:H),"")</f>
        <v>16.665113901338493</v>
      </c>
      <c r="R10" s="329">
        <f ca="1">IFERROR(_xlfn.XLOOKUP("Equity Value",DCF!$B:$B,DCF!S:S)/_xlfn.XLOOKUP("Net Income",DCF!$B:$B,DCF!I:I),"")</f>
        <v>12.147744567531314</v>
      </c>
    </row>
    <row r="11" spans="2:19" ht="15.5" x14ac:dyDescent="0.35">
      <c r="B11" s="234" t="s">
        <v>19</v>
      </c>
      <c r="F11" s="13">
        <f ca="1">IFERROR(_xlfn.XLOOKUP("Market Capitalization",Inputs!$B:$B,Inputs!G:G)/_xlfn.XLOOKUP("Shareholder's Equity",Inputs!$B:$B,Inputs!G:G),"")</f>
        <v>1.9013905290996493</v>
      </c>
      <c r="G11" s="13">
        <f ca="1">IFERROR(_xlfn.XLOOKUP("Market Capitalization",Inputs!$B:$B,Inputs!H:H)/_xlfn.XLOOKUP("Shareholder's Equity",Inputs!$B:$B,Inputs!H:H),"")</f>
        <v>1.0504691949110936</v>
      </c>
      <c r="H11" s="13">
        <f ca="1">IFERROR(_xlfn.XLOOKUP("Market Capitalization",Inputs!$B:$B,Inputs!I:I)/_xlfn.XLOOKUP("Shareholder's Equity",Inputs!$B:$B,Inputs!I:I),"")</f>
        <v>1.3136332606270502</v>
      </c>
      <c r="I11" s="13">
        <f ca="1">IFERROR(_xlfn.XLOOKUP("Market Capitalization",Inputs!$B:$B,Inputs!J:J)/_xlfn.XLOOKUP("Shareholder's Equity",Inputs!$B:$B,Inputs!J:J),"")</f>
        <v>1.596911968634779</v>
      </c>
      <c r="J11" s="13">
        <f ca="1">IFERROR(_xlfn.XLOOKUP("Market Capitalization",Inputs!$B:$B,Inputs!K:K)/_xlfn.XLOOKUP("Shareholder's Equity",Inputs!$B:$B,Inputs!K:K),"")</f>
        <v>0.90171112562483735</v>
      </c>
      <c r="K11" s="13">
        <f ca="1">IFERROR(_xlfn.XLOOKUP("Market Capitalization",Inputs!$B:$B,Inputs!L:L)/_xlfn.XLOOKUP("Shareholder's Equity",Inputs!$B:$B,Inputs!L:L),"")</f>
        <v>1.3427208891892908</v>
      </c>
      <c r="L11" s="13">
        <f ca="1">IFERROR(_xlfn.XLOOKUP("Market Capitalization",Inputs!$B:$B,Inputs!M:M)/_xlfn.XLOOKUP("Shareholder's Equity",Inputs!$B:$B,Inputs!M:M),"")</f>
        <v>1.5285181211001542</v>
      </c>
      <c r="M11" s="13">
        <f ca="1">IFERROR(_xlfn.XLOOKUP("Market Capitalization",Inputs!$B:$B,Inputs!N:N)/_xlfn.XLOOKUP("Shareholder's Equity",Inputs!$B:$B,Inputs!N:N),"")</f>
        <v>1.4016925251362333</v>
      </c>
      <c r="N11" s="13">
        <f ca="1">IFERROR(_xlfn.XLOOKUP("Market Capitalization",Inputs!$B:$B,Inputs!O:O)/_xlfn.XLOOKUP("Shareholder's Equity",Inputs!$B:$B,Inputs!O:O),"")</f>
        <v>0.81481422962371919</v>
      </c>
      <c r="O11" s="13">
        <f ca="1">IFERROR(_xlfn.XLOOKUP("Market Capitalization",Inputs!$B:$B,Inputs!P:P)/_xlfn.XLOOKUP("Shareholder's Equity",Inputs!$B:$B,Inputs!P:P),"")</f>
        <v>1.8197987806473552</v>
      </c>
      <c r="P11" s="322">
        <f ca="1">IFERROR(_xlfn.XLOOKUP("Market Capitalization",Inputs!$B:$B,Inputs!Q:Q)/_xlfn.XLOOKUP("Shareholder's Equity",Inputs!$B:$B,Inputs!Q:Q),"")</f>
        <v>1.6202908177829609</v>
      </c>
      <c r="Q11" s="329">
        <f ca="1">IFERROR(+_xlfn.XLOOKUP("Equity Value",DCF!$B:$B,DCF!R:R)/(_xlfn.XLOOKUP("Shareholder's Equity",Inputs!$B:$B,Inputs!$Q:$Q)+_xlfn.XLOOKUP("Net Income",DCF!$B:$B,DCF!H:H)+_xlfn.XLOOKUP("Total Payout",DCF!$B:$B,DCF!H:H)),"")</f>
        <v>2.3578344476240725</v>
      </c>
      <c r="R11" s="329">
        <f ca="1">IFERROR(+_xlfn.XLOOKUP("Equity Value",DCF!$B:$B,DCF!S:S)/(_xlfn.XLOOKUP("Shareholder's Equity",Inputs!$B:$B,Inputs!$Q:$Q)+_xlfn.XLOOKUP("Net Income",DCF!$B:$B,DCF!I:I)+_xlfn.XLOOKUP("Total Payout",DCF!$B:$B,DCF!I:I)),"")</f>
        <v>2.2618721457683018</v>
      </c>
    </row>
    <row r="12" spans="2:19" ht="8.25" customHeight="1" x14ac:dyDescent="0.35">
      <c r="B12" s="235"/>
      <c r="N12" s="236"/>
      <c r="O12" s="236"/>
      <c r="P12" s="325"/>
      <c r="Q12" s="330"/>
      <c r="R12" s="330"/>
    </row>
    <row r="13" spans="2:19" ht="15.5" x14ac:dyDescent="0.35">
      <c r="B13" s="7" t="s">
        <v>225</v>
      </c>
      <c r="C13" s="47"/>
      <c r="D13" s="49"/>
      <c r="E13" s="49"/>
      <c r="F13" s="343">
        <v>2014</v>
      </c>
      <c r="G13" s="343">
        <f t="shared" ref="G13" si="5">+F13+1</f>
        <v>2015</v>
      </c>
      <c r="H13" s="343">
        <f t="shared" ref="H13" si="6">+G13+1</f>
        <v>2016</v>
      </c>
      <c r="I13" s="343">
        <f t="shared" ref="I13" si="7">+H13+1</f>
        <v>2017</v>
      </c>
      <c r="J13" s="343">
        <f t="shared" ref="J13" si="8">+I13+1</f>
        <v>2018</v>
      </c>
      <c r="K13" s="343">
        <f t="shared" ref="K13" si="9">+J13+1</f>
        <v>2019</v>
      </c>
      <c r="L13" s="343">
        <f t="shared" ref="L13" si="10">+K13+1</f>
        <v>2020</v>
      </c>
      <c r="M13" s="343">
        <f t="shared" ref="M13" si="11">+L13+1</f>
        <v>2021</v>
      </c>
      <c r="N13" s="343">
        <v>2022</v>
      </c>
      <c r="O13" s="343">
        <f t="shared" ref="O13" si="12">+N13+1</f>
        <v>2023</v>
      </c>
      <c r="P13" s="344">
        <f>+O13+1</f>
        <v>2024</v>
      </c>
      <c r="Q13" s="342">
        <f>+P13+1</f>
        <v>2025</v>
      </c>
      <c r="R13" s="342">
        <f>+Q13+1</f>
        <v>2026</v>
      </c>
    </row>
    <row r="14" spans="2:19" ht="4.1500000000000004" customHeight="1" x14ac:dyDescent="0.35">
      <c r="B14" s="233"/>
      <c r="C14" s="44"/>
      <c r="D14" s="51"/>
      <c r="E14" s="51"/>
      <c r="F14" s="51"/>
      <c r="G14" s="51"/>
      <c r="H14" s="51"/>
      <c r="I14" s="51"/>
      <c r="J14" s="51"/>
      <c r="K14" s="51"/>
      <c r="L14" s="51"/>
      <c r="M14" s="51"/>
      <c r="N14" s="208"/>
      <c r="O14" s="208"/>
      <c r="P14" s="324"/>
      <c r="Q14" s="208"/>
      <c r="R14" s="208"/>
    </row>
    <row r="15" spans="2:19" ht="15.5" x14ac:dyDescent="0.35">
      <c r="B15" s="234" t="s">
        <v>29</v>
      </c>
      <c r="F15" s="238">
        <f>+IFERROR(_xlfn.XLOOKUP("Net Income",Inputs!$B:$B,Inputs!G:G)/_xlfn.XLOOKUP("Total Assets",Inputs!$B:$B,Inputs!G:G),"")</f>
        <v>0.15604855058716741</v>
      </c>
      <c r="G15" s="238">
        <f>+IFERROR(_xlfn.XLOOKUP("Net Income",Inputs!$B:$B,Inputs!H:H)/_xlfn.XLOOKUP("Total Assets",Inputs!$B:$B,Inputs!H:H),"")</f>
        <v>0.14568416228911077</v>
      </c>
      <c r="H15" s="238">
        <f>+IFERROR(_xlfn.XLOOKUP("Net Income",Inputs!$B:$B,Inputs!I:I)/_xlfn.XLOOKUP("Total Assets",Inputs!$B:$B,Inputs!I:I),"")</f>
        <v>9.1898435559970196E-2</v>
      </c>
      <c r="I15" s="238">
        <f>+IFERROR(_xlfn.XLOOKUP("Net Income",Inputs!$B:$B,Inputs!J:J)/_xlfn.XLOOKUP("Total Assets",Inputs!$B:$B,Inputs!J:J),"")</f>
        <v>0.23431692882179908</v>
      </c>
      <c r="J15" s="238">
        <f>+IFERROR(_xlfn.XLOOKUP("Net Income",Inputs!$B:$B,Inputs!K:K)/_xlfn.XLOOKUP("Total Assets",Inputs!$B:$B,Inputs!K:K),"")</f>
        <v>0.2441189915533403</v>
      </c>
      <c r="K15" s="238">
        <f>+IFERROR(_xlfn.XLOOKUP("Net Income",Inputs!$B:$B,Inputs!L:L)/_xlfn.XLOOKUP("Total Assets",Inputs!$B:$B,Inputs!L:L),"")</f>
        <v>3.0791606831135857E-2</v>
      </c>
      <c r="L15" s="238">
        <f>+IFERROR(_xlfn.XLOOKUP("Net Income",Inputs!$B:$B,Inputs!M:M)/_xlfn.XLOOKUP("Total Assets",Inputs!$B:$B,Inputs!M:M),"")</f>
        <v>6.6862993316370217E-2</v>
      </c>
      <c r="M15" s="238">
        <f>+IFERROR(_xlfn.XLOOKUP("Net Income",Inputs!$B:$B,Inputs!N:N)/_xlfn.XLOOKUP("Total Assets",Inputs!$B:$B,Inputs!N:N),"")</f>
        <v>9.9808400088845936E-2</v>
      </c>
      <c r="N15" s="238">
        <f>+IFERROR(_xlfn.XLOOKUP("Net Income",Inputs!$B:$B,Inputs!O:O)/_xlfn.XLOOKUP("Total Assets",Inputs!$B:$B,Inputs!O:O),"")</f>
        <v>2.1581473262636989E-2</v>
      </c>
      <c r="O15" s="238">
        <f>+IFERROR(_xlfn.XLOOKUP("Net Income",Inputs!$B:$B,Inputs!P:P)/_xlfn.XLOOKUP("Total Assets",Inputs!$B:$B,Inputs!P:P),"")</f>
        <v>-9.107526946024222E-2</v>
      </c>
      <c r="P15" s="326">
        <f>+IFERROR(_xlfn.XLOOKUP("Net Income",Inputs!$B:$B,Inputs!Q:Q)/_xlfn.XLOOKUP("Total Assets",Inputs!$B:$B,Inputs!Q:Q),"")</f>
        <v>0.16517514467457392</v>
      </c>
      <c r="Q15" s="331">
        <f>IFERROR(_xlfn.XLOOKUP("Net Income",DCF!$B:$B,DCF!H:H)/_xlfn.XLOOKUP("Total assets",DCF!$6:$6,DCF!10:10),"")</f>
        <v>0.10158014241827412</v>
      </c>
      <c r="R15" s="331">
        <f>IFERROR(_xlfn.XLOOKUP("Net Income",DCF!$B:$B,DCF!I:I)/_xlfn.XLOOKUP("Total assets",DCF!$6:$6,DCF!10:10),"")</f>
        <v>0.14102808861854654</v>
      </c>
      <c r="S15" s="16"/>
    </row>
    <row r="16" spans="2:19" ht="15.5" x14ac:dyDescent="0.35">
      <c r="B16" s="234" t="s">
        <v>31</v>
      </c>
      <c r="F16" s="238">
        <f>IFERROR(_xlfn.XLOOKUP("Net Income",Inputs!$B:$B,Inputs!G:G)/_xlfn.XLOOKUP("Shareholder's Equity",Inputs!$B:$B,Inputs!G:G),"")</f>
        <v>0.23259205047598441</v>
      </c>
      <c r="G16" s="238">
        <f>IFERROR(_xlfn.XLOOKUP("Net Income",Inputs!$B:$B,Inputs!H:H)/_xlfn.XLOOKUP("Shareholder's Equity",Inputs!$B:$B,Inputs!H:H),"")</f>
        <v>0.20215357425062069</v>
      </c>
      <c r="H16" s="238">
        <f>IFERROR(_xlfn.XLOOKUP("Net Income",Inputs!$B:$B,Inputs!I:I)/_xlfn.XLOOKUP("Shareholder's Equity",Inputs!$B:$B,Inputs!I:I),"")</f>
        <v>0.1232371501356999</v>
      </c>
      <c r="I16" s="238">
        <f>IFERROR(_xlfn.XLOOKUP("Net Income",Inputs!$B:$B,Inputs!J:J)/_xlfn.XLOOKUP("Shareholder's Equity",Inputs!$B:$B,Inputs!J:J),"")</f>
        <v>0.31466637493384264</v>
      </c>
      <c r="J16" s="238">
        <f>IFERROR(_xlfn.XLOOKUP("Net Income",Inputs!$B:$B,Inputs!K:K)/_xlfn.XLOOKUP("Shareholder's Equity",Inputs!$B:$B,Inputs!K:K),"")</f>
        <v>0.33168559854179741</v>
      </c>
      <c r="K16" s="238">
        <f>IFERROR(_xlfn.XLOOKUP("Net Income",Inputs!$B:$B,Inputs!L:L)/_xlfn.XLOOKUP("Shareholder's Equity",Inputs!$B:$B,Inputs!L:L),"")</f>
        <v>4.1912307711564255E-2</v>
      </c>
      <c r="L16" s="238">
        <f>IFERROR(_xlfn.XLOOKUP("Net Income",Inputs!$B:$B,Inputs!M:M)/_xlfn.XLOOKUP("Shareholder's Equity",Inputs!$B:$B,Inputs!M:M),"")</f>
        <v>9.167756713177462E-2</v>
      </c>
      <c r="M16" s="238">
        <f>IFERROR(_xlfn.XLOOKUP("Net Income",Inputs!$B:$B,Inputs!N:N)/_xlfn.XLOOKUP("Shareholder's Equity",Inputs!$B:$B,Inputs!N:N),"")</f>
        <v>0.15462341074526748</v>
      </c>
      <c r="N16" s="238">
        <f>IFERROR(_xlfn.XLOOKUP("Net Income",Inputs!$B:$B,Inputs!O:O)/_xlfn.XLOOKUP("Shareholder's Equity",Inputs!$B:$B,Inputs!O:O),"")</f>
        <v>3.5419217734099083E-2</v>
      </c>
      <c r="O16" s="238">
        <f>IFERROR(_xlfn.XLOOKUP("Net Income",Inputs!$B:$B,Inputs!P:P)/_xlfn.XLOOKUP("Shareholder's Equity",Inputs!$B:$B,Inputs!P:P),"")</f>
        <v>-0.17078413122058606</v>
      </c>
      <c r="P16" s="326">
        <f>IFERROR(_xlfn.XLOOKUP("Net Income",Inputs!$B:$B,Inputs!Q:Q)/_xlfn.XLOOKUP("Shareholder's Equity",Inputs!$B:$B,Inputs!Q:Q),"")</f>
        <v>0.26783349139627971</v>
      </c>
      <c r="Q16" s="331">
        <f>IFERROR(_xlfn.XLOOKUP("Net Income",DCF!$B:$B,DCF!H:H)/_xlfn.XLOOKUP("Shareholder's Equity",DCF!$6:$6,DCF!10:10),"")</f>
        <v>-1.0685163047996121E-15</v>
      </c>
      <c r="R16" s="331">
        <f>IFERROR(_xlfn.XLOOKUP("Net Income",DCF!$B:$B,DCF!I:I)/_xlfn.XLOOKUP("Shareholder's Equity",DCF!$6:$6,DCF!10:10),"")</f>
        <v>-1.48346722633195E-15</v>
      </c>
      <c r="S16" s="16"/>
    </row>
    <row r="17" spans="2:19" ht="15.5" x14ac:dyDescent="0.35">
      <c r="B17" s="234" t="s">
        <v>33</v>
      </c>
      <c r="F17" s="238">
        <f>IFERROR(_xlfn.XLOOKUP("NOPAT",Inputs!$B:$B,Inputs!G:G)/(_xlfn.XLOOKUP("Shareholder's Equity",Inputs!$B:$B,Inputs!G:G)+_xlfn.XLOOKUP("Total Debt",Inputs!$B:$B,Inputs!G:G,,,-1)),"")</f>
        <v>0.20068378555458125</v>
      </c>
      <c r="G17" s="238">
        <f>IFERROR(_xlfn.XLOOKUP("NOPAT",Inputs!$B:$B,Inputs!H:H)/(_xlfn.XLOOKUP("Shareholder's Equity",Inputs!$B:$B,Inputs!H:H)+_xlfn.XLOOKUP("Total Debt",Inputs!$B:$B,Inputs!H:H,,,-1)),"")</f>
        <v>0.1801459135282687</v>
      </c>
      <c r="H17" s="238">
        <f>IFERROR(_xlfn.XLOOKUP("NOPAT",Inputs!$B:$B,Inputs!I:I)/(_xlfn.XLOOKUP("Shareholder's Equity",Inputs!$B:$B,Inputs!I:I)+_xlfn.XLOOKUP("Total Debt",Inputs!$B:$B,Inputs!I:I,,,-1)),"")</f>
        <v>0.10936906542655253</v>
      </c>
      <c r="I17" s="238">
        <f>IFERROR(_xlfn.XLOOKUP("NOPAT",Inputs!$B:$B,Inputs!J:J)/(_xlfn.XLOOKUP("Shareholder's Equity",Inputs!$B:$B,Inputs!J:J)+_xlfn.XLOOKUP("Total Debt",Inputs!$B:$B,Inputs!J:J,,,-1)),"")</f>
        <v>0.29113437305542494</v>
      </c>
      <c r="J17" s="238">
        <f>IFERROR(_xlfn.XLOOKUP("NOPAT",Inputs!$B:$B,Inputs!K:K)/(_xlfn.XLOOKUP("Shareholder's Equity",Inputs!$B:$B,Inputs!K:K)+_xlfn.XLOOKUP("Total Debt",Inputs!$B:$B,Inputs!K:K,,,-1)),"")</f>
        <v>0.29747884705724476</v>
      </c>
      <c r="K17" s="238">
        <f>IFERROR(_xlfn.XLOOKUP("NOPAT",Inputs!$B:$B,Inputs!L:L)/(_xlfn.XLOOKUP("Shareholder's Equity",Inputs!$B:$B,Inputs!L:L)+_xlfn.XLOOKUP("Total Debt",Inputs!$B:$B,Inputs!L:L,,,-1)),"")</f>
        <v>3.8350945279353295E-2</v>
      </c>
      <c r="L17" s="238">
        <f>IFERROR(_xlfn.XLOOKUP("NOPAT",Inputs!$B:$B,Inputs!M:M)/(_xlfn.XLOOKUP("Shareholder's Equity",Inputs!$B:$B,Inputs!M:M)+_xlfn.XLOOKUP("Total Debt",Inputs!$B:$B,Inputs!M:M,,,-1)),"")</f>
        <v>6.1817931731734756E-2</v>
      </c>
      <c r="M17" s="238">
        <f>IFERROR(_xlfn.XLOOKUP("NOPAT",Inputs!$B:$B,Inputs!N:N)/(_xlfn.XLOOKUP("Shareholder's Equity",Inputs!$B:$B,Inputs!N:N)+_xlfn.XLOOKUP("Total Debt",Inputs!$B:$B,Inputs!N:N,,,-1)),"")</f>
        <v>0.1130384161446155</v>
      </c>
      <c r="N17" s="238">
        <f>IFERROR(_xlfn.XLOOKUP("NOPAT",Inputs!$B:$B,Inputs!O:O)/(_xlfn.XLOOKUP("Shareholder's Equity",Inputs!$B:$B,Inputs!O:O)+_xlfn.XLOOKUP("Total Debt",Inputs!$B:$B,Inputs!O:O,,,-1)),"")</f>
        <v>4.5134154863968531E-2</v>
      </c>
      <c r="O17" s="238">
        <f>IFERROR(_xlfn.XLOOKUP("NOPAT",Inputs!$B:$B,Inputs!P:P)/(_xlfn.XLOOKUP("Shareholder's Equity",Inputs!$B:$B,Inputs!P:P)+_xlfn.XLOOKUP("Total Debt",Inputs!$B:$B,Inputs!P:P,,,-1)),"")</f>
        <v>-7.5465514873932799E-2</v>
      </c>
      <c r="P17" s="326">
        <f>IFERROR(_xlfn.XLOOKUP("NOPAT",Inputs!$B:$B,Inputs!Q:Q)/(_xlfn.XLOOKUP("Shareholder's Equity",Inputs!$B:$B,Inputs!Q:Q)+_xlfn.XLOOKUP("Total Debt",Inputs!$B:$B,Inputs!Q:Q,,,-1)),"")</f>
        <v>0.2038862500645762</v>
      </c>
      <c r="Q17" s="331">
        <f ca="1">+IFERROR(_xlfn.XLOOKUP("NOPAT",DCF!$B:$B,DCF!H:H)/(_xlfn.XLOOKUP("Shareholder's Equity",DCF!$6:$6,DCF!10:10)+_xlfn.XLOOKUP("Total Borrowings",DCF!$B:$B,DCF!H:H)+_xlfn.XLOOKUP("Total Leases",DCF!$B:$B,DCF!H:H)),"")</f>
        <v>-1.1800366175620267E-15</v>
      </c>
      <c r="R17" s="331">
        <f ca="1">+IFERROR(_xlfn.XLOOKUP("NOPAT",DCF!$B:$B,DCF!I:I)/(_xlfn.XLOOKUP("Shareholder's Equity",DCF!$6:$6,DCF!10:10)+_xlfn.XLOOKUP("Total Borrowings",DCF!$B:$B,DCF!I:I)+_xlfn.XLOOKUP("Total Leases",DCF!$B:$B,DCF!I:I)),"")</f>
        <v>-1.568120218178781E-15</v>
      </c>
      <c r="S17" s="114"/>
    </row>
    <row r="18" spans="2:19" ht="15.5" x14ac:dyDescent="0.35">
      <c r="B18" s="237" t="s">
        <v>35</v>
      </c>
      <c r="F18" s="238">
        <f>+IFERROR(_xlfn.XLOOKUP("EBITDA",Inputs!$B:$B,Inputs!G:G)/_xlfn.XLOOKUP("Revenue (Sales)",Inputs!$B:$B,Inputs!G:G),"")</f>
        <v>0.31211753164852607</v>
      </c>
      <c r="G18" s="238">
        <f>+IFERROR(_xlfn.XLOOKUP("EBITDA",Inputs!$B:$B,Inputs!H:H)/_xlfn.XLOOKUP("Revenue (Sales)",Inputs!$B:$B,Inputs!H:H),"")</f>
        <v>0.30178210447919995</v>
      </c>
      <c r="H18" s="238">
        <f>+IFERROR(_xlfn.XLOOKUP("EBITDA",Inputs!$B:$B,Inputs!I:I)/_xlfn.XLOOKUP("Revenue (Sales)",Inputs!$B:$B,Inputs!I:I),"")</f>
        <v>0.21229212699151065</v>
      </c>
      <c r="I18" s="238">
        <f>+IFERROR(_xlfn.XLOOKUP("EBITDA",Inputs!$B:$B,Inputs!J:J)/_xlfn.XLOOKUP("Revenue (Sales)",Inputs!$B:$B,Inputs!J:J),"")</f>
        <v>0.47158694626927145</v>
      </c>
      <c r="J18" s="238">
        <f>+IFERROR(_xlfn.XLOOKUP("EBITDA",Inputs!$B:$B,Inputs!K:K)/_xlfn.XLOOKUP("Revenue (Sales)",Inputs!$B:$B,Inputs!K:K),"")</f>
        <v>0.53036090898526644</v>
      </c>
      <c r="K18" s="238">
        <f>+IFERROR(_xlfn.XLOOKUP("EBITDA",Inputs!$B:$B,Inputs!L:L)/_xlfn.XLOOKUP("Revenue (Sales)",Inputs!$B:$B,Inputs!L:L),"")</f>
        <v>0.13386092246588643</v>
      </c>
      <c r="L18" s="238">
        <f>+IFERROR(_xlfn.XLOOKUP("EBITDA",Inputs!$B:$B,Inputs!M:M)/_xlfn.XLOOKUP("Revenue (Sales)",Inputs!$B:$B,Inputs!M:M),"")</f>
        <v>0.18739890408897697</v>
      </c>
      <c r="M18" s="238">
        <f>+IFERROR(_xlfn.XLOOKUP("EBITDA",Inputs!$B:$B,Inputs!N:N)/_xlfn.XLOOKUP("Revenue (Sales)",Inputs!$B:$B,Inputs!N:N),"")</f>
        <v>0.30595053700421893</v>
      </c>
      <c r="N18" s="238">
        <f>+IFERROR(_xlfn.XLOOKUP("EBITDA",Inputs!$B:$B,Inputs!O:O)/_xlfn.XLOOKUP("Revenue (Sales)",Inputs!$B:$B,Inputs!O:O),"")</f>
        <v>0.16782903347257824</v>
      </c>
      <c r="O18" s="238">
        <f>+IFERROR(_xlfn.XLOOKUP("EBITDA",Inputs!$B:$B,Inputs!P:P)/_xlfn.XLOOKUP("Revenue (Sales)",Inputs!$B:$B,Inputs!P:P),"")</f>
        <v>-0.2180115181424476</v>
      </c>
      <c r="P18" s="326">
        <f>+IFERROR(_xlfn.XLOOKUP("EBITDA",Inputs!$B:$B,Inputs!Q:Q)/_xlfn.XLOOKUP("Revenue (Sales)",Inputs!$B:$B,Inputs!Q:Q),"")</f>
        <v>0.36298400132944564</v>
      </c>
      <c r="Q18" s="331">
        <f>+_xlfn.XLOOKUP("EBITDA Margin",DCF!$B:$B,DCF!H:H)</f>
        <v>0.24132700125205964</v>
      </c>
      <c r="R18" s="331">
        <f>+_xlfn.XLOOKUP("EBITDA Margin",DCF!$B:$B,DCF!I:I)</f>
        <v>0.25475611319733976</v>
      </c>
      <c r="S18" s="25"/>
    </row>
    <row r="19" spans="2:19" ht="15.5" x14ac:dyDescent="0.35">
      <c r="B19" s="15" t="s">
        <v>24</v>
      </c>
      <c r="F19" s="238">
        <f>IFERROR(_xlfn.XLOOKUP("Operating Income (EBIT)",Inputs!$B:$B,Inputs!G:G)/_xlfn.XLOOKUP("Revenue (Sales)",Inputs!$B:$B,Inputs!G:G),"")</f>
        <v>0.29877493343298911</v>
      </c>
      <c r="G19" s="238">
        <f>IFERROR(_xlfn.XLOOKUP("Operating Income (EBIT)",Inputs!$B:$B,Inputs!H:H)/_xlfn.XLOOKUP("Revenue (Sales)",Inputs!$B:$B,Inputs!H:H),"")</f>
        <v>0.28427492286413447</v>
      </c>
      <c r="H19" s="238">
        <f>IFERROR(_xlfn.XLOOKUP("Operating Income (EBIT)",Inputs!$B:$B,Inputs!I:I)/_xlfn.XLOOKUP("Revenue (Sales)",Inputs!$B:$B,Inputs!I:I),"")</f>
        <v>0.19107454355157577</v>
      </c>
      <c r="I19" s="238">
        <f>IFERROR(_xlfn.XLOOKUP("Operating Income (EBIT)",Inputs!$B:$B,Inputs!J:J)/_xlfn.XLOOKUP("Revenue (Sales)",Inputs!$B:$B,Inputs!J:J),"")</f>
        <v>0.45681747228440289</v>
      </c>
      <c r="J19" s="238">
        <f>IFERROR(_xlfn.XLOOKUP("Operating Income (EBIT)",Inputs!$B:$B,Inputs!K:K)/_xlfn.XLOOKUP("Revenue (Sales)",Inputs!$B:$B,Inputs!K:K),"")</f>
        <v>0.51620344615293334</v>
      </c>
      <c r="K19" s="238">
        <f>IFERROR(_xlfn.XLOOKUP("Operating Income (EBIT)",Inputs!$B:$B,Inputs!L:L)/_xlfn.XLOOKUP("Revenue (Sales)",Inputs!$B:$B,Inputs!L:L),"")</f>
        <v>0.10074581244650942</v>
      </c>
      <c r="L19" s="238">
        <f>IFERROR(_xlfn.XLOOKUP("Operating Income (EBIT)",Inputs!$B:$B,Inputs!M:M)/_xlfn.XLOOKUP("Revenue (Sales)",Inputs!$B:$B,Inputs!M:M),"")</f>
        <v>0.15713282592067815</v>
      </c>
      <c r="M19" s="238">
        <f>IFERROR(_xlfn.XLOOKUP("Operating Income (EBIT)",Inputs!$B:$B,Inputs!N:N)/_xlfn.XLOOKUP("Revenue (Sales)",Inputs!$B:$B,Inputs!N:N),"")</f>
        <v>0.28862639483880581</v>
      </c>
      <c r="N19" s="238">
        <f>IFERROR(_xlfn.XLOOKUP("Operating Income (EBIT)",Inputs!$B:$B,Inputs!O:O)/_xlfn.XLOOKUP("Revenue (Sales)",Inputs!$B:$B,Inputs!O:O),"")</f>
        <v>0.15260322355092595</v>
      </c>
      <c r="O19" s="238">
        <f>IFERROR(_xlfn.XLOOKUP("Operating Income (EBIT)",Inputs!$B:$B,Inputs!P:P)/_xlfn.XLOOKUP("Revenue (Sales)",Inputs!$B:$B,Inputs!P:P),"")</f>
        <v>-0.23592964594072446</v>
      </c>
      <c r="P19" s="326">
        <f>IFERROR(_xlfn.XLOOKUP("Operating Income (EBIT)",Inputs!$B:$B,Inputs!Q:Q)/_xlfn.XLOOKUP("Revenue (Sales)",Inputs!$B:$B,Inputs!Q:Q),"")</f>
        <v>0.35452993518952153</v>
      </c>
      <c r="Q19" s="331">
        <f>+_xlfn.XLOOKUP("Operating Margin",DCF!$B:$B,DCF!H:H)</f>
        <v>0.23286689217708192</v>
      </c>
      <c r="R19" s="331">
        <f>+_xlfn.XLOOKUP("Operating Margin",DCF!$B:$B,DCF!I:I)</f>
        <v>0.24629600412236202</v>
      </c>
      <c r="S19" s="15"/>
    </row>
    <row r="20" spans="2:19" ht="15.5" x14ac:dyDescent="0.35">
      <c r="B20" s="15" t="s">
        <v>669</v>
      </c>
      <c r="F20" s="238">
        <f>IFERROR(_xlfn.XLOOKUP("Pre-Tax Income (EBT)",Inputs!$B:$B,Inputs!G:G)/_xlfn.XLOOKUP("Revenue (Sales)",Inputs!$B:$B,Inputs!G:G),"")</f>
        <v>0.29474003830522716</v>
      </c>
      <c r="G20" s="238">
        <f>IFERROR(_xlfn.XLOOKUP("Pre-Tax Income (EBT)",Inputs!$B:$B,Inputs!H:H)/_xlfn.XLOOKUP("Revenue (Sales)",Inputs!$B:$B,Inputs!H:H),"")</f>
        <v>0.28030109586126184</v>
      </c>
      <c r="H20" s="238">
        <f>IFERROR(_xlfn.XLOOKUP("Pre-Tax Income (EBT)",Inputs!$B:$B,Inputs!I:I)/_xlfn.XLOOKUP("Revenue (Sales)",Inputs!$B:$B,Inputs!I:I),"")</f>
        <v>0.18703337597395045</v>
      </c>
      <c r="I20" s="238">
        <f>IFERROR(_xlfn.XLOOKUP("Pre-Tax Income (EBT)",Inputs!$B:$B,Inputs!J:J)/_xlfn.XLOOKUP("Revenue (Sales)",Inputs!$B:$B,Inputs!J:J),"")</f>
        <v>0.44635894438281731</v>
      </c>
      <c r="J20" s="238">
        <f>IFERROR(_xlfn.XLOOKUP("Pre-Tax Income (EBT)",Inputs!$B:$B,Inputs!K:K)/_xlfn.XLOOKUP("Revenue (Sales)",Inputs!$B:$B,Inputs!K:K),"")</f>
        <v>0.5276584802608969</v>
      </c>
      <c r="K20" s="238">
        <f>IFERROR(_xlfn.XLOOKUP("Pre-Tax Income (EBT)",Inputs!$B:$B,Inputs!L:L)/_xlfn.XLOOKUP("Revenue (Sales)",Inputs!$B:$B,Inputs!L:L),"")</f>
        <v>9.0131045137769733E-2</v>
      </c>
      <c r="L20" s="238">
        <f>IFERROR(_xlfn.XLOOKUP("Pre-Tax Income (EBT)",Inputs!$B:$B,Inputs!M:M)/_xlfn.XLOOKUP("Revenue (Sales)",Inputs!$B:$B,Inputs!M:M),"")</f>
        <v>0.19551478978320022</v>
      </c>
      <c r="M20" s="238">
        <f>IFERROR(_xlfn.XLOOKUP("Pre-Tax Income (EBT)",Inputs!$B:$B,Inputs!N:N)/_xlfn.XLOOKUP("Revenue (Sales)",Inputs!$B:$B,Inputs!N:N),"")</f>
        <v>0.31201596360744049</v>
      </c>
      <c r="N20" s="238">
        <f>IFERROR(_xlfn.XLOOKUP("Pre-Tax Income (EBT)",Inputs!$B:$B,Inputs!O:O)/_xlfn.XLOOKUP("Revenue (Sales)",Inputs!$B:$B,Inputs!O:O),"")</f>
        <v>8.9705434139519827E-2</v>
      </c>
      <c r="O20" s="238">
        <f>IFERROR(_xlfn.XLOOKUP("Pre-Tax Income (EBT)",Inputs!$B:$B,Inputs!P:P)/_xlfn.XLOOKUP("Revenue (Sales)",Inputs!$B:$B,Inputs!P:P),"")</f>
        <v>-0.35579584748685344</v>
      </c>
      <c r="P20" s="326">
        <f>IFERROR(_xlfn.XLOOKUP("Pre-Tax Income (EBT)",Inputs!$B:$B,Inputs!Q:Q)/_xlfn.XLOOKUP("Revenue (Sales)",Inputs!$B:$B,Inputs!Q:Q),"")</f>
        <v>0.36084631305425041</v>
      </c>
      <c r="Q20" s="331">
        <f>IFERROR(_xlfn.XLOOKUP("Pre-Tax Income (EBT)",DCF!$B:$B,DCF!H:H)/_xlfn.XLOOKUP("Revenue (Sales)",DCF!$B:$B,DCF!H:H),"")</f>
        <v>0.21692865097332928</v>
      </c>
      <c r="R20" s="331">
        <f>IFERROR(_xlfn.XLOOKUP("Pre-Tax Income (EBT)",DCF!$B:$B,DCF!I:I)/_xlfn.XLOOKUP("Revenue (Sales)",DCF!$B:$B,DCF!I:I),"")</f>
        <v>0.23593900682410482</v>
      </c>
      <c r="S20" s="15"/>
    </row>
    <row r="21" spans="2:19" ht="15.5" x14ac:dyDescent="0.35">
      <c r="B21" s="15" t="s">
        <v>37</v>
      </c>
      <c r="F21" s="238">
        <f>IFERROR(_xlfn.XLOOKUP("Gross Profit",Inputs!$B:$B,Inputs!G:G)/_xlfn.XLOOKUP("Revenue (Sales)",Inputs!$B:$B,Inputs!G:G),"")</f>
        <v>0.44751132807025729</v>
      </c>
      <c r="G21" s="238">
        <f>IFERROR(_xlfn.XLOOKUP("Gross Profit",Inputs!$B:$B,Inputs!H:H)/_xlfn.XLOOKUP("Revenue (Sales)",Inputs!$B:$B,Inputs!H:H),"")</f>
        <v>0.44061070326630497</v>
      </c>
      <c r="H21" s="238">
        <f>IFERROR(_xlfn.XLOOKUP("Gross Profit",Inputs!$B:$B,Inputs!I:I)/_xlfn.XLOOKUP("Revenue (Sales)",Inputs!$B:$B,Inputs!I:I),"")</f>
        <v>0.37277008954529595</v>
      </c>
      <c r="I21" s="238">
        <f>IFERROR(_xlfn.XLOOKUP("Gross Profit",Inputs!$B:$B,Inputs!J:J)/_xlfn.XLOOKUP("Revenue (Sales)",Inputs!$B:$B,Inputs!J:J),"")</f>
        <v>0.57814503111984961</v>
      </c>
      <c r="J21" s="238">
        <f>IFERROR(_xlfn.XLOOKUP("Gross Profit",Inputs!$B:$B,Inputs!K:K)/_xlfn.XLOOKUP("Revenue (Sales)",Inputs!$B:$B,Inputs!K:K),"")</f>
        <v>0.62465663331281174</v>
      </c>
      <c r="K21" s="238">
        <f>IFERROR(_xlfn.XLOOKUP("Gross Profit",Inputs!$B:$B,Inputs!L:L)/_xlfn.XLOOKUP("Revenue (Sales)",Inputs!$B:$B,Inputs!L:L),"")</f>
        <v>0.30276724945999922</v>
      </c>
      <c r="L21" s="238">
        <f>IFERROR(_xlfn.XLOOKUP("Gross Profit",Inputs!$B:$B,Inputs!M:M)/_xlfn.XLOOKUP("Revenue (Sales)",Inputs!$B:$B,Inputs!M:M),"")</f>
        <v>0.33888603277701851</v>
      </c>
      <c r="M21" s="238">
        <f>IFERROR(_xlfn.XLOOKUP("Gross Profit",Inputs!$B:$B,Inputs!N:N)/_xlfn.XLOOKUP("Revenue (Sales)",Inputs!$B:$B,Inputs!N:N),"")</f>
        <v>0.4407713883035877</v>
      </c>
      <c r="N21" s="238">
        <f>IFERROR(_xlfn.XLOOKUP("Gross Profit",Inputs!$B:$B,Inputs!O:O)/_xlfn.XLOOKUP("Revenue (Sales)",Inputs!$B:$B,Inputs!O:O),"")</f>
        <v>0.35023172633881344</v>
      </c>
      <c r="O21" s="238">
        <f>IFERROR(_xlfn.XLOOKUP("Gross Profit",Inputs!$B:$B,Inputs!P:P)/_xlfn.XLOOKUP("Revenue (Sales)",Inputs!$B:$B,Inputs!P:P),"")</f>
        <v>-1.6282270789270376E-2</v>
      </c>
      <c r="P21" s="326">
        <f>IFERROR(_xlfn.XLOOKUP("Gross Profit",Inputs!$B:$B,Inputs!Q:Q)/_xlfn.XLOOKUP("Revenue (Sales)",Inputs!$B:$B,Inputs!Q:Q),"")</f>
        <v>0.48083936367893881</v>
      </c>
      <c r="Q21" s="331">
        <f>+_xlfn.XLOOKUP("Gross Profit Margin",DCF!$B:$B,DCF!H:H)</f>
        <v>0.34999999999999992</v>
      </c>
      <c r="R21" s="331">
        <f>+_xlfn.XLOOKUP("Gross Profit Margin",DCF!$B:$B,DCF!I:I)</f>
        <v>0.35</v>
      </c>
      <c r="S21" s="15"/>
    </row>
    <row r="22" spans="2:19" ht="15.5" x14ac:dyDescent="0.35">
      <c r="B22" s="15" t="s">
        <v>39</v>
      </c>
      <c r="F22" s="238">
        <f>IFERROR(+_xlfn.XLOOKUP("SG&amp;A (Selling, General &amp; Administrative)",Inputs!$B:$B,Inputs!G:G)/_xlfn.XLOOKUP("Revenue (Sales)",Inputs!$B:$B,Inputs!G:G),"")</f>
        <v>5.3090110711449534E-2</v>
      </c>
      <c r="G22" s="238">
        <f>IFERROR(+_xlfn.XLOOKUP("SG&amp;A (Selling, General &amp; Administrative)",Inputs!$B:$B,Inputs!H:H)/_xlfn.XLOOKUP("Revenue (Sales)",Inputs!$B:$B,Inputs!H:H),"")</f>
        <v>5.2633258857325248E-2</v>
      </c>
      <c r="H22" s="238">
        <f>IFERROR(+_xlfn.XLOOKUP("SG&amp;A (Selling, General &amp; Administrative)",Inputs!$B:$B,Inputs!I:I)/_xlfn.XLOOKUP("Revenue (Sales)",Inputs!$B:$B,Inputs!I:I),"")</f>
        <v>5.9030119781369926E-2</v>
      </c>
      <c r="I22" s="238">
        <f>IFERROR(+_xlfn.XLOOKUP("SG&amp;A (Selling, General &amp; Administrative)",Inputs!$B:$B,Inputs!J:J)/_xlfn.XLOOKUP("Revenue (Sales)",Inputs!$B:$B,Inputs!J:J),"")</f>
        <v>4.0950666569244155E-2</v>
      </c>
      <c r="J22" s="238">
        <f>IFERROR(+_xlfn.XLOOKUP("SG&amp;A (Selling, General &amp; Administrative)",Inputs!$B:$B,Inputs!K:K)/_xlfn.XLOOKUP("Revenue (Sales)",Inputs!$B:$B,Inputs!K:K),"")</f>
        <v>3.7824112191588107E-2</v>
      </c>
      <c r="K22" s="238">
        <f>IFERROR(+_xlfn.XLOOKUP("SG&amp;A (Selling, General &amp; Administrative)",Inputs!$B:$B,Inputs!L:L)/_xlfn.XLOOKUP("Revenue (Sales)",Inputs!$B:$B,Inputs!L:L),"")</f>
        <v>6.3106922013878852E-2</v>
      </c>
      <c r="L22" s="238">
        <f>IFERROR(+_xlfn.XLOOKUP("SG&amp;A (Selling, General &amp; Administrative)",Inputs!$B:$B,Inputs!M:M)/_xlfn.XLOOKUP("Revenue (Sales)",Inputs!$B:$B,Inputs!M:M),"")</f>
        <v>5.3955436295469651E-2</v>
      </c>
      <c r="M22" s="238">
        <f>IFERROR(+_xlfn.XLOOKUP("SG&amp;A (Selling, General &amp; Administrative)",Inputs!$B:$B,Inputs!N:N)/_xlfn.XLOOKUP("Revenue (Sales)",Inputs!$B:$B,Inputs!N:N),"")</f>
        <v>5.2230579238937806E-2</v>
      </c>
      <c r="N22" s="238">
        <f>IFERROR(+_xlfn.XLOOKUP("SG&amp;A (Selling, General &amp; Administrative)",Inputs!$B:$B,Inputs!O:O)/_xlfn.XLOOKUP("Revenue (Sales)",Inputs!$B:$B,Inputs!O:O),"")</f>
        <v>8.2123904118184918E-2</v>
      </c>
      <c r="O22" s="238">
        <f>IFERROR(+_xlfn.XLOOKUP("SG&amp;A (Selling, General &amp; Administrative)",Inputs!$B:$B,Inputs!P:P)/_xlfn.XLOOKUP("Revenue (Sales)",Inputs!$B:$B,Inputs!P:P),"")</f>
        <v>8.7258932359143851E-2</v>
      </c>
      <c r="P22" s="326">
        <f>IFERROR(+_xlfn.XLOOKUP("SG&amp;A (Selling, General &amp; Administrative)",Inputs!$B:$B,Inputs!Q:Q)/_xlfn.XLOOKUP("Revenue (Sales)",Inputs!$B:$B,Inputs!Q:Q),"")</f>
        <v>5.0834680404272359E-2</v>
      </c>
      <c r="Q22" s="331">
        <f>+_xlfn.XLOOKUP("SG&amp;A Margin",DCF!$B:$B,DCF!H:H)</f>
        <v>4.4911976686191561E-2</v>
      </c>
      <c r="R22" s="331">
        <f>+_xlfn.XLOOKUP("SG&amp;A Margin",DCF!$B:$B,DCF!I:I)</f>
        <v>3.977823644557605E-2</v>
      </c>
    </row>
    <row r="23" spans="2:19" ht="15.5" x14ac:dyDescent="0.35">
      <c r="B23" s="15" t="s">
        <v>41</v>
      </c>
      <c r="F23" s="238">
        <f>IFERROR(_xlfn.XLOOKUP("Net Income",Inputs!$B:$B,Inputs!G:G)/_xlfn.XLOOKUP("Revenue (Sales)",Inputs!$B:$B,Inputs!G:G),"")</f>
        <v>0.24496076049890211</v>
      </c>
      <c r="G23" s="238">
        <f>IFERROR(_xlfn.XLOOKUP("Net Income",Inputs!$B:$B,Inputs!H:H)/_xlfn.XLOOKUP("Revenue (Sales)",Inputs!$B:$B,Inputs!H:H),"")</f>
        <v>0.23000319182891799</v>
      </c>
      <c r="H23" s="238">
        <f>IFERROR(_xlfn.XLOOKUP("Net Income",Inputs!$B:$B,Inputs!I:I)/_xlfn.XLOOKUP("Revenue (Sales)",Inputs!$B:$B,Inputs!I:I),"")</f>
        <v>0.17214792417722991</v>
      </c>
      <c r="I23" s="238">
        <f>IFERROR(_xlfn.XLOOKUP("Net Income",Inputs!$B:$B,Inputs!J:J)/_xlfn.XLOOKUP("Revenue (Sales)",Inputs!$B:$B,Inputs!J:J),"")</f>
        <v>0.3534544029439311</v>
      </c>
      <c r="J23" s="238">
        <f>IFERROR(_xlfn.XLOOKUP("Net Income",Inputs!$B:$B,Inputs!K:K)/_xlfn.XLOOKUP("Revenue (Sales)",Inputs!$B:$B,Inputs!K:K),"")</f>
        <v>0.38422948639019316</v>
      </c>
      <c r="K23" s="238">
        <f>IFERROR(_xlfn.XLOOKUP("Net Income",Inputs!$B:$B,Inputs!L:L)/_xlfn.XLOOKUP("Revenue (Sales)",Inputs!$B:$B,Inputs!L:L),"")</f>
        <v>7.443675043626144E-2</v>
      </c>
      <c r="L23" s="238">
        <f>IFERROR(_xlfn.XLOOKUP("Net Income",Inputs!$B:$B,Inputs!M:M)/_xlfn.XLOOKUP("Revenue (Sales)",Inputs!$B:$B,Inputs!M:M),"")</f>
        <v>0.14917994758686415</v>
      </c>
      <c r="M23" s="238">
        <f>IFERROR(_xlfn.XLOOKUP("Net Income",Inputs!$B:$B,Inputs!N:N)/_xlfn.XLOOKUP("Revenue (Sales)",Inputs!$B:$B,Inputs!N:N),"")</f>
        <v>0.22364400039071775</v>
      </c>
      <c r="N23" s="238">
        <f>IFERROR(_xlfn.XLOOKUP("Net Income",Inputs!$B:$B,Inputs!O:O)/_xlfn.XLOOKUP("Revenue (Sales)",Inputs!$B:$B,Inputs!O:O),"")</f>
        <v>5.0238001326711683E-2</v>
      </c>
      <c r="O23" s="238">
        <f>IFERROR(_xlfn.XLOOKUP("Net Income",Inputs!$B:$B,Inputs!P:P)/_xlfn.XLOOKUP("Revenue (Sales)",Inputs!$B:$B,Inputs!P:P),"")</f>
        <v>-0.27887699637120511</v>
      </c>
      <c r="P23" s="326">
        <f>IFERROR(_xlfn.XLOOKUP("Net Income",Inputs!$B:$B,Inputs!Q:Q)/_xlfn.XLOOKUP("Revenue (Sales)",Inputs!$B:$B,Inputs!Q:Q),"")</f>
        <v>0.29908147387185946</v>
      </c>
      <c r="Q23" s="331">
        <f>+_xlfn.XLOOKUP("Net Income Margin",DCF!$B:$B,DCF!H:H)</f>
        <v>0.15271003258680557</v>
      </c>
      <c r="R23" s="331">
        <f>+_xlfn.XLOOKUP("Net Income Margin",DCF!$B:$B,DCF!I:I)</f>
        <v>0.18149702355439482</v>
      </c>
    </row>
    <row r="24" spans="2:19" ht="8.25" customHeight="1" x14ac:dyDescent="0.35">
      <c r="N24" s="239"/>
      <c r="O24" s="239"/>
      <c r="P24" s="327"/>
      <c r="Q24" s="332"/>
      <c r="R24" s="332"/>
    </row>
    <row r="25" spans="2:19" ht="15.5" x14ac:dyDescent="0.35">
      <c r="B25" s="7" t="s">
        <v>236</v>
      </c>
      <c r="C25" s="47"/>
      <c r="D25" s="49"/>
      <c r="E25" s="49"/>
      <c r="F25" s="343">
        <v>2014</v>
      </c>
      <c r="G25" s="343">
        <f t="shared" ref="G25" si="13">+F25+1</f>
        <v>2015</v>
      </c>
      <c r="H25" s="343">
        <f t="shared" ref="H25" si="14">+G25+1</f>
        <v>2016</v>
      </c>
      <c r="I25" s="343">
        <f t="shared" ref="I25" si="15">+H25+1</f>
        <v>2017</v>
      </c>
      <c r="J25" s="343">
        <f t="shared" ref="J25" si="16">+I25+1</f>
        <v>2018</v>
      </c>
      <c r="K25" s="343">
        <f t="shared" ref="K25" si="17">+J25+1</f>
        <v>2019</v>
      </c>
      <c r="L25" s="343">
        <f t="shared" ref="L25" si="18">+K25+1</f>
        <v>2020</v>
      </c>
      <c r="M25" s="343">
        <f t="shared" ref="M25" si="19">+L25+1</f>
        <v>2021</v>
      </c>
      <c r="N25" s="343">
        <v>2022</v>
      </c>
      <c r="O25" s="343">
        <f t="shared" ref="O25" si="20">+N25+1</f>
        <v>2023</v>
      </c>
      <c r="P25" s="344">
        <f>+O25+1</f>
        <v>2024</v>
      </c>
      <c r="Q25" s="342">
        <f>+P25+1</f>
        <v>2025</v>
      </c>
      <c r="R25" s="342">
        <f>+Q25+1</f>
        <v>2026</v>
      </c>
    </row>
    <row r="26" spans="2:19" ht="4.1500000000000004" customHeight="1" x14ac:dyDescent="0.35">
      <c r="B26" s="233"/>
      <c r="C26" s="44"/>
      <c r="D26" s="51"/>
      <c r="E26" s="51"/>
      <c r="F26" s="51"/>
      <c r="G26" s="51"/>
      <c r="H26" s="51"/>
      <c r="I26" s="51"/>
      <c r="J26" s="51"/>
      <c r="K26" s="51"/>
      <c r="L26" s="51"/>
      <c r="M26" s="51"/>
      <c r="N26" s="208"/>
      <c r="O26" s="208"/>
      <c r="P26" s="324"/>
      <c r="Q26" s="208"/>
      <c r="R26" s="208"/>
    </row>
    <row r="27" spans="2:19" ht="15" customHeight="1" x14ac:dyDescent="0.35">
      <c r="B27" s="27" t="s">
        <v>49</v>
      </c>
      <c r="C27" s="114"/>
      <c r="D27" s="228"/>
      <c r="F27" s="13">
        <f>+IFERROR(_xlfn.XLOOKUP("Cash &amp; Cash Equivalents",Inputs!$B:$B,Inputs!G:G)/_xlfn.XLOOKUP("Current Liabilities",Inputs!$B:$B,Inputs!G:G),"")</f>
        <v>7.5763620279950733E-2</v>
      </c>
      <c r="G27" s="13">
        <f>+IFERROR(_xlfn.XLOOKUP("Cash &amp; Cash Equivalents",Inputs!$B:$B,Inputs!H:H)/_xlfn.XLOOKUP("Current Liabilities",Inputs!$B:$B,Inputs!H:H),"")</f>
        <v>0.24287809614311981</v>
      </c>
      <c r="H27" s="13">
        <f>+IFERROR(_xlfn.XLOOKUP("Cash &amp; Cash Equivalents",Inputs!$B:$B,Inputs!I:I)/_xlfn.XLOOKUP("Current Liabilities",Inputs!$B:$B,Inputs!I:I),"")</f>
        <v>0.14751970774850989</v>
      </c>
      <c r="I27" s="13">
        <f>+IFERROR(_xlfn.XLOOKUP("Cash &amp; Cash Equivalents",Inputs!$B:$B,Inputs!J:J)/_xlfn.XLOOKUP("Current Liabilities",Inputs!$B:$B,Inputs!J:J),"")</f>
        <v>0.36347506807456781</v>
      </c>
      <c r="J27" s="13">
        <f>+IFERROR(_xlfn.XLOOKUP("Cash &amp; Cash Equivalents",Inputs!$B:$B,Inputs!K:K)/_xlfn.XLOOKUP("Current Liabilities",Inputs!$B:$B,Inputs!K:K),"")</f>
        <v>0.1802730223528419</v>
      </c>
      <c r="K27" s="13">
        <f>+IFERROR(_xlfn.XLOOKUP("Cash &amp; Cash Equivalents",Inputs!$B:$B,Inputs!L:L)/_xlfn.XLOOKUP("Current Liabilities",Inputs!$B:$B,Inputs!L:L),"")</f>
        <v>0.28963828183873397</v>
      </c>
      <c r="L27" s="13">
        <f>+IFERROR(_xlfn.XLOOKUP("Cash &amp; Cash Equivalents",Inputs!$B:$B,Inputs!M:M)/_xlfn.XLOOKUP("Current Liabilities",Inputs!$B:$B,Inputs!M:M),"")</f>
        <v>0.3280278647325956</v>
      </c>
      <c r="M27" s="13">
        <f>+IFERROR(_xlfn.XLOOKUP("Cash &amp; Cash Equivalents",Inputs!$B:$B,Inputs!N:N)/_xlfn.XLOOKUP("Current Liabilities",Inputs!$B:$B,Inputs!N:N),"")</f>
        <v>0.343255018526813</v>
      </c>
      <c r="N27" s="13">
        <f>+IFERROR(_xlfn.XLOOKUP("Cash &amp; Cash Equivalents",Inputs!$B:$B,Inputs!O:O)/_xlfn.XLOOKUP("Current Liabilities",Inputs!$B:$B,Inputs!O:O),"")</f>
        <v>0.2508100807813059</v>
      </c>
      <c r="O27" s="13">
        <f>+IFERROR(_xlfn.XLOOKUP("Cash &amp; Cash Equivalents",Inputs!$B:$B,Inputs!P:P)/_xlfn.XLOOKUP("Current Liabilities",Inputs!$B:$B,Inputs!P:P),"")</f>
        <v>0.3611658526832891</v>
      </c>
      <c r="P27" s="322">
        <f>+IFERROR(_xlfn.XLOOKUP("Cash &amp; Cash Equivalents",Inputs!$B:$B,Inputs!Q:Q)/_xlfn.XLOOKUP("Current Liabilities",Inputs!$B:$B,Inputs!Q:Q),"")</f>
        <v>0.44882517404087258</v>
      </c>
      <c r="Q27" s="329">
        <f>+IFERROR((_xlfn.XLOOKUP("Cash &amp; Cash Equivalents &amp; ST Investments",DCF!$B:$B,DCF!H:H)-_xlfn.XLOOKUP("Short-Term Investments",Inputs!$B:$B,Inputs!$Q:$Q))/_xlfn.XLOOKUP("Current Liabilities",DCF!$6:$6,DCF!10:10),"")</f>
        <v>-5.8287674133210218E-2</v>
      </c>
      <c r="R27" s="329">
        <f>+IFERROR((_xlfn.XLOOKUP("Cash &amp; Cash Equivalents &amp; ST Investments",DCF!$B:$B,DCF!I:I)-_xlfn.XLOOKUP("Short-Term Investments",Inputs!$B:$B,Inputs!$Q:$Q))/_xlfn.XLOOKUP("Current Liabilities",DCF!$6:$6,DCF!10:10),"")</f>
        <v>0.22368549471108823</v>
      </c>
    </row>
    <row r="28" spans="2:19" ht="15.5" x14ac:dyDescent="0.35">
      <c r="B28" s="15" t="s">
        <v>52</v>
      </c>
      <c r="F28" s="13">
        <f>IFERROR((_xlfn.XLOOKUP("Cash &amp; Cash Equivalents &amp; ST Investments",Inputs!$B:$B,Inputs!G:G)+_xlfn.XLOOKUP("Accounts Receivable",Inputs!$B:$B,Inputs!G:G))/_xlfn.XLOOKUP("Current Liabilities",Inputs!$B:$B,Inputs!G:G),"")</f>
        <v>1.3373284998178758</v>
      </c>
      <c r="G28" s="13">
        <f>IFERROR((_xlfn.XLOOKUP("Cash &amp; Cash Equivalents &amp; ST Investments",Inputs!$B:$B,Inputs!H:H)+_xlfn.XLOOKUP("Accounts Receivable",Inputs!$B:$B,Inputs!H:H))/_xlfn.XLOOKUP("Current Liabilities",Inputs!$B:$B,Inputs!H:H),"")</f>
        <v>1.5103807300597021</v>
      </c>
      <c r="H28" s="13">
        <f>IFERROR((_xlfn.XLOOKUP("Cash &amp; Cash Equivalents &amp; ST Investments",Inputs!$B:$B,Inputs!I:I)+_xlfn.XLOOKUP("Accounts Receivable",Inputs!$B:$B,Inputs!I:I))/_xlfn.XLOOKUP("Current Liabilities",Inputs!$B:$B,Inputs!I:I),"")</f>
        <v>1.7553595462411073</v>
      </c>
      <c r="I28" s="13">
        <f>IFERROR((_xlfn.XLOOKUP("Cash &amp; Cash Equivalents &amp; ST Investments",Inputs!$B:$B,Inputs!J:J)+_xlfn.XLOOKUP("Accounts Receivable",Inputs!$B:$B,Inputs!J:J))/_xlfn.XLOOKUP("Current Liabilities",Inputs!$B:$B,Inputs!J:J),"")</f>
        <v>1.7093185150503321</v>
      </c>
      <c r="J28" s="13">
        <f>IFERROR((_xlfn.XLOOKUP("Cash &amp; Cash Equivalents &amp; ST Investments",Inputs!$B:$B,Inputs!K:K)+_xlfn.XLOOKUP("Accounts Receivable",Inputs!$B:$B,Inputs!K:K))/_xlfn.XLOOKUP("Current Liabilities",Inputs!$B:$B,Inputs!K:K),"")</f>
        <v>1.1092626554838512</v>
      </c>
      <c r="K28" s="13">
        <f>IFERROR((_xlfn.XLOOKUP("Cash &amp; Cash Equivalents &amp; ST Investments",Inputs!$B:$B,Inputs!L:L)+_xlfn.XLOOKUP("Accounts Receivable",Inputs!$B:$B,Inputs!L:L))/_xlfn.XLOOKUP("Current Liabilities",Inputs!$B:$B,Inputs!L:L),"")</f>
        <v>1.0076111529766389</v>
      </c>
      <c r="L28" s="13">
        <f>IFERROR((_xlfn.XLOOKUP("Cash &amp; Cash Equivalents &amp; ST Investments",Inputs!$B:$B,Inputs!M:M)+_xlfn.XLOOKUP("Accounts Receivable",Inputs!$B:$B,Inputs!M:M))/_xlfn.XLOOKUP("Current Liabilities",Inputs!$B:$B,Inputs!M:M),"")</f>
        <v>1.0536572461531679</v>
      </c>
      <c r="M28" s="13">
        <f>IFERROR((_xlfn.XLOOKUP("Cash &amp; Cash Equivalents &amp; ST Investments",Inputs!$B:$B,Inputs!N:N)+_xlfn.XLOOKUP("Accounts Receivable",Inputs!$B:$B,Inputs!N:N))/_xlfn.XLOOKUP("Current Liabilities",Inputs!$B:$B,Inputs!N:N),"")</f>
        <v>1.1278078640552684</v>
      </c>
      <c r="N28" s="13">
        <f>IFERROR((_xlfn.XLOOKUP("Cash &amp; Cash Equivalents &amp; ST Investments",Inputs!$B:$B,Inputs!O:O)+_xlfn.XLOOKUP("Accounts Receivable",Inputs!$B:$B,Inputs!O:O))/_xlfn.XLOOKUP("Current Liabilities",Inputs!$B:$B,Inputs!O:O),"")</f>
        <v>0.56771166667506556</v>
      </c>
      <c r="O28" s="13">
        <f>IFERROR((_xlfn.XLOOKUP("Cash &amp; Cash Equivalents &amp; ST Investments",Inputs!$B:$B,Inputs!P:P)+_xlfn.XLOOKUP("Accounts Receivable",Inputs!$B:$B,Inputs!P:P))/_xlfn.XLOOKUP("Current Liabilities",Inputs!$B:$B,Inputs!P:P),"")</f>
        <v>0.72789154504517384</v>
      </c>
      <c r="P28" s="322">
        <f>IFERROR((_xlfn.XLOOKUP("Cash &amp; Cash Equivalents &amp; ST Investments",Inputs!$B:$B,Inputs!Q:Q)+_xlfn.XLOOKUP("Accounts Receivable",Inputs!$B:$B,Inputs!Q:Q))/_xlfn.XLOOKUP("Current Liabilities",Inputs!$B:$B,Inputs!Q:Q),"")</f>
        <v>1.0793738534131236</v>
      </c>
      <c r="Q28" s="329">
        <f>+IFERROR((_xlfn.XLOOKUP("Cash &amp; Cash Equivalents &amp; ST Investments",DCF!$B:$B,DCF!H:H)+_xlfn.XLOOKUP("Accounts Receivable",DCF!$B:$B,DCF!H:H))/_xlfn.XLOOKUP("Current Liabilities",DCF!$6:$6,DCF!10:10),"")</f>
        <v>0.68400826424360395</v>
      </c>
      <c r="R28" s="329">
        <f>+IFERROR((_xlfn.XLOOKUP("Cash &amp; Cash Equivalents &amp; ST Investments",DCF!$B:$B,DCF!I:I)+_xlfn.XLOOKUP("Accounts Receivable",DCF!$B:$B,DCF!I:I))/_xlfn.XLOOKUP("Current Liabilities",DCF!$6:$6,DCF!10:10),"")</f>
        <v>1.0776455999922196</v>
      </c>
    </row>
    <row r="29" spans="2:19" ht="15.5" x14ac:dyDescent="0.35">
      <c r="B29" s="15" t="s">
        <v>54</v>
      </c>
      <c r="F29" s="13">
        <f>IFERROR(_xlfn.XLOOKUP("Current Assets",Inputs!$B:$B,Inputs!G:G)/+_xlfn.XLOOKUP("Current Liabilities",Inputs!$B:$B,Inputs!G:G),"")</f>
        <v>1.7975647407767159</v>
      </c>
      <c r="G29" s="13">
        <f>IFERROR(_xlfn.XLOOKUP("Current Assets",Inputs!$B:$B,Inputs!H:H)/+_xlfn.XLOOKUP("Current Liabilities",Inputs!$B:$B,Inputs!H:H),"")</f>
        <v>2.0162373210486089</v>
      </c>
      <c r="H29" s="13">
        <f>IFERROR(_xlfn.XLOOKUP("Current Assets",Inputs!$B:$B,Inputs!I:I)/+_xlfn.XLOOKUP("Current Liabilities",Inputs!$B:$B,Inputs!I:I),"")</f>
        <v>2.3646894827917708</v>
      </c>
      <c r="I29" s="13">
        <f>IFERROR(_xlfn.XLOOKUP("Current Assets",Inputs!$B:$B,Inputs!J:J)/+_xlfn.XLOOKUP("Current Liabilities",Inputs!$B:$B,Inputs!J:J),"")</f>
        <v>2.1328470570840676</v>
      </c>
      <c r="J29" s="13">
        <f>IFERROR(_xlfn.XLOOKUP("Current Assets",Inputs!$B:$B,Inputs!K:K)/+_xlfn.XLOOKUP("Current Liabilities",Inputs!$B:$B,Inputs!K:K),"")</f>
        <v>1.5265694181201512</v>
      </c>
      <c r="K29" s="13">
        <f>IFERROR(_xlfn.XLOOKUP("Current Assets",Inputs!$B:$B,Inputs!L:L)/+_xlfn.XLOOKUP("Current Liabilities",Inputs!$B:$B,Inputs!L:L),"")</f>
        <v>1.8158251695553882</v>
      </c>
      <c r="L29" s="13">
        <f>IFERROR(_xlfn.XLOOKUP("Current Assets",Inputs!$B:$B,Inputs!M:M)/+_xlfn.XLOOKUP("Current Liabilities",Inputs!$B:$B,Inputs!M:M),"")</f>
        <v>1.8265288126625812</v>
      </c>
      <c r="M29" s="13">
        <f>IFERROR(_xlfn.XLOOKUP("Current Assets",Inputs!$B:$B,Inputs!N:N)/+_xlfn.XLOOKUP("Current Liabilities",Inputs!$B:$B,Inputs!N:N),"")</f>
        <v>1.8260176174382778</v>
      </c>
      <c r="N29" s="13">
        <f>IFERROR(_xlfn.XLOOKUP("Current Assets",Inputs!$B:$B,Inputs!O:O)/+_xlfn.XLOOKUP("Current Liabilities",Inputs!$B:$B,Inputs!O:O),"")</f>
        <v>1.4479809712906362</v>
      </c>
      <c r="O29" s="13">
        <f>IFERROR(_xlfn.XLOOKUP("Current Assets",Inputs!$B:$B,Inputs!P:P)/+_xlfn.XLOOKUP("Current Liabilities",Inputs!$B:$B,Inputs!P:P),"")</f>
        <v>1.4503232132826855</v>
      </c>
      <c r="P29" s="322">
        <f>IFERROR(_xlfn.XLOOKUP("Current Assets",Inputs!$B:$B,Inputs!Q:Q)/+_xlfn.XLOOKUP("Current Liabilities",Inputs!$B:$B,Inputs!Q:Q),"")</f>
        <v>1.69349980372836</v>
      </c>
      <c r="Q29" s="329">
        <f>+IFERROR(_xlfn.XLOOKUP("Current Assets",DCF!$6:$6,DCF!10:10)/_xlfn.XLOOKUP("Current Liabilities",DCF!$6:$6,DCF!10:10),"")</f>
        <v>1.4587888886970877</v>
      </c>
      <c r="R29" s="329">
        <f>+IFERROR(_xlfn.XLOOKUP("Current Assets",DCF!$6:$6,DCF!10:10)/_xlfn.XLOOKUP("Current Liabilities",DCF!$6:$6,DCF!10:10),"")</f>
        <v>1.4587888886970877</v>
      </c>
    </row>
    <row r="30" spans="2:19" ht="8.25" customHeight="1" x14ac:dyDescent="0.3">
      <c r="N30" s="13"/>
      <c r="O30" s="13"/>
      <c r="P30" s="322"/>
      <c r="Q30" s="329"/>
      <c r="R30" s="329"/>
    </row>
    <row r="31" spans="2:19" ht="15.5" x14ac:dyDescent="0.35">
      <c r="B31" s="7" t="s">
        <v>670</v>
      </c>
      <c r="C31" s="47"/>
      <c r="D31" s="49"/>
      <c r="E31" s="49"/>
      <c r="F31" s="343">
        <v>2014</v>
      </c>
      <c r="G31" s="343">
        <f t="shared" ref="G31" si="21">+F31+1</f>
        <v>2015</v>
      </c>
      <c r="H31" s="343">
        <f t="shared" ref="H31" si="22">+G31+1</f>
        <v>2016</v>
      </c>
      <c r="I31" s="343">
        <f t="shared" ref="I31" si="23">+H31+1</f>
        <v>2017</v>
      </c>
      <c r="J31" s="343">
        <f t="shared" ref="J31" si="24">+I31+1</f>
        <v>2018</v>
      </c>
      <c r="K31" s="343">
        <f t="shared" ref="K31" si="25">+J31+1</f>
        <v>2019</v>
      </c>
      <c r="L31" s="343">
        <f t="shared" ref="L31" si="26">+K31+1</f>
        <v>2020</v>
      </c>
      <c r="M31" s="343">
        <f t="shared" ref="M31" si="27">+L31+1</f>
        <v>2021</v>
      </c>
      <c r="N31" s="343">
        <v>2022</v>
      </c>
      <c r="O31" s="343">
        <f t="shared" ref="O31" si="28">+N31+1</f>
        <v>2023</v>
      </c>
      <c r="P31" s="344">
        <f>+O31+1</f>
        <v>2024</v>
      </c>
      <c r="Q31" s="342">
        <f>+P31+1</f>
        <v>2025</v>
      </c>
      <c r="R31" s="342">
        <f>+Q31+1</f>
        <v>2026</v>
      </c>
    </row>
    <row r="32" spans="2:19" ht="4.1500000000000004" customHeight="1" x14ac:dyDescent="0.35">
      <c r="B32" s="233"/>
      <c r="C32" s="44"/>
      <c r="D32" s="51"/>
      <c r="E32" s="51"/>
      <c r="F32" s="51"/>
      <c r="G32" s="51"/>
      <c r="H32" s="51"/>
      <c r="I32" s="51"/>
      <c r="J32" s="51"/>
      <c r="K32" s="51"/>
      <c r="L32" s="51"/>
      <c r="M32" s="51"/>
      <c r="N32" s="208"/>
      <c r="O32" s="208"/>
      <c r="P32" s="324"/>
      <c r="Q32" s="208"/>
      <c r="R32" s="208"/>
    </row>
    <row r="33" spans="2:18" ht="15.5" x14ac:dyDescent="0.35">
      <c r="B33" s="15" t="s">
        <v>671</v>
      </c>
      <c r="F33" s="240">
        <f>+_xlfn.XLOOKUP("DSO",Inputs!$B:$B,Inputs!G:G)</f>
        <v>79.559752651002015</v>
      </c>
      <c r="G33" s="240">
        <f>+_xlfn.XLOOKUP("DSO",Inputs!$B:$B,Inputs!H:H)</f>
        <v>51.035535695286733</v>
      </c>
      <c r="H33" s="240">
        <f>+_xlfn.XLOOKUP("DSO",Inputs!$B:$B,Inputs!I:I)</f>
        <v>69.012123502732877</v>
      </c>
      <c r="I33" s="240">
        <f>+_xlfn.XLOOKUP("DSO",Inputs!$B:$B,Inputs!J:J)</f>
        <v>67.313596418394255</v>
      </c>
      <c r="J33" s="240">
        <f>+_xlfn.XLOOKUP("DSO",Inputs!$B:$B,Inputs!K:K)</f>
        <v>57.035339262358114</v>
      </c>
      <c r="K33" s="240">
        <f>+_xlfn.XLOOKUP("DSO",Inputs!$B:$B,Inputs!L:L)</f>
        <v>57.631721296594748</v>
      </c>
      <c r="L33" s="240">
        <f>+_xlfn.XLOOKUP("DSO",Inputs!$B:$B,Inputs!M:M)</f>
        <v>56.423258015573467</v>
      </c>
      <c r="M33" s="240">
        <f>+_xlfn.XLOOKUP("DSO",Inputs!$B:$B,Inputs!N:N)</f>
        <v>70.177811422910011</v>
      </c>
      <c r="N33" s="240">
        <f>+_xlfn.XLOOKUP("DSO",Inputs!$B:$B,Inputs!O:O)</f>
        <v>42.42175314197609</v>
      </c>
      <c r="O33" s="240">
        <f>+_xlfn.XLOOKUP("DSO",Inputs!$B:$B,Inputs!P:P)</f>
        <v>73.525348153709515</v>
      </c>
      <c r="P33" s="328">
        <f>+_xlfn.XLOOKUP("DSO",Inputs!$B:$B,Inputs!Q:Q)</f>
        <v>71.789086459293273</v>
      </c>
      <c r="Q33" s="333">
        <f>+_xlfn.XLOOKUP("DSO",DCF!$B:$B,DCF!H:H)</f>
        <v>71.985768887948879</v>
      </c>
      <c r="R33" s="333">
        <f>+_xlfn.XLOOKUP("DSO",DCF!$B:$B,DCF!I:I)</f>
        <v>72.498961976535767</v>
      </c>
    </row>
    <row r="34" spans="2:18" ht="15.5" x14ac:dyDescent="0.35">
      <c r="B34" s="234" t="s">
        <v>672</v>
      </c>
      <c r="F34" s="240">
        <f>+_xlfn.XLOOKUP("DPO",Inputs!$B:$B,Inputs!G:G)</f>
        <v>16.790477413930024</v>
      </c>
      <c r="G34" s="240">
        <f>+_xlfn.XLOOKUP("DPO",Inputs!$B:$B,Inputs!H:H)</f>
        <v>15.366581551228853</v>
      </c>
      <c r="H34" s="240">
        <f>+_xlfn.XLOOKUP("DPO",Inputs!$B:$B,Inputs!I:I)</f>
        <v>14.773607396208863</v>
      </c>
      <c r="I34" s="240">
        <f>+_xlfn.XLOOKUP("DPO",Inputs!$B:$B,Inputs!J:J)</f>
        <v>9.1960982284602153</v>
      </c>
      <c r="J34" s="240">
        <f>+_xlfn.XLOOKUP("DPO",Inputs!$B:$B,Inputs!K:K)</f>
        <v>9.8945484125394696</v>
      </c>
      <c r="K34" s="240">
        <f>+_xlfn.XLOOKUP("DPO",Inputs!$B:$B,Inputs!L:L)</f>
        <v>14.097911502850982</v>
      </c>
      <c r="L34" s="240">
        <f>+_xlfn.XLOOKUP("DPO",Inputs!$B:$B,Inputs!M:M)</f>
        <v>11.970476859224334</v>
      </c>
      <c r="M34" s="240">
        <f>+_xlfn.XLOOKUP("DPO",Inputs!$B:$B,Inputs!N:N)</f>
        <v>11.53798566438283</v>
      </c>
      <c r="N34" s="240">
        <f>+_xlfn.XLOOKUP("DPO",Inputs!$B:$B,Inputs!O:O)</f>
        <v>17.882886315147818</v>
      </c>
      <c r="O34" s="240">
        <f>+_xlfn.XLOOKUP("DPO",Inputs!$B:$B,Inputs!P:P)</f>
        <v>20.558312503624219</v>
      </c>
      <c r="P34" s="328">
        <f>+_xlfn.XLOOKUP("DPO",Inputs!$B:$B,Inputs!Q:Q)</f>
        <v>12.557438097684047</v>
      </c>
      <c r="Q34" s="333">
        <f>+_xlfn.XLOOKUP("DPO",DCF!$B:$B,DCF!H:H)</f>
        <v>24.00170497668206</v>
      </c>
      <c r="R34" s="333">
        <f>+_xlfn.XLOOKUP("DPO",DCF!$B:$B,DCF!I:I)</f>
        <v>22.828291828106412</v>
      </c>
    </row>
    <row r="35" spans="2:18" ht="15.5" x14ac:dyDescent="0.35">
      <c r="B35" s="234" t="s">
        <v>673</v>
      </c>
      <c r="F35" s="240">
        <f>+_xlfn.XLOOKUP("DIH",Inputs!$B:$B,Inputs!G:G)</f>
        <v>57.772281936649847</v>
      </c>
      <c r="G35" s="240">
        <f>+_xlfn.XLOOKUP("DIH",Inputs!$B:$B,Inputs!H:H)</f>
        <v>66.763128364113584</v>
      </c>
      <c r="H35" s="240">
        <f>+_xlfn.XLOOKUP("DIH",Inputs!$B:$B,Inputs!I:I)</f>
        <v>68.559946602886782</v>
      </c>
      <c r="I35" s="240">
        <f>+_xlfn.XLOOKUP("DIH",Inputs!$B:$B,Inputs!J:J)</f>
        <v>75.874757908327965</v>
      </c>
      <c r="J35" s="240">
        <f>+_xlfn.XLOOKUP("DIH",Inputs!$B:$B,Inputs!K:K)</f>
        <v>106.33731423903879</v>
      </c>
      <c r="K35" s="240">
        <f>+_xlfn.XLOOKUP("DIH",Inputs!$B:$B,Inputs!L:L)</f>
        <v>102.7146789380832</v>
      </c>
      <c r="L35" s="240">
        <f>+_xlfn.XLOOKUP("DIH",Inputs!$B:$B,Inputs!M:M)</f>
        <v>106.2006040834906</v>
      </c>
      <c r="M35" s="240">
        <f>+_xlfn.XLOOKUP("DIH",Inputs!$B:$B,Inputs!N:N)</f>
        <v>135.85797401603622</v>
      </c>
      <c r="N35" s="240">
        <f>+_xlfn.XLOOKUP("DIH",Inputs!$B:$B,Inputs!O:O)</f>
        <v>197.20199560594196</v>
      </c>
      <c r="O35" s="240">
        <f>+_xlfn.XLOOKUP("DIH",Inputs!$B:$B,Inputs!P:P)</f>
        <v>147.76497633576784</v>
      </c>
      <c r="P35" s="328">
        <f>+_xlfn.XLOOKUP("DIH",Inputs!$B:$B,Inputs!Q:Q)</f>
        <v>141.41137151969457</v>
      </c>
      <c r="Q35" s="333">
        <f>+_xlfn.XLOOKUP("DIH",DCF!$B:$B,DCF!H:H)</f>
        <v>120</v>
      </c>
      <c r="R35" s="333">
        <f>+_xlfn.XLOOKUP("DIH",DCF!$B:$B,DCF!I:I)</f>
        <v>120</v>
      </c>
    </row>
    <row r="36" spans="2:18" ht="15.5" x14ac:dyDescent="0.35">
      <c r="B36" s="234" t="s">
        <v>64</v>
      </c>
      <c r="F36" s="240">
        <f>IFERROR(F35+F33-F34,"")</f>
        <v>120.54155717372184</v>
      </c>
      <c r="G36" s="240">
        <f t="shared" ref="G36:P36" si="29">IFERROR(G35+G33-G34,"")</f>
        <v>102.43208250817148</v>
      </c>
      <c r="H36" s="240">
        <f t="shared" si="29"/>
        <v>122.79846270941081</v>
      </c>
      <c r="I36" s="240">
        <f t="shared" si="29"/>
        <v>133.992256098262</v>
      </c>
      <c r="J36" s="240">
        <f t="shared" si="29"/>
        <v>153.47810508885743</v>
      </c>
      <c r="K36" s="240">
        <f t="shared" si="29"/>
        <v>146.24848873182697</v>
      </c>
      <c r="L36" s="240">
        <f t="shared" si="29"/>
        <v>150.65338523983974</v>
      </c>
      <c r="M36" s="240">
        <f t="shared" si="29"/>
        <v>194.49779977456339</v>
      </c>
      <c r="N36" s="240">
        <f t="shared" si="29"/>
        <v>221.74086243277023</v>
      </c>
      <c r="O36" s="240">
        <f t="shared" si="29"/>
        <v>200.73201198585315</v>
      </c>
      <c r="P36" s="328">
        <f t="shared" si="29"/>
        <v>200.64301988130381</v>
      </c>
      <c r="Q36" s="333">
        <f>IFERROR(Q35+Q33-Q34,"")</f>
        <v>167.98406391126684</v>
      </c>
      <c r="R36" s="333">
        <f t="shared" ref="R36" si="30">IFERROR(R35+R33-R34,"")</f>
        <v>169.67067014842937</v>
      </c>
    </row>
    <row r="37" spans="2:18" ht="8.25" customHeight="1" x14ac:dyDescent="0.35">
      <c r="N37" s="236"/>
      <c r="O37" s="236"/>
      <c r="P37" s="325"/>
      <c r="Q37" s="330"/>
      <c r="R37" s="330"/>
    </row>
    <row r="38" spans="2:18" ht="15.5" x14ac:dyDescent="0.35">
      <c r="B38" s="7" t="s">
        <v>674</v>
      </c>
      <c r="C38" s="47"/>
      <c r="D38" s="49"/>
      <c r="E38" s="49"/>
      <c r="F38" s="343">
        <v>2014</v>
      </c>
      <c r="G38" s="343">
        <f t="shared" ref="G38" si="31">+F38+1</f>
        <v>2015</v>
      </c>
      <c r="H38" s="343">
        <f t="shared" ref="H38" si="32">+G38+1</f>
        <v>2016</v>
      </c>
      <c r="I38" s="343">
        <f t="shared" ref="I38" si="33">+H38+1</f>
        <v>2017</v>
      </c>
      <c r="J38" s="343">
        <f t="shared" ref="J38" si="34">+I38+1</f>
        <v>2018</v>
      </c>
      <c r="K38" s="343">
        <f t="shared" ref="K38" si="35">+J38+1</f>
        <v>2019</v>
      </c>
      <c r="L38" s="343">
        <f t="shared" ref="L38" si="36">+K38+1</f>
        <v>2020</v>
      </c>
      <c r="M38" s="343">
        <f t="shared" ref="M38" si="37">+L38+1</f>
        <v>2021</v>
      </c>
      <c r="N38" s="343">
        <v>2022</v>
      </c>
      <c r="O38" s="343">
        <f t="shared" ref="O38" si="38">+N38+1</f>
        <v>2023</v>
      </c>
      <c r="P38" s="344">
        <f>+O38+1</f>
        <v>2024</v>
      </c>
      <c r="Q38" s="342">
        <f>+P38+1</f>
        <v>2025</v>
      </c>
      <c r="R38" s="342">
        <f>+Q38+1</f>
        <v>2026</v>
      </c>
    </row>
    <row r="39" spans="2:18" ht="4.1500000000000004" customHeight="1" x14ac:dyDescent="0.35">
      <c r="B39" s="233"/>
      <c r="C39" s="44"/>
      <c r="D39" s="51"/>
      <c r="E39" s="51"/>
      <c r="F39" s="51"/>
      <c r="G39" s="51"/>
      <c r="H39" s="51"/>
      <c r="I39" s="51"/>
      <c r="J39" s="51"/>
      <c r="K39" s="51"/>
      <c r="L39" s="51"/>
      <c r="M39" s="51"/>
      <c r="N39" s="208"/>
      <c r="O39" s="208"/>
      <c r="P39" s="324"/>
      <c r="Q39" s="208"/>
      <c r="R39" s="208"/>
    </row>
    <row r="40" spans="2:18" ht="15.5" x14ac:dyDescent="0.35">
      <c r="B40" s="15" t="s">
        <v>74</v>
      </c>
      <c r="F40" s="13">
        <f>+IFERROR(_xlfn.XLOOKUP("Total Debt",Inputs!$B:$B,Inputs!G:G)/+_xlfn.XLOOKUP("Shareholder's Equity",Inputs!$B:$B,Inputs!G:G),"")</f>
        <v>0.17486402421782737</v>
      </c>
      <c r="G40" s="13">
        <f>+IFERROR(_xlfn.XLOOKUP("Total Debt",Inputs!$B:$B,Inputs!H:H)/+_xlfn.XLOOKUP("Shareholder's Equity",Inputs!$B:$B,Inputs!H:H),"")</f>
        <v>0.13807468778784066</v>
      </c>
      <c r="H40" s="13">
        <f>+IFERROR(_xlfn.XLOOKUP("Total Debt",Inputs!$B:$B,Inputs!I:I)/+_xlfn.XLOOKUP("Shareholder's Equity",Inputs!$B:$B,Inputs!I:I),"")</f>
        <v>0.15114720524817263</v>
      </c>
      <c r="I40" s="13">
        <f>+IFERROR(_xlfn.XLOOKUP("Total Debt",Inputs!$B:$B,Inputs!J:J)/+_xlfn.XLOOKUP("Shareholder's Equity",Inputs!$B:$B,Inputs!J:J),"")</f>
        <v>0.10615329574316472</v>
      </c>
      <c r="J40" s="13">
        <f>+IFERROR(_xlfn.XLOOKUP("Total Debt",Inputs!$B:$B,Inputs!K:K)/+_xlfn.XLOOKUP("Shareholder's Equity",Inputs!$B:$B,Inputs!K:K),"")</f>
        <v>9.0783357024856889E-2</v>
      </c>
      <c r="K40" s="13">
        <f>+IFERROR(_xlfn.XLOOKUP("Total Debt",Inputs!$B:$B,Inputs!L:L)/+_xlfn.XLOOKUP("Shareholder's Equity",Inputs!$B:$B,Inputs!L:L),"")</f>
        <v>0.22156926555935233</v>
      </c>
      <c r="L40" s="13">
        <f>+IFERROR(_xlfn.XLOOKUP("Total Debt",Inputs!$B:$B,Inputs!M:M)/+_xlfn.XLOOKUP("Shareholder's Equity",Inputs!$B:$B,Inputs!M:M),"")</f>
        <v>0.19188928338191186</v>
      </c>
      <c r="M40" s="13">
        <f>+IFERROR(_xlfn.XLOOKUP("Total Debt",Inputs!$B:$B,Inputs!N:N)/+_xlfn.XLOOKUP("Shareholder's Equity",Inputs!$B:$B,Inputs!N:N),"")</f>
        <v>0.26534343338516281</v>
      </c>
      <c r="N40" s="13">
        <f>+IFERROR(_xlfn.XLOOKUP("Total Debt",Inputs!$B:$B,Inputs!O:O)/+_xlfn.XLOOKUP("Shareholder's Equity",Inputs!$B:$B,Inputs!O:O),"")</f>
        <v>0.33499182341741651</v>
      </c>
      <c r="O40" s="13">
        <f>+IFERROR(_xlfn.XLOOKUP("Total Debt",Inputs!$B:$B,Inputs!P:P)/+_xlfn.XLOOKUP("Shareholder's Equity",Inputs!$B:$B,Inputs!P:P),"")</f>
        <v>0.50065415914383637</v>
      </c>
      <c r="P40" s="322">
        <f>+IFERROR(_xlfn.XLOOKUP("Total Debt",Inputs!$B:$B,Inputs!Q:Q)/+_xlfn.XLOOKUP("Shareholder's Equity",Inputs!$B:$B,Inputs!Q:Q),"")</f>
        <v>0.29064731849931746</v>
      </c>
      <c r="Q40" s="329">
        <f>IFERROR((_xlfn.XLOOKUP("Total Borrowings",DCF!$B:$B,DCF!G:G)+_xlfn.XLOOKUP("Total Leases",DCF!$B:$B,DCF!G:G))/_xlfn.XLOOKUP("Shareholder's Equity",DCF!$6:$6,DCF!10:10),"")</f>
        <v>-1.8844786681750697E-15</v>
      </c>
      <c r="R40" s="329">
        <f>IFERROR((_xlfn.XLOOKUP("Total Borrowings",DCF!$B:$B,DCF!H:H)+_xlfn.XLOOKUP("Total Leases",DCF!$B:$B,DCF!H:H))/_xlfn.XLOOKUP("Shareholder's Equity",DCF!$6:$6,DCF!10:10),"")</f>
        <v>-2.0487953085514744E-15</v>
      </c>
    </row>
    <row r="41" spans="2:18" ht="15.5" x14ac:dyDescent="0.35">
      <c r="B41" s="234" t="s">
        <v>76</v>
      </c>
      <c r="F41" s="13">
        <f>+IFERROR(_xlfn.XLOOKUP("Total Debt",Inputs!$B:$B,Inputs!G:G)/(+_xlfn.XLOOKUP("Shareholder's Equity",Inputs!$B:$B,Inputs!G:G)+_xlfn.XLOOKUP("Total Debt",Inputs!$B:$B,Inputs!G:G)),"")</f>
        <v>0.14883767024379194</v>
      </c>
      <c r="G41" s="13">
        <f>+IFERROR(_xlfn.XLOOKUP("Total Debt",Inputs!$B:$B,Inputs!H:H)/(+_xlfn.XLOOKUP("Shareholder's Equity",Inputs!$B:$B,Inputs!H:H)+_xlfn.XLOOKUP("Total Debt",Inputs!$B:$B,Inputs!H:H)),"")</f>
        <v>0.12132304607901137</v>
      </c>
      <c r="H41" s="13">
        <f>+IFERROR(_xlfn.XLOOKUP("Total Debt",Inputs!$B:$B,Inputs!I:I)/(+_xlfn.XLOOKUP("Shareholder's Equity",Inputs!$B:$B,Inputs!I:I)+_xlfn.XLOOKUP("Total Debt",Inputs!$B:$B,Inputs!I:I)),"")</f>
        <v>0.13130137011068643</v>
      </c>
      <c r="I41" s="13">
        <f>+IFERROR(_xlfn.XLOOKUP("Total Debt",Inputs!$B:$B,Inputs!J:J)/(+_xlfn.XLOOKUP("Shareholder's Equity",Inputs!$B:$B,Inputs!J:J)+_xlfn.XLOOKUP("Total Debt",Inputs!$B:$B,Inputs!J:J)),"")</f>
        <v>9.5966170468123099E-2</v>
      </c>
      <c r="J41" s="13">
        <f>+IFERROR(_xlfn.XLOOKUP("Total Debt",Inputs!$B:$B,Inputs!K:K)/(+_xlfn.XLOOKUP("Shareholder's Equity",Inputs!$B:$B,Inputs!K:K)+_xlfn.XLOOKUP("Total Debt",Inputs!$B:$B,Inputs!K:K)),"")</f>
        <v>8.3227669766131301E-2</v>
      </c>
      <c r="K41" s="13">
        <f>+IFERROR(_xlfn.XLOOKUP("Total Debt",Inputs!$B:$B,Inputs!L:L)/(+_xlfn.XLOOKUP("Shareholder's Equity",Inputs!$B:$B,Inputs!L:L)+_xlfn.XLOOKUP("Total Debt",Inputs!$B:$B,Inputs!L:L)),"")</f>
        <v>0.18138084495593176</v>
      </c>
      <c r="L41" s="13">
        <f>+IFERROR(_xlfn.XLOOKUP("Total Debt",Inputs!$B:$B,Inputs!M:M)/(+_xlfn.XLOOKUP("Shareholder's Equity",Inputs!$B:$B,Inputs!M:M)+_xlfn.XLOOKUP("Total Debt",Inputs!$B:$B,Inputs!M:M)),"")</f>
        <v>0.16099589622740623</v>
      </c>
      <c r="M41" s="13">
        <f>+IFERROR(_xlfn.XLOOKUP("Total Debt",Inputs!$B:$B,Inputs!N:N)/(+_xlfn.XLOOKUP("Shareholder's Equity",Inputs!$B:$B,Inputs!N:N)+_xlfn.XLOOKUP("Total Debt",Inputs!$B:$B,Inputs!N:N)),"")</f>
        <v>0.20970072344335144</v>
      </c>
      <c r="N41" s="13">
        <f>+IFERROR(_xlfn.XLOOKUP("Total Debt",Inputs!$B:$B,Inputs!O:O)/(+_xlfn.XLOOKUP("Shareholder's Equity",Inputs!$B:$B,Inputs!O:O)+_xlfn.XLOOKUP("Total Debt",Inputs!$B:$B,Inputs!O:O)),"")</f>
        <v>0.25093174170900778</v>
      </c>
      <c r="O41" s="13">
        <f>+IFERROR(_xlfn.XLOOKUP("Total Debt",Inputs!$B:$B,Inputs!P:P)/(+_xlfn.XLOOKUP("Shareholder's Equity",Inputs!$B:$B,Inputs!P:P)+_xlfn.XLOOKUP("Total Debt",Inputs!$B:$B,Inputs!P:P)),"")</f>
        <v>0.33362394399351353</v>
      </c>
      <c r="P41" s="322">
        <f>+IFERROR(_xlfn.XLOOKUP("Total Debt",Inputs!$B:$B,Inputs!Q:Q)/(+_xlfn.XLOOKUP("Shareholder's Equity",Inputs!$B:$B,Inputs!Q:Q)+_xlfn.XLOOKUP("Total Debt",Inputs!$B:$B,Inputs!Q:Q)),"")</f>
        <v>0.2251949965985004</v>
      </c>
      <c r="Q41" s="329">
        <f>IFERROR((_xlfn.XLOOKUP("Total Borrowings",DCF!$B:$B,DCF!G:G)+_xlfn.XLOOKUP("Total Leases",DCF!$B:$B,DCF!G:G))/(_xlfn.XLOOKUP("Shareholder's Equity",DCF!$6:$6,DCF!10:10)+_xlfn.XLOOKUP("Total Borrowings",DCF!$B:$B,DCF!G:G)+_xlfn.XLOOKUP("Total Leases",DCF!$B:$B,DCF!G:G)),"")</f>
        <v>-1.8844786681750733E-15</v>
      </c>
      <c r="R41" s="329">
        <f>IFERROR((_xlfn.XLOOKUP("Total Borrowings",DCF!$B:$B,DCF!H:H)+_xlfn.XLOOKUP("Total Leases",DCF!$B:$B,DCF!H:H))/(_xlfn.XLOOKUP("Shareholder's Equity",DCF!$6:$6,DCF!10:10)+_xlfn.XLOOKUP("Total Borrowings",DCF!$B:$B,DCF!H:H)+_xlfn.XLOOKUP("Total Leases",DCF!$B:$B,DCF!H:H)),"")</f>
        <v>-2.0487953085514784E-15</v>
      </c>
    </row>
    <row r="42" spans="2:18" ht="15.5" x14ac:dyDescent="0.35">
      <c r="B42" s="234" t="s">
        <v>78</v>
      </c>
      <c r="F42" s="13">
        <f>IFERROR(_xlfn.XLOOKUP("Total Liabilities",Inputs!$B:$B,Inputs!G:G)/_xlfn.XLOOKUP("Total Assets",Inputs!$B:$B,Inputs!G:G),"")</f>
        <v>0.32908906272667421</v>
      </c>
      <c r="G42" s="13">
        <f>IFERROR(_xlfn.XLOOKUP("Total Liabilities",Inputs!$B:$B,Inputs!H:H)/_xlfn.XLOOKUP("Total Assets",Inputs!$B:$B,Inputs!H:H),"")</f>
        <v>0.27933917157211258</v>
      </c>
      <c r="H42" s="13">
        <f>IFERROR(_xlfn.XLOOKUP("Total Liabilities",Inputs!$B:$B,Inputs!I:I)/_xlfn.XLOOKUP("Total Assets",Inputs!$B:$B,Inputs!I:I),"")</f>
        <v>0.25429600198659053</v>
      </c>
      <c r="I42" s="13">
        <f>IFERROR(_xlfn.XLOOKUP("Total Liabilities",Inputs!$B:$B,Inputs!J:J)/_xlfn.XLOOKUP("Total Assets",Inputs!$B:$B,Inputs!J:J),"")</f>
        <v>0.25534805277156392</v>
      </c>
      <c r="J42" s="13">
        <f>IFERROR(_xlfn.XLOOKUP("Total Liabilities",Inputs!$B:$B,Inputs!K:K)/_xlfn.XLOOKUP("Total Assets",Inputs!$B:$B,Inputs!K:K),"")</f>
        <v>0.2640048508992543</v>
      </c>
      <c r="K42" s="13">
        <f>IFERROR(_xlfn.XLOOKUP("Total Liabilities",Inputs!$B:$B,Inputs!L:L)/_xlfn.XLOOKUP("Total Assets",Inputs!$B:$B,Inputs!L:L),"")</f>
        <v>0.26533258337765125</v>
      </c>
      <c r="L42" s="13">
        <f>IFERROR(_xlfn.XLOOKUP("Total Liabilities",Inputs!$B:$B,Inputs!M:M)/_xlfn.XLOOKUP("Total Assets",Inputs!$B:$B,Inputs!M:M),"")</f>
        <v>0.27067225485746882</v>
      </c>
      <c r="M42" s="13">
        <f>IFERROR(_xlfn.XLOOKUP("Total Liabilities",Inputs!$B:$B,Inputs!N:N)/_xlfn.XLOOKUP("Total Assets",Inputs!$B:$B,Inputs!N:N),"")</f>
        <v>0.35450654200563381</v>
      </c>
      <c r="N42" s="13">
        <f>IFERROR(_xlfn.XLOOKUP("Total Liabilities",Inputs!$B:$B,Inputs!O:O)/_xlfn.XLOOKUP("Total Assets",Inputs!$B:$B,Inputs!O:O),"")</f>
        <v>0.390684644007259</v>
      </c>
      <c r="O42" s="13">
        <f>IFERROR(_xlfn.XLOOKUP("Total Liabilities",Inputs!$B:$B,Inputs!P:P)/_xlfn.XLOOKUP("Total Assets",Inputs!$B:$B,Inputs!P:P),"")</f>
        <v>0.46672288104678339</v>
      </c>
      <c r="P42" s="322">
        <f>IFERROR(_xlfn.XLOOKUP("Total Liabilities",Inputs!$B:$B,Inputs!Q:Q)/_xlfn.XLOOKUP("Total Assets",Inputs!$B:$B,Inputs!Q:Q),"")</f>
        <v>0.38329167195082064</v>
      </c>
      <c r="Q42" s="910">
        <f>IFERROR(+_xlfn.XLOOKUP("Total Liabilities",DCF!$6:$6,DCF!10:10)/_xlfn.XLOOKUP("Total Assets",DCF!$6:$6,DCF!10:10),"")</f>
        <v>95066534747287.156</v>
      </c>
      <c r="R42" s="910">
        <f>IFERROR(+_xlfn.XLOOKUP("Total Liabilities",DCF!$6:$6,DCF!10:10)/_xlfn.XLOOKUP("Total Assets",DCF!$6:$6,DCF!10:10),"")</f>
        <v>95066534747287.156</v>
      </c>
    </row>
    <row r="43" spans="2:18" ht="15.5" x14ac:dyDescent="0.35">
      <c r="B43" s="15" t="s">
        <v>80</v>
      </c>
      <c r="F43" s="13">
        <f>+IFERROR(_xlfn.XLOOKUP("Total Debt",Inputs!$B:$B,Inputs!G:G,,,-1)/_xlfn.XLOOKUP("EBITDA",Inputs!$B:$B,Inputs!G:G),"")</f>
        <v>0.59004340342737427</v>
      </c>
      <c r="G43" s="13">
        <f>+IFERROR(_xlfn.XLOOKUP("Total Debt",Inputs!$B:$B,Inputs!H:H,,,-1)/_xlfn.XLOOKUP("EBITDA",Inputs!$B:$B,Inputs!H:H),"")</f>
        <v>0.52056267517495458</v>
      </c>
      <c r="H43" s="13">
        <f>+IFERROR(_xlfn.XLOOKUP("Total Debt",Inputs!$B:$B,Inputs!I:I,,,-1)/_xlfn.XLOOKUP("EBITDA",Inputs!$B:$B,Inputs!I:I),"")</f>
        <v>0.99454943850999722</v>
      </c>
      <c r="I43" s="13">
        <f>+IFERROR(_xlfn.XLOOKUP("Total Debt",Inputs!$B:$B,Inputs!J:J,,,-1)/_xlfn.XLOOKUP("EBITDA",Inputs!$B:$B,Inputs!J:J),"")</f>
        <v>0.25284523071722342</v>
      </c>
      <c r="J43" s="13">
        <f>+IFERROR(_xlfn.XLOOKUP("Total Debt",Inputs!$B:$B,Inputs!K:K,,,-1)/_xlfn.XLOOKUP("EBITDA",Inputs!$B:$B,Inputs!K:K),"")</f>
        <v>0.19828908417053215</v>
      </c>
      <c r="K43" s="13">
        <f>+IFERROR(_xlfn.XLOOKUP("Total Debt",Inputs!$B:$B,Inputs!L:L,,,-1)/_xlfn.XLOOKUP("EBITDA",Inputs!$B:$B,Inputs!L:L),"")</f>
        <v>2.9396900083033479</v>
      </c>
      <c r="L43" s="13">
        <f>+IFERROR(_xlfn.XLOOKUP("Total Debt",Inputs!$B:$B,Inputs!M:M,,,-1)/_xlfn.XLOOKUP("EBITDA",Inputs!$B:$B,Inputs!M:M),"")</f>
        <v>1.6662150181495787</v>
      </c>
      <c r="M43" s="13">
        <f>+IFERROR(_xlfn.XLOOKUP("Total Debt",Inputs!$B:$B,Inputs!N:N,,,-1)/_xlfn.XLOOKUP("EBITDA",Inputs!$B:$B,Inputs!N:N),"")</f>
        <v>1.2544089029433223</v>
      </c>
      <c r="N43" s="13">
        <f>+IFERROR(_xlfn.XLOOKUP("Total Debt",Inputs!$B:$B,Inputs!O:O,,,-1)/_xlfn.XLOOKUP("EBITDA",Inputs!$B:$B,Inputs!O:O),"")</f>
        <v>2.8311344941779732</v>
      </c>
      <c r="O43" s="13">
        <f>+IFERROR(_xlfn.XLOOKUP("Total Debt",Inputs!$B:$B,Inputs!P:P,,,-1)/_xlfn.XLOOKUP("EBITDA",Inputs!$B:$B,Inputs!P:P),"")</f>
        <v>-3.7499335041227471</v>
      </c>
      <c r="P43" s="322">
        <f>+IFERROR(_xlfn.XLOOKUP("Total Debt",Inputs!$B:$B,Inputs!Q:Q,,,-1)/_xlfn.XLOOKUP("EBITDA",Inputs!$B:$B,Inputs!Q:Q),"")</f>
        <v>0.89413576393224314</v>
      </c>
      <c r="Q43" s="329">
        <f>IFERROR((_xlfn.XLOOKUP("Total Borrowings",DCF!$B:$B,DCF!G:G)+_xlfn.XLOOKUP("Total Leases",DCF!$B:$B,DCF!G:G))/_xlfn.XLOOKUP("EBITDA",DCF!$B:$B,DCF!H:H),"")</f>
        <v>1.1160193524849418</v>
      </c>
      <c r="R43" s="329">
        <f>IFERROR((_xlfn.XLOOKUP("Total Borrowings",DCF!$B:$B,DCF!H:H)+_xlfn.XLOOKUP("Total Leases",DCF!$B:$B,DCF!H:H))/_xlfn.XLOOKUP("EBITDA",DCF!$B:$B,DCF!I:I),"")</f>
        <v>0.98393295779450596</v>
      </c>
    </row>
    <row r="44" spans="2:18" ht="15.5" x14ac:dyDescent="0.35">
      <c r="B44" s="15" t="s">
        <v>82</v>
      </c>
      <c r="F44" s="13">
        <f>IFERROR(_xlfn.XLOOKUP("Total Debt",Inputs!$B:$B,Inputs!G:G,,,-1)/(_xlfn.XLOOKUP("EBITDA",Inputs!$B:$B,Inputs!G:G)+_xlfn.XLOOKUP("Net Capex",Inputs!$B:$B,Inputs!G:G)),"")</f>
        <v>7.7415316642121175</v>
      </c>
      <c r="G44" s="13">
        <f>IFERROR(_xlfn.XLOOKUP("Total Debt",Inputs!$B:$B,Inputs!H:H,,,-1)/(_xlfn.XLOOKUP("EBITDA",Inputs!$B:$B,Inputs!H:H)+_xlfn.XLOOKUP("Net Capex",Inputs!$B:$B,Inputs!H:H)),"")</f>
        <v>-1.9721517296647539</v>
      </c>
      <c r="H44" s="13">
        <f>IFERROR(_xlfn.XLOOKUP("Total Debt",Inputs!$B:$B,Inputs!I:I,,,-1)/(_xlfn.XLOOKUP("EBITDA",Inputs!$B:$B,Inputs!I:I)+_xlfn.XLOOKUP("Net Capex",Inputs!$B:$B,Inputs!I:I)),"")</f>
        <v>-1.3589446107784431</v>
      </c>
      <c r="I44" s="13">
        <f>IFERROR(_xlfn.XLOOKUP("Total Debt",Inputs!$B:$B,Inputs!J:J,,,-1)/(_xlfn.XLOOKUP("EBITDA",Inputs!$B:$B,Inputs!J:J)+_xlfn.XLOOKUP("Net Capex",Inputs!$B:$B,Inputs!J:J)),"")</f>
        <v>0.79182197128426768</v>
      </c>
      <c r="J44" s="13">
        <f>IFERROR(_xlfn.XLOOKUP("Total Debt",Inputs!$B:$B,Inputs!K:K,,,-1)/(_xlfn.XLOOKUP("EBITDA",Inputs!$B:$B,Inputs!K:K)+_xlfn.XLOOKUP("Net Capex",Inputs!$B:$B,Inputs!K:K)),"")</f>
        <v>0.92154696132596681</v>
      </c>
      <c r="K44" s="13">
        <f>IFERROR(_xlfn.XLOOKUP("Total Debt",Inputs!$B:$B,Inputs!L:L,,,-1)/(_xlfn.XLOOKUP("EBITDA",Inputs!$B:$B,Inputs!L:L)+_xlfn.XLOOKUP("Net Capex",Inputs!$B:$B,Inputs!L:L)),"")</f>
        <v>-0.97204070799699827</v>
      </c>
      <c r="L44" s="13">
        <f>IFERROR(_xlfn.XLOOKUP("Total Debt",Inputs!$B:$B,Inputs!M:M,,,-1)/(_xlfn.XLOOKUP("EBITDA",Inputs!$B:$B,Inputs!M:M)+_xlfn.XLOOKUP("Net Capex",Inputs!$B:$B,Inputs!M:M)),"")</f>
        <v>-2.0616371727206872</v>
      </c>
      <c r="M44" s="13">
        <f>IFERROR(_xlfn.XLOOKUP("Total Debt",Inputs!$B:$B,Inputs!N:N,,,-1)/(_xlfn.XLOOKUP("EBITDA",Inputs!$B:$B,Inputs!N:N)+_xlfn.XLOOKUP("Net Capex",Inputs!$B:$B,Inputs!N:N)),"")</f>
        <v>-73.900582176445695</v>
      </c>
      <c r="N44" s="13">
        <f>IFERROR(_xlfn.XLOOKUP("Total Debt",Inputs!$B:$B,Inputs!O:O,,,-1)/(_xlfn.XLOOKUP("EBITDA",Inputs!$B:$B,Inputs!O:O)+_xlfn.XLOOKUP("Net Capex",Inputs!$B:$B,Inputs!O:O)),"")</f>
        <v>-1.7763795096938513</v>
      </c>
      <c r="O44" s="13">
        <f>IFERROR(_xlfn.XLOOKUP("Total Debt",Inputs!$B:$B,Inputs!P:P,,,-1)/(_xlfn.XLOOKUP("EBITDA",Inputs!$B:$B,Inputs!P:P)+_xlfn.XLOOKUP("Net Capex",Inputs!$B:$B,Inputs!P:P)),"")</f>
        <v>-1.8624259532219045</v>
      </c>
      <c r="P44" s="322">
        <f>IFERROR(_xlfn.XLOOKUP("Total Debt",Inputs!$B:$B,Inputs!Q:Q,,,-1)/(_xlfn.XLOOKUP("EBITDA",Inputs!$B:$B,Inputs!Q:Q)+_xlfn.XLOOKUP("Net Capex",Inputs!$B:$B,Inputs!Q:Q)),"")</f>
        <v>2.8909731941005505</v>
      </c>
      <c r="Q44" s="329">
        <f>IFERROR((_xlfn.XLOOKUP("Total Borrowings",DCF!$B:$B,DCF!G:G)+_xlfn.XLOOKUP("Total Leases",DCF!$B:$B,DCF!G:G))/(_xlfn.XLOOKUP("EBITDA",DCF!$B:$B,DCF!H:H)+_xlfn.XLOOKUP("Net Capex",DCF!$B:$B,DCF!H:H)),"")</f>
        <v>-2.7097052767301806</v>
      </c>
      <c r="R44" s="329">
        <f>IFERROR((_xlfn.XLOOKUP("Total Borrowings",DCF!$B:$B,DCF!H:H)+_xlfn.XLOOKUP("Total Leases",DCF!$B:$B,DCF!H:H))/(_xlfn.XLOOKUP("EBITDA",DCF!$B:$B,DCF!I:I)+_xlfn.XLOOKUP("Net Capex",DCF!$B:$B,DCF!I:I)),"")</f>
        <v>-2.9677342390970618</v>
      </c>
    </row>
    <row r="45" spans="2:18" ht="15.5" x14ac:dyDescent="0.35">
      <c r="B45" s="15" t="s">
        <v>84</v>
      </c>
      <c r="F45" s="13">
        <f>+IFERROR(_xlfn.XLOOKUP("Net Debt",Inputs!$B:$B,Inputs!G:G,,,-1)/_xlfn.XLOOKUP("EBITDA",Inputs!$B:$B,Inputs!G:G),"")</f>
        <v>-0.15402604205642464</v>
      </c>
      <c r="G45" s="13">
        <f>+IFERROR(_xlfn.XLOOKUP("Net Debt",Inputs!$B:$B,Inputs!H:H,,,-1)/_xlfn.XLOOKUP("EBITDA",Inputs!$B:$B,Inputs!H:H),"")</f>
        <v>-0.30492340778085275</v>
      </c>
      <c r="H45" s="13">
        <f>+IFERROR(_xlfn.XLOOKUP("Net Debt",Inputs!$B:$B,Inputs!I:I,,,-1)/_xlfn.XLOOKUP("EBITDA",Inputs!$B:$B,Inputs!I:I),"")</f>
        <v>-0.11528348397699263</v>
      </c>
      <c r="I45" s="13">
        <f>+IFERROR(_xlfn.XLOOKUP("Net Debt",Inputs!$B:$B,Inputs!J:J,,,-1)/_xlfn.XLOOKUP("EBITDA",Inputs!$B:$B,Inputs!J:J),"")</f>
        <v>-0.33311735872443521</v>
      </c>
      <c r="J45" s="13">
        <f>+IFERROR(_xlfn.XLOOKUP("Net Debt",Inputs!$B:$B,Inputs!K:K,,,-1)/_xlfn.XLOOKUP("EBITDA",Inputs!$B:$B,Inputs!K:K),"")</f>
        <v>-0.18099345003612971</v>
      </c>
      <c r="K45" s="13">
        <f>+IFERROR(_xlfn.XLOOKUP("Net Debt",Inputs!$B:$B,Inputs!L:L,,,-1)/_xlfn.XLOOKUP("EBITDA",Inputs!$B:$B,Inputs!L:L),"")</f>
        <v>1.898754497647384</v>
      </c>
      <c r="L45" s="13">
        <f>+IFERROR(_xlfn.XLOOKUP("Net Debt",Inputs!$B:$B,Inputs!M:M,,,-1)/_xlfn.XLOOKUP("EBITDA",Inputs!$B:$B,Inputs!M:M),"")</f>
        <v>0.89207273213897365</v>
      </c>
      <c r="M45" s="13">
        <f>+IFERROR(_xlfn.XLOOKUP("Net Debt",Inputs!$B:$B,Inputs!N:N,,,-1)/_xlfn.XLOOKUP("EBITDA",Inputs!$B:$B,Inputs!N:N),"")</f>
        <v>0.6195572853320358</v>
      </c>
      <c r="N45" s="13">
        <f>+IFERROR(_xlfn.XLOOKUP("Net Debt",Inputs!$B:$B,Inputs!O:O,,,-1)/_xlfn.XLOOKUP("EBITDA",Inputs!$B:$B,Inputs!O:O),"")</f>
        <v>2.0193355410746721</v>
      </c>
      <c r="O45" s="13">
        <f>+IFERROR(_xlfn.XLOOKUP("Net Debt",Inputs!$B:$B,Inputs!P:P,,,-1)/_xlfn.XLOOKUP("EBITDA",Inputs!$B:$B,Inputs!P:P),"")</f>
        <v>-2.5332549381938341</v>
      </c>
      <c r="P45" s="322">
        <f>+IFERROR(_xlfn.XLOOKUP("Net Debt",Inputs!$B:$B,Inputs!Q:Q,,,-1)/_xlfn.XLOOKUP("EBITDA",Inputs!$B:$B,Inputs!Q:Q),"")</f>
        <v>0.31445457193990106</v>
      </c>
      <c r="Q45" s="329">
        <f>IFERROR((_xlfn.XLOOKUP("Total Borrowings",DCF!$B:$B,DCF!G:G)+_xlfn.XLOOKUP("Total Leases",DCF!$B:$B,DCF!G:G)-_xlfn.XLOOKUP("Cash &amp; Cash Equivalents &amp; ST Investments",DCF!$B:$B,DCF!G:G))/_xlfn.XLOOKUP("EBITDA",DCF!$B:$B,DCF!H:H),"")</f>
        <v>0.39248780992602333</v>
      </c>
      <c r="R45" s="329">
        <f>IFERROR((_xlfn.XLOOKUP("Total Borrowings",DCF!$B:$B,DCF!H:H)+_xlfn.XLOOKUP("Total Leases",DCF!$B:$B,DCF!H:H)-_xlfn.XLOOKUP("Cash &amp; Cash Equivalents &amp; ST Investments",DCF!$B:$B,DCF!H:H))/_xlfn.XLOOKUP("EBITDA",DCF!$B:$B,DCF!I:I),"")</f>
        <v>0.93027350228642514</v>
      </c>
    </row>
    <row r="46" spans="2:18" ht="8.25" customHeight="1" x14ac:dyDescent="0.35">
      <c r="B46" s="234"/>
      <c r="N46" s="236"/>
      <c r="O46" s="236"/>
      <c r="P46" s="325"/>
      <c r="Q46" s="330"/>
      <c r="R46" s="330"/>
    </row>
    <row r="47" spans="2:18" ht="15.5" x14ac:dyDescent="0.35">
      <c r="B47" s="7" t="s">
        <v>675</v>
      </c>
      <c r="C47" s="47"/>
      <c r="D47" s="49"/>
      <c r="E47" s="49"/>
      <c r="F47" s="343">
        <v>2014</v>
      </c>
      <c r="G47" s="343">
        <f t="shared" ref="G47" si="39">+F47+1</f>
        <v>2015</v>
      </c>
      <c r="H47" s="343">
        <f t="shared" ref="H47" si="40">+G47+1</f>
        <v>2016</v>
      </c>
      <c r="I47" s="343">
        <f t="shared" ref="I47" si="41">+H47+1</f>
        <v>2017</v>
      </c>
      <c r="J47" s="343">
        <f t="shared" ref="J47" si="42">+I47+1</f>
        <v>2018</v>
      </c>
      <c r="K47" s="343">
        <f t="shared" ref="K47" si="43">+J47+1</f>
        <v>2019</v>
      </c>
      <c r="L47" s="343">
        <f t="shared" ref="L47" si="44">+K47+1</f>
        <v>2020</v>
      </c>
      <c r="M47" s="343">
        <f t="shared" ref="M47" si="45">+L47+1</f>
        <v>2021</v>
      </c>
      <c r="N47" s="343">
        <v>2022</v>
      </c>
      <c r="O47" s="343">
        <f t="shared" ref="O47" si="46">+N47+1</f>
        <v>2023</v>
      </c>
      <c r="P47" s="344">
        <f>+O47+1</f>
        <v>2024</v>
      </c>
      <c r="Q47" s="342">
        <f>+P47+1</f>
        <v>2025</v>
      </c>
      <c r="R47" s="342">
        <f>+Q47+1</f>
        <v>2026</v>
      </c>
    </row>
    <row r="48" spans="2:18" ht="4.1500000000000004" customHeight="1" x14ac:dyDescent="0.35">
      <c r="B48" s="233"/>
      <c r="C48" s="44"/>
      <c r="D48" s="51"/>
      <c r="E48" s="51"/>
      <c r="F48" s="51"/>
      <c r="G48" s="51"/>
      <c r="H48" s="51"/>
      <c r="I48" s="51"/>
      <c r="J48" s="51"/>
      <c r="K48" s="51"/>
      <c r="L48" s="51"/>
      <c r="M48" s="51"/>
      <c r="N48" s="208"/>
      <c r="O48" s="208"/>
      <c r="P48" s="324"/>
      <c r="Q48" s="208"/>
      <c r="R48" s="208"/>
    </row>
    <row r="49" spans="2:18" ht="15.5" x14ac:dyDescent="0.35">
      <c r="B49" s="234" t="s">
        <v>89</v>
      </c>
      <c r="F49" s="13">
        <f>IFERROR(_xlfn.XLOOKUP("Operating Income (EBIT)",Inputs!$B:$B,Inputs!G:G)/_xlfn.XLOOKUP("Interest Expense",Inputs!$B:$B,Inputs!G:G),"N/A")</f>
        <v>30.027582159624401</v>
      </c>
      <c r="G49" s="13">
        <f>IFERROR(_xlfn.XLOOKUP("Operating Income (EBIT)",Inputs!$B:$B,Inputs!H:H)/_xlfn.XLOOKUP("Interest Expense",Inputs!$B:$B,Inputs!H:H),"N/A")</f>
        <v>45.095358649789034</v>
      </c>
      <c r="H49" s="13">
        <f>IFERROR(_xlfn.XLOOKUP("Operating Income (EBIT)",Inputs!$B:$B,Inputs!I:I)/_xlfn.XLOOKUP("Interest Expense",Inputs!$B:$B,Inputs!I:I),"N/A")</f>
        <v>27.361365528726061</v>
      </c>
      <c r="I49" s="13">
        <f>IFERROR(_xlfn.XLOOKUP("Operating Income (EBIT)",Inputs!$B:$B,Inputs!J:J)/_xlfn.XLOOKUP("Interest Expense",Inputs!$B:$B,Inputs!J:J),"N/A")</f>
        <v>111.01291364003229</v>
      </c>
      <c r="J49" s="13">
        <f>IFERROR(_xlfn.XLOOKUP("Operating Income (EBIT)",Inputs!$B:$B,Inputs!K:K)/_xlfn.XLOOKUP("Interest Expense",Inputs!$B:$B,Inputs!K:K),"N/A")</f>
        <v>220.69661733615226</v>
      </c>
      <c r="K49" s="13">
        <f>IFERROR(_xlfn.XLOOKUP("Operating Income (EBIT)",Inputs!$B:$B,Inputs!L:L)/_xlfn.XLOOKUP("Interest Expense",Inputs!$B:$B,Inputs!L:L),"N/A")</f>
        <v>11.080684596577024</v>
      </c>
      <c r="L49" s="13">
        <f>IFERROR(_xlfn.XLOOKUP("Operating Income (EBIT)",Inputs!$B:$B,Inputs!M:M)/_xlfn.XLOOKUP("Interest Expense",Inputs!$B:$B,Inputs!M:M),"N/A")</f>
        <v>19.77357001972387</v>
      </c>
      <c r="M49" s="13">
        <f>IFERROR(_xlfn.XLOOKUP("Operating Income (EBIT)",Inputs!$B:$B,Inputs!N:N)/_xlfn.XLOOKUP("Interest Expense",Inputs!$B:$B,Inputs!N:N),"N/A")</f>
        <v>47.731923076923096</v>
      </c>
      <c r="N49" s="13">
        <f>IFERROR(_xlfn.XLOOKUP("Operating Income (EBIT)",Inputs!$B:$B,Inputs!O:O)/_xlfn.XLOOKUP("Interest Expense",Inputs!$B:$B,Inputs!O:O),"N/A")</f>
        <v>12.773213280810349</v>
      </c>
      <c r="O49" s="13">
        <f>IFERROR(_xlfn.XLOOKUP("Operating Income (EBIT)",Inputs!$B:$B,Inputs!P:P)/_xlfn.XLOOKUP("Interest Expense",Inputs!$B:$B,Inputs!P:P),"N/A")</f>
        <v>-5.2648641285840743</v>
      </c>
      <c r="P49" s="322">
        <f>IFERROR(_xlfn.XLOOKUP("Operating Income (EBIT)",Inputs!$B:$B,Inputs!Q:Q)/_xlfn.XLOOKUP("Interest Expense",Inputs!$B:$B,Inputs!Q:Q),"N/A")</f>
        <v>17.445286946179003</v>
      </c>
      <c r="Q49" s="329" t="str">
        <f>IFERROR(_xlfn.XLOOKUP("EBIT",DCF!$B:$B,DCF!H:H)/_xlfn.XLOOKUP("Interest Expense",DCF!$B:$B,DCF!H:H),"N/A")</f>
        <v>N/A</v>
      </c>
      <c r="R49" s="329" t="str">
        <f>IFERROR(_xlfn.XLOOKUP("EBIT",DCF!$B:$B,DCF!I:I)/_xlfn.XLOOKUP("Interest Expense",DCF!$B:$B,DCF!I:I),"N/A")</f>
        <v>N/A</v>
      </c>
    </row>
    <row r="50" spans="2:18" ht="15.5" x14ac:dyDescent="0.35">
      <c r="B50" s="15" t="s">
        <v>91</v>
      </c>
      <c r="F50" s="13">
        <f>IFERROR(_xlfn.XLOOKUP("EBITDA",Inputs!$B:$B,Inputs!G:G)/_xlfn.XLOOKUP("Interest Expense",Inputs!$B:$B,Inputs!G:G),"N/A")</f>
        <v>31.368544600938954</v>
      </c>
      <c r="G50" s="13">
        <f>IFERROR(_xlfn.XLOOKUP("EBITDA",Inputs!$B:$B,Inputs!H:H)/_xlfn.XLOOKUP("Interest Expense",Inputs!$B:$B,Inputs!H:H),"N/A")</f>
        <v>47.872573839662451</v>
      </c>
      <c r="H50" s="13">
        <f>IFERROR(_xlfn.XLOOKUP("EBITDA",Inputs!$B:$B,Inputs!I:I)/_xlfn.XLOOKUP("Interest Expense",Inputs!$B:$B,Inputs!I:I),"N/A")</f>
        <v>30.399666944213156</v>
      </c>
      <c r="I50" s="13">
        <f>IFERROR(_xlfn.XLOOKUP("EBITDA",Inputs!$B:$B,Inputs!J:J)/_xlfn.XLOOKUP("Interest Expense",Inputs!$B:$B,Inputs!J:J),"N/A")</f>
        <v>114.60209846650527</v>
      </c>
      <c r="J50" s="13">
        <f>IFERROR(_xlfn.XLOOKUP("EBITDA",Inputs!$B:$B,Inputs!K:K)/_xlfn.XLOOKUP("Interest Expense",Inputs!$B:$B,Inputs!K:K),"N/A")</f>
        <v>226.7494714587738</v>
      </c>
      <c r="K50" s="13">
        <f>IFERROR(_xlfn.XLOOKUP("EBITDA",Inputs!$B:$B,Inputs!L:L)/_xlfn.XLOOKUP("Interest Expense",Inputs!$B:$B,Inputs!L:L),"N/A")</f>
        <v>14.722901385493078</v>
      </c>
      <c r="L50" s="13">
        <f>IFERROR(_xlfn.XLOOKUP("EBITDA",Inputs!$B:$B,Inputs!M:M)/_xlfn.XLOOKUP("Interest Expense",Inputs!$B:$B,Inputs!M:M),"N/A")</f>
        <v>23.582248520710063</v>
      </c>
      <c r="M50" s="13">
        <f>IFERROR(_xlfn.XLOOKUP("EBITDA",Inputs!$B:$B,Inputs!N:N)/_xlfn.XLOOKUP("Interest Expense",Inputs!$B:$B,Inputs!N:N),"N/A")</f>
        <v>50.59692307692309</v>
      </c>
      <c r="N50" s="13">
        <f>IFERROR(_xlfn.XLOOKUP("EBITDA",Inputs!$B:$B,Inputs!O:O)/_xlfn.XLOOKUP("Interest Expense",Inputs!$B:$B,Inputs!O:O),"N/A")</f>
        <v>14.047645845057207</v>
      </c>
      <c r="O50" s="13">
        <f>IFERROR(_xlfn.XLOOKUP("EBITDA",Inputs!$B:$B,Inputs!P:P)/_xlfn.XLOOKUP("Interest Expense",Inputs!$B:$B,Inputs!P:P),"N/A")</f>
        <v>-4.8650139617244408</v>
      </c>
      <c r="P50" s="322">
        <f>IFERROR(_xlfn.XLOOKUP("EBITDA",Inputs!$B:$B,Inputs!Q:Q)/_xlfn.XLOOKUP("Interest Expense",Inputs!$B:$B,Inputs!Q:Q),"N/A")</f>
        <v>17.861284567350577</v>
      </c>
      <c r="Q50" s="329" t="str">
        <f>IFERROR(_xlfn.XLOOKUP("EBITDA",DCF!$B:$B,DCF!H:H)/_xlfn.XLOOKUP("Interest Expense",DCF!$B:$B,DCF!H:H),"N/A")</f>
        <v>N/A</v>
      </c>
      <c r="R50" s="329" t="str">
        <f>IFERROR(_xlfn.XLOOKUP("EBITDA",DCF!$B:$B,DCF!I:I)/_xlfn.XLOOKUP("Interest Expense",DCF!$B:$B,DCF!I:I),"N/A")</f>
        <v>N/A</v>
      </c>
    </row>
    <row r="51" spans="2:18" ht="15.5" x14ac:dyDescent="0.35">
      <c r="B51" s="15" t="s">
        <v>93</v>
      </c>
      <c r="F51" s="13">
        <f>IFERROR((_xlfn.XLOOKUP("EBITDA",Inputs!$B:$B,Inputs!G:G)-_xlfn.XLOOKUP("Net Capex",Inputs!$B:$B,Inputs!G:G))/_xlfn.XLOOKUP("Interest Expense",Inputs!$B:$B,Inputs!G:G),"N/A")</f>
        <v>60.346244131455386</v>
      </c>
      <c r="G51" s="13">
        <f>IFERROR((_xlfn.XLOOKUP("EBITDA",Inputs!$B:$B,Inputs!H:H)-_xlfn.XLOOKUP("Net Capex",Inputs!$B:$B,Inputs!H:H))/_xlfn.XLOOKUP("Interest Expense",Inputs!$B:$B,Inputs!H:H),"N/A")</f>
        <v>108.38143459915612</v>
      </c>
      <c r="H51" s="13">
        <f>IFERROR((_xlfn.XLOOKUP("EBITDA",Inputs!$B:$B,Inputs!I:I)-_xlfn.XLOOKUP("Net Capex",Inputs!$B:$B,Inputs!I:I))/_xlfn.XLOOKUP("Interest Expense",Inputs!$B:$B,Inputs!I:I),"N/A")</f>
        <v>83.047460449625319</v>
      </c>
      <c r="I51" s="13">
        <f>IFERROR((_xlfn.XLOOKUP("EBITDA",Inputs!$B:$B,Inputs!J:J)-_xlfn.XLOOKUP("Net Capex",Inputs!$B:$B,Inputs!J:J))/_xlfn.XLOOKUP("Interest Expense",Inputs!$B:$B,Inputs!J:J),"N/A")</f>
        <v>192.60936238902343</v>
      </c>
      <c r="J51" s="13">
        <f>IFERROR((_xlfn.XLOOKUP("EBITDA",Inputs!$B:$B,Inputs!K:K)-_xlfn.XLOOKUP("Net Capex",Inputs!$B:$B,Inputs!K:K))/_xlfn.XLOOKUP("Interest Expense",Inputs!$B:$B,Inputs!K:K),"N/A")</f>
        <v>404.7093023255814</v>
      </c>
      <c r="K51" s="13">
        <f>IFERROR((_xlfn.XLOOKUP("EBITDA",Inputs!$B:$B,Inputs!L:L)-_xlfn.XLOOKUP("Net Capex",Inputs!$B:$B,Inputs!L:L))/_xlfn.XLOOKUP("Interest Expense",Inputs!$B:$B,Inputs!L:L),"N/A")</f>
        <v>73.9714751426243</v>
      </c>
      <c r="L51" s="13">
        <f>IFERROR((_xlfn.XLOOKUP("EBITDA",Inputs!$B:$B,Inputs!M:M)-_xlfn.XLOOKUP("Net Capex",Inputs!$B:$B,Inputs!M:M))/_xlfn.XLOOKUP("Interest Expense",Inputs!$B:$B,Inputs!M:M),"N/A")</f>
        <v>66.223668639053258</v>
      </c>
      <c r="M51" s="13">
        <f>IFERROR((_xlfn.XLOOKUP("EBITDA",Inputs!$B:$B,Inputs!N:N)-_xlfn.XLOOKUP("Net Capex",Inputs!$B:$B,Inputs!N:N))/_xlfn.XLOOKUP("Interest Expense",Inputs!$B:$B,Inputs!N:N),"N/A")</f>
        <v>102.05269230769233</v>
      </c>
      <c r="N51" s="13">
        <f>IFERROR((_xlfn.XLOOKUP("EBITDA",Inputs!$B:$B,Inputs!O:O)-_xlfn.XLOOKUP("Net Capex",Inputs!$B:$B,Inputs!O:O))/_xlfn.XLOOKUP("Interest Expense",Inputs!$B:$B,Inputs!O:O),"N/A")</f>
        <v>50.483961733258297</v>
      </c>
      <c r="O51" s="13">
        <f>IFERROR((_xlfn.XLOOKUP("EBITDA",Inputs!$B:$B,Inputs!P:P)-_xlfn.XLOOKUP("Net Capex",Inputs!$B:$B,Inputs!P:P))/_xlfn.XLOOKUP("Interest Expense",Inputs!$B:$B,Inputs!P:P),"N/A")</f>
        <v>6.5517945923859872E-2</v>
      </c>
      <c r="P51" s="322">
        <f>IFERROR((_xlfn.XLOOKUP("EBITDA",Inputs!$B:$B,Inputs!Q:Q)-_xlfn.XLOOKUP("Net Capex",Inputs!$B:$B,Inputs!Q:Q))/_xlfn.XLOOKUP("Interest Expense",Inputs!$B:$B,Inputs!Q:Q),"N/A")</f>
        <v>30.198334820101095</v>
      </c>
      <c r="Q51" s="329" t="str">
        <f>IFERROR((_xlfn.XLOOKUP("EBITDA",DCF!$B:$B,DCF!H:H)-_xlfn.XLOOKUP("Net Capex",DCF!$B:$B,DCF!H:H))/_xlfn.XLOOKUP("Interest Expense",DCF!$B:$B,DCF!H:H),"N/A")</f>
        <v>N/A</v>
      </c>
      <c r="R51" s="329" t="str">
        <f>IFERROR((_xlfn.XLOOKUP("EBITDA",DCF!$B:$B,DCF!I:I)-_xlfn.XLOOKUP("Net Capex",DCF!$B:$B,DCF!I:I))/_xlfn.XLOOKUP("Interest Expense",DCF!$B:$B,DCF!I:I),"N/A")</f>
        <v>N/A</v>
      </c>
    </row>
    <row r="52" spans="2:18" x14ac:dyDescent="0.3">
      <c r="P52" s="323"/>
      <c r="Q52" s="334"/>
      <c r="R52" s="334"/>
    </row>
    <row r="53" spans="2:18" ht="15.5" x14ac:dyDescent="0.35">
      <c r="B53" s="7" t="s">
        <v>60</v>
      </c>
      <c r="C53" s="47"/>
      <c r="D53" s="49"/>
      <c r="E53" s="49"/>
      <c r="F53" s="343">
        <v>2014</v>
      </c>
      <c r="G53" s="343">
        <f t="shared" ref="G53" si="47">+F53+1</f>
        <v>2015</v>
      </c>
      <c r="H53" s="343">
        <f t="shared" ref="H53" si="48">+G53+1</f>
        <v>2016</v>
      </c>
      <c r="I53" s="343">
        <f t="shared" ref="I53" si="49">+H53+1</f>
        <v>2017</v>
      </c>
      <c r="J53" s="343">
        <f t="shared" ref="J53" si="50">+I53+1</f>
        <v>2018</v>
      </c>
      <c r="K53" s="343">
        <f t="shared" ref="K53" si="51">+J53+1</f>
        <v>2019</v>
      </c>
      <c r="L53" s="343">
        <f t="shared" ref="L53" si="52">+K53+1</f>
        <v>2020</v>
      </c>
      <c r="M53" s="343">
        <f t="shared" ref="M53" si="53">+L53+1</f>
        <v>2021</v>
      </c>
      <c r="N53" s="343">
        <v>2022</v>
      </c>
      <c r="O53" s="343">
        <f t="shared" ref="O53" si="54">+N53+1</f>
        <v>2023</v>
      </c>
      <c r="P53" s="344">
        <f>+O53+1</f>
        <v>2024</v>
      </c>
      <c r="Q53" s="342">
        <f>+P53+1</f>
        <v>2025</v>
      </c>
      <c r="R53" s="342">
        <f>+Q53+1</f>
        <v>2026</v>
      </c>
    </row>
    <row r="54" spans="2:18" ht="3.75" customHeight="1" x14ac:dyDescent="0.35">
      <c r="B54" s="233"/>
      <c r="C54" s="44"/>
      <c r="D54" s="51"/>
      <c r="E54" s="51"/>
      <c r="F54" s="51"/>
      <c r="G54" s="51"/>
      <c r="H54" s="51"/>
      <c r="I54" s="51"/>
      <c r="J54" s="51"/>
      <c r="K54" s="51"/>
      <c r="L54" s="51"/>
      <c r="M54" s="51"/>
      <c r="N54" s="208"/>
      <c r="O54" s="208"/>
      <c r="P54" s="324"/>
      <c r="Q54" s="208"/>
      <c r="R54" s="208"/>
    </row>
    <row r="55" spans="2:18" ht="15.5" x14ac:dyDescent="0.35">
      <c r="B55" s="15" t="s">
        <v>245</v>
      </c>
      <c r="F55" s="339">
        <f>+IFERROR(_xlfn.XLOOKUP("Operating Cash Flow",Inputs!$B:$B,Inputs!G:G,,,-1)/_xlfn.XLOOKUP("Revenue (Sales)",Inputs!$B:$B,Inputs!G:G),"")</f>
        <v>0.34256901947960949</v>
      </c>
      <c r="G55" s="339">
        <f>+IFERROR(_xlfn.XLOOKUP("Operating Cash Flow",Inputs!$B:$B,Inputs!H:H,,,-1)/_xlfn.XLOOKUP("Revenue (Sales)",Inputs!$B:$B,Inputs!H:H),"")</f>
        <v>0.49577082668368977</v>
      </c>
      <c r="H55" s="339">
        <f>+IFERROR(_xlfn.XLOOKUP("Operating Cash Flow",Inputs!$B:$B,Inputs!I:I,,,-1)/_xlfn.XLOOKUP("Revenue (Sales)",Inputs!$B:$B,Inputs!I:I),"")</f>
        <v>0.32264798232352598</v>
      </c>
      <c r="I55" s="339">
        <f>+IFERROR(_xlfn.XLOOKUP("Operating Cash Flow",Inputs!$B:$B,Inputs!J:J,,,-1)/_xlfn.XLOOKUP("Revenue (Sales)",Inputs!$B:$B,Inputs!J:J),"")</f>
        <v>0.48790743090197747</v>
      </c>
      <c r="J55" s="339">
        <f>+IFERROR(_xlfn.XLOOKUP("Operating Cash Flow",Inputs!$B:$B,Inputs!K:K,,,-1)/_xlfn.XLOOKUP("Revenue (Sales)",Inputs!$B:$B,Inputs!K:K),"")</f>
        <v>0.54956471859384703</v>
      </c>
      <c r="K55" s="339">
        <f>+IFERROR(_xlfn.XLOOKUP("Operating Cash Flow",Inputs!$B:$B,Inputs!L:L,,,-1)/_xlfn.XLOOKUP("Revenue (Sales)",Inputs!$B:$B,Inputs!L:L),"")</f>
        <v>0.24266506611536565</v>
      </c>
      <c r="L55" s="339">
        <f>+IFERROR(_xlfn.XLOOKUP("Operating Cash Flow",Inputs!$B:$B,Inputs!M:M,,,-1)/_xlfn.XLOOKUP("Revenue (Sales)",Inputs!$B:$B,Inputs!M:M),"")</f>
        <v>0.38603277701847</v>
      </c>
      <c r="M55" s="339">
        <f>+IFERROR(_xlfn.XLOOKUP("Operating Cash Flow",Inputs!$B:$B,Inputs!N:N,,,-1)/_xlfn.XLOOKUP("Revenue (Sales)",Inputs!$B:$B,Inputs!N:N),"")</f>
        <v>0.46043285935559486</v>
      </c>
      <c r="N55" s="339">
        <f>+IFERROR(_xlfn.XLOOKUP("Operating Cash Flow",Inputs!$B:$B,Inputs!O:O,,,-1)/_xlfn.XLOOKUP("Revenue (Sales)",Inputs!$B:$B,Inputs!O:O),"")</f>
        <v>0.33124092367821861</v>
      </c>
      <c r="O55" s="339">
        <f>+IFERROR(_xlfn.XLOOKUP("Operating Cash Flow",Inputs!$B:$B,Inputs!P:P,,,-1)/_xlfn.XLOOKUP("Revenue (Sales)",Inputs!$B:$B,Inputs!P:P),"")</f>
        <v>0.13056946746140016</v>
      </c>
      <c r="P55" s="340">
        <f>+IFERROR(_xlfn.XLOOKUP("Operating Cash Flow",Inputs!$B:$B,Inputs!Q:Q,,,-1)/_xlfn.XLOOKUP("Revenue (Sales)",Inputs!$B:$B,Inputs!Q:Q),"")</f>
        <v>0.45013672140558669</v>
      </c>
      <c r="Q55" s="341">
        <f>IFERROR(_xlfn.XLOOKUP("Operating Cash Flow",DCF!$B:$B,DCF!H:H)/_xlfn.XLOOKUP("Revenue (Sales)",DCF!$B:$B,DCF!H:H),"")</f>
        <v>9.5244844665441239E-2</v>
      </c>
      <c r="R55" s="341">
        <f>IFERROR(_xlfn.XLOOKUP("Operating Cash Flow",DCF!$B:$B,DCF!I:I)/_xlfn.XLOOKUP("Revenue (Sales)",DCF!$B:$B,DCF!I:I),"")</f>
        <v>0.16679079681966155</v>
      </c>
    </row>
    <row r="56" spans="2:18" ht="15.5" x14ac:dyDescent="0.35">
      <c r="B56" s="15" t="s">
        <v>246</v>
      </c>
      <c r="F56" s="339">
        <f>IFERROR(_xlfn.XLOOKUP("Net Changes in Cash",Inputs!$B:$B,Inputs!G:G,,,-1)/_xlfn.XLOOKUP("Net Income",Inputs!$B:$B,Inputs!G:G),"")</f>
        <v>-4.6506638697528094E-2</v>
      </c>
      <c r="G56" s="339">
        <f>IFERROR(_xlfn.XLOOKUP("Net Changes in Cash",Inputs!$B:$B,Inputs!H:H,,,-1)/_xlfn.XLOOKUP("Net Income",Inputs!$B:$B,Inputs!H:H),"")</f>
        <v>0.17092237949856601</v>
      </c>
      <c r="H56" s="339">
        <f>IFERROR(_xlfn.XLOOKUP("Net Changes in Cash",Inputs!$B:$B,Inputs!I:I,,,-1)/_xlfn.XLOOKUP("Net Income",Inputs!$B:$B,Inputs!I:I),"")</f>
        <v>-0.1897926096061609</v>
      </c>
      <c r="I56" s="339">
        <f>IFERROR(_xlfn.XLOOKUP("Net Changes in Cash",Inputs!$B:$B,Inputs!J:J,,,-1)/_xlfn.XLOOKUP("Net Income",Inputs!$B:$B,Inputs!J:J),"")</f>
        <v>0.21952021649455475</v>
      </c>
      <c r="J56" s="339">
        <f>IFERROR(_xlfn.XLOOKUP("Net Changes in Cash",Inputs!$B:$B,Inputs!K:K,,,-1)/_xlfn.XLOOKUP("Net Income",Inputs!$B:$B,Inputs!K:K),"")</f>
        <v>-3.8654586170062163E-2</v>
      </c>
      <c r="K56" s="339">
        <f>IFERROR(_xlfn.XLOOKUP("Net Changes in Cash",Inputs!$B:$B,Inputs!L:L,,,-1)/_xlfn.XLOOKUP("Net Income",Inputs!$B:$B,Inputs!L:L),"")</f>
        <v>-2.1502165148573973E-2</v>
      </c>
      <c r="L56" s="339">
        <f>IFERROR(_xlfn.XLOOKUP("Net Changes in Cash",Inputs!$B:$B,Inputs!M:M,,,-1)/_xlfn.XLOOKUP("Net Income",Inputs!$B:$B,Inputs!M:M),"")</f>
        <v>0.14076782449725772</v>
      </c>
      <c r="M56" s="339">
        <f>IFERROR(_xlfn.XLOOKUP("Net Changes in Cash",Inputs!$B:$B,Inputs!N:N,,,-1)/_xlfn.XLOOKUP("Net Income",Inputs!$B:$B,Inputs!N:N),"")</f>
        <v>0.21650963998252939</v>
      </c>
      <c r="N56" s="339">
        <f>IFERROR(_xlfn.XLOOKUP("Net Changes in Cash",Inputs!$B:$B,Inputs!O:O,,,-1)/_xlfn.XLOOKUP("Net Income",Inputs!$B:$B,Inputs!O:O),"")</f>
        <v>-3.6133291698264743E-2</v>
      </c>
      <c r="O56" s="339">
        <f>IFERROR(_xlfn.XLOOKUP("Net Changes in Cash",Inputs!$B:$B,Inputs!P:P,,,-1)/_xlfn.XLOOKUP("Net Income",Inputs!$B:$B,Inputs!P:P),"")</f>
        <v>-0.28566582034669952</v>
      </c>
      <c r="P56" s="340">
        <f>IFERROR(_xlfn.XLOOKUP("Net Changes in Cash",Inputs!$B:$B,Inputs!Q:Q,,,-1)/_xlfn.XLOOKUP("Net Income",Inputs!$B:$B,Inputs!Q:Q),"")</f>
        <v>0.18274393724333368</v>
      </c>
      <c r="Q56" s="341">
        <f>IFERROR(_xlfn.XLOOKUP("Net Changes in Cash",DCF!$B:$B,DCF!H:H)/_xlfn.XLOOKUP("Net Income",DCF!$B:$B,DCF!H:H),"")</f>
        <v>-1.0388259061394449</v>
      </c>
      <c r="R56" s="341">
        <f>IFERROR(_xlfn.XLOOKUP("Net Changes in Cash",DCF!$B:$B,DCF!I:I)/_xlfn.XLOOKUP("Net Income",DCF!$B:$B,DCF!I:I),"")</f>
        <v>0.4145229458043666</v>
      </c>
    </row>
    <row r="57" spans="2:18" ht="15.5" x14ac:dyDescent="0.35">
      <c r="B57" s="15" t="s">
        <v>247</v>
      </c>
      <c r="F57" s="339">
        <f>IFERROR(_xlfn.XLOOKUP("Operating Cash Flow",Inputs!$B:$B,Inputs!G:G,,,-1)/_xlfn.XLOOKUP("Net Income",Inputs!$B:$B,Inputs!G:G),"")</f>
        <v>1.3984648756883038</v>
      </c>
      <c r="G57" s="339">
        <f>IFERROR(_xlfn.XLOOKUP("Operating Cash Flow",Inputs!$B:$B,Inputs!H:H,,,-1)/_xlfn.XLOOKUP("Net Income",Inputs!$B:$B,Inputs!H:H),"")</f>
        <v>2.1554954204829309</v>
      </c>
      <c r="H57" s="339">
        <f>IFERROR(_xlfn.XLOOKUP("Operating Cash Flow",Inputs!$B:$B,Inputs!I:I,,,-1)/_xlfn.XLOOKUP("Net Income",Inputs!$B:$B,Inputs!I:I),"")</f>
        <v>1.8742484631493614</v>
      </c>
      <c r="I57" s="339">
        <f>IFERROR(_xlfn.XLOOKUP("Operating Cash Flow",Inputs!$B:$B,Inputs!J:J,,,-1)/_xlfn.XLOOKUP("Net Income",Inputs!$B:$B,Inputs!J:J),"")</f>
        <v>1.3803970946130066</v>
      </c>
      <c r="J57" s="339">
        <f>IFERROR(_xlfn.XLOOKUP("Operating Cash Flow",Inputs!$B:$B,Inputs!K:K,,,-1)/_xlfn.XLOOKUP("Net Income",Inputs!$B:$B,Inputs!K:K),"")</f>
        <v>1.430303342299327</v>
      </c>
      <c r="K57" s="339">
        <f>IFERROR(_xlfn.XLOOKUP("Operating Cash Flow",Inputs!$B:$B,Inputs!L:L,,,-1)/_xlfn.XLOOKUP("Net Income",Inputs!$B:$B,Inputs!L:L),"")</f>
        <v>3.2600169230003457</v>
      </c>
      <c r="L57" s="339">
        <f>IFERROR(_xlfn.XLOOKUP("Operating Cash Flow",Inputs!$B:$B,Inputs!M:M,,,-1)/_xlfn.XLOOKUP("Net Income",Inputs!$B:$B,Inputs!M:M),"")</f>
        <v>2.5876988379667565</v>
      </c>
      <c r="M57" s="339">
        <f>IFERROR(_xlfn.XLOOKUP("Operating Cash Flow",Inputs!$B:$B,Inputs!N:N,,,-1)/_xlfn.XLOOKUP("Net Income",Inputs!$B:$B,Inputs!N:N),"")</f>
        <v>2.0587758158108183</v>
      </c>
      <c r="N57" s="339">
        <f>IFERROR(_xlfn.XLOOKUP("Operating Cash Flow",Inputs!$B:$B,Inputs!O:O,,,-1)/_xlfn.XLOOKUP("Net Income",Inputs!$B:$B,Inputs!O:O),"")</f>
        <v>6.5934335548913827</v>
      </c>
      <c r="O57" s="339">
        <f>IFERROR(_xlfn.XLOOKUP("Operating Cash Flow",Inputs!$B:$B,Inputs!P:P,,,-1)/_xlfn.XLOOKUP("Net Income",Inputs!$B:$B,Inputs!P:P),"")</f>
        <v>-0.46819733846962025</v>
      </c>
      <c r="P57" s="340">
        <f>IFERROR(_xlfn.XLOOKUP("Operating Cash Flow",Inputs!$B:$B,Inputs!Q:Q,,,-1)/_xlfn.XLOOKUP("Net Income",Inputs!$B:$B,Inputs!Q:Q),"")</f>
        <v>1.5050638729914991</v>
      </c>
      <c r="Q57" s="341">
        <f>IFERROR(_xlfn.XLOOKUP("Operating Cash Flow",DCF!$B:$B,DCF!H:H)/_xlfn.XLOOKUP("Net Income",DCF!$B:$B,DCF!H:H),"")</f>
        <v>0.6236973632449514</v>
      </c>
      <c r="R57" s="341">
        <f>IFERROR(_xlfn.XLOOKUP("Operating Cash Flow",DCF!$B:$B,DCF!I:I)/_xlfn.XLOOKUP("Net Income",DCF!$B:$B,DCF!I:I),"")</f>
        <v>0.91897262860442563</v>
      </c>
    </row>
    <row r="58" spans="2:18" ht="15.5" x14ac:dyDescent="0.35">
      <c r="B58" s="15" t="s">
        <v>248</v>
      </c>
      <c r="F58" s="339">
        <f>IFERROR(_xlfn.XLOOKUP("Net Capex",Inputs!$B:$B,Inputs!G:G,,,-1)/_xlfn.XLOOKUP("Operating Cash Flow",Inputs!$B:$B,Inputs!G:G),"")</f>
        <v>-0.84166567235413436</v>
      </c>
      <c r="G58" s="339">
        <f>IFERROR(_xlfn.XLOOKUP("Net Capex",Inputs!$B:$B,Inputs!H:H,,,-1)/_xlfn.XLOOKUP("Operating Cash Flow",Inputs!$B:$B,Inputs!H:H),"")</f>
        <v>-0.76938676967648467</v>
      </c>
      <c r="H58" s="339">
        <f>IFERROR(_xlfn.XLOOKUP("Net Capex",Inputs!$B:$B,Inputs!I:I,,,-1)/_xlfn.XLOOKUP("Operating Cash Flow",Inputs!$B:$B,Inputs!I:I),"")</f>
        <v>-1.1395051271423167</v>
      </c>
      <c r="I58" s="339">
        <f>IFERROR(_xlfn.XLOOKUP("Net Capex",Inputs!$B:$B,Inputs!J:J,,,-1)/_xlfn.XLOOKUP("Operating Cash Flow",Inputs!$B:$B,Inputs!J:J),"")</f>
        <v>-0.65791050059221545</v>
      </c>
      <c r="J58" s="339">
        <f>IFERROR(_xlfn.XLOOKUP("Net Capex",Inputs!$B:$B,Inputs!K:K,,,-1)/_xlfn.XLOOKUP("Operating Cash Flow",Inputs!$B:$B,Inputs!K:K),"")</f>
        <v>-0.75740534120357039</v>
      </c>
      <c r="K58" s="339">
        <f>IFERROR(_xlfn.XLOOKUP("Net Capex",Inputs!$B:$B,Inputs!L:L,,,-1)/_xlfn.XLOOKUP("Operating Cash Flow",Inputs!$B:$B,Inputs!L:L),"")</f>
        <v>-2.2198879337984949</v>
      </c>
      <c r="L58" s="339">
        <f>IFERROR(_xlfn.XLOOKUP("Net Capex",Inputs!$B:$B,Inputs!M:M,,,-1)/_xlfn.XLOOKUP("Operating Cash Flow",Inputs!$B:$B,Inputs!M:M),"")</f>
        <v>-0.87778734185438423</v>
      </c>
      <c r="M58" s="339">
        <f>IFERROR(_xlfn.XLOOKUP("Net Capex",Inputs!$B:$B,Inputs!N:N,,,-1)/_xlfn.XLOOKUP("Operating Cash Flow",Inputs!$B:$B,Inputs!N:N),"")</f>
        <v>-0.67576372893684089</v>
      </c>
      <c r="N58" s="339">
        <f>IFERROR(_xlfn.XLOOKUP("Net Capex",Inputs!$B:$B,Inputs!O:O,,,-1)/_xlfn.XLOOKUP("Operating Cash Flow",Inputs!$B:$B,Inputs!O:O),"")</f>
        <v>-1.3141774635499477</v>
      </c>
      <c r="O58" s="339">
        <f>IFERROR(_xlfn.XLOOKUP("Net Capex",Inputs!$B:$B,Inputs!P:P,,,-1)/_xlfn.XLOOKUP("Operating Cash Flow",Inputs!$B:$B,Inputs!P:P),"")</f>
        <v>-1.6921836286288625</v>
      </c>
      <c r="P58" s="340">
        <f>IFERROR(_xlfn.XLOOKUP("Net Capex",Inputs!$B:$B,Inputs!Q:Q,,,-1)/_xlfn.XLOOKUP("Operating Cash Flow",Inputs!$B:$B,Inputs!Q:Q),"")</f>
        <v>-0.55698267211260599</v>
      </c>
      <c r="Q58" s="341">
        <f>IFERROR(_xlfn.XLOOKUP("Net Capex",DCF!$B:$B,DCF!H:H)/_xlfn.XLOOKUP("Operating Cash Flow",DCF!$B:$B,DCF!H:H),"")</f>
        <v>-3.5773059781301879</v>
      </c>
      <c r="R58" s="341">
        <f>IFERROR(_xlfn.XLOOKUP("Net Capex",DCF!$B:$B,DCF!I:I)/_xlfn.XLOOKUP("Operating Cash Flow",DCF!$B:$B,DCF!I:I),"")</f>
        <v>-2.0337983254569116</v>
      </c>
    </row>
    <row r="59" spans="2:18" ht="15.5" x14ac:dyDescent="0.35">
      <c r="B59" s="15" t="s">
        <v>249</v>
      </c>
      <c r="F59" s="339">
        <f>IFERROR(_xlfn.XLOOKUP("Investing Cash Flow",Inputs!$B:$B,Inputs!G:G,,,-1)/_xlfn.XLOOKUP("Operating Cash Flow",Inputs!$B:$B,Inputs!G:G),"")</f>
        <v>-1.037687285867694</v>
      </c>
      <c r="G59" s="339">
        <f>IFERROR(_xlfn.XLOOKUP("Investing Cash Flow",Inputs!$B:$B,Inputs!H:H,,,-1)/_xlfn.XLOOKUP("Operating Cash Flow",Inputs!$B:$B,Inputs!H:H),"")</f>
        <v>-0.76457964483073126</v>
      </c>
      <c r="H59" s="339">
        <f>IFERROR(_xlfn.XLOOKUP("Investing Cash Flow",Inputs!$B:$B,Inputs!I:I,,,-1)/_xlfn.XLOOKUP("Operating Cash Flow",Inputs!$B:$B,Inputs!I:I),"")</f>
        <v>-1.1228351565175081</v>
      </c>
      <c r="I59" s="339">
        <f>IFERROR(_xlfn.XLOOKUP("Investing Cash Flow",Inputs!$B:$B,Inputs!J:J,,,-1)/_xlfn.XLOOKUP("Operating Cash Flow",Inputs!$B:$B,Inputs!J:J),"")</f>
        <v>-0.81134875362476688</v>
      </c>
      <c r="J59" s="339">
        <f>IFERROR(_xlfn.XLOOKUP("Investing Cash Flow",Inputs!$B:$B,Inputs!K:K,,,-1)/_xlfn.XLOOKUP("Operating Cash Flow",Inputs!$B:$B,Inputs!K:K),"")</f>
        <v>-0.96407554707745469</v>
      </c>
      <c r="K59" s="339">
        <f>IFERROR(_xlfn.XLOOKUP("Investing Cash Flow",Inputs!$B:$B,Inputs!L:L,,,-1)/_xlfn.XLOOKUP("Operating Cash Flow",Inputs!$B:$B,Inputs!L:L),"")</f>
        <v>-1.5956303342137808</v>
      </c>
      <c r="L59" s="339">
        <f>IFERROR(_xlfn.XLOOKUP("Investing Cash Flow",Inputs!$B:$B,Inputs!M:M,,,-1)/_xlfn.XLOOKUP("Operating Cash Flow",Inputs!$B:$B,Inputs!M:M),"")</f>
        <v>-0.96149286213112883</v>
      </c>
      <c r="M59" s="339">
        <f>IFERROR(_xlfn.XLOOKUP("Investing Cash Flow",Inputs!$B:$B,Inputs!N:N,,,-1)/_xlfn.XLOOKUP("Operating Cash Flow",Inputs!$B:$B,Inputs!N:N),"")</f>
        <v>-1.1310613407685781</v>
      </c>
      <c r="N59" s="339">
        <f>IFERROR(_xlfn.XLOOKUP("Investing Cash Flow",Inputs!$B:$B,Inputs!O:O,,,-1)/_xlfn.XLOOKUP("Operating Cash Flow",Inputs!$B:$B,Inputs!O:O),"")</f>
        <v>-1.2099523020195528</v>
      </c>
      <c r="O59" s="339">
        <f>IFERROR(_xlfn.XLOOKUP("Investing Cash Flow",Inputs!$B:$B,Inputs!P:P,,,-1)/_xlfn.XLOOKUP("Operating Cash Flow",Inputs!$B:$B,Inputs!P:P),"")</f>
        <v>-1.714435977747651</v>
      </c>
      <c r="P59" s="340">
        <f>IFERROR(_xlfn.XLOOKUP("Investing Cash Flow",Inputs!$B:$B,Inputs!Q:Q,,,-1)/_xlfn.XLOOKUP("Operating Cash Flow",Inputs!$B:$B,Inputs!Q:Q),"")</f>
        <v>-0.60426434509445925</v>
      </c>
      <c r="Q59" s="341">
        <f>IFERROR(_xlfn.XLOOKUP("Investing Cash Flow",DCF!$B:$B,DCF!H:H)/_xlfn.XLOOKUP("Operating Cash Flow",DCF!$B:$B,DCF!H:H),"")</f>
        <v>0.9925633827052166</v>
      </c>
      <c r="R59" s="341">
        <f>IFERROR(_xlfn.XLOOKUP("Investing Cash Flow",DCF!$B:$B,DCF!I:I)/_xlfn.XLOOKUP("Operating Cash Flow",DCF!$B:$B,DCF!I:I),"")</f>
        <v>-6.5298752541048388E-3</v>
      </c>
    </row>
    <row r="60" spans="2:18" ht="15.5" x14ac:dyDescent="0.35">
      <c r="B60" s="15" t="s">
        <v>250</v>
      </c>
      <c r="F60" s="339">
        <f>IFERROR((_xlfn.XLOOKUP("Debt Borrowing",Inputs!$B:$B,Inputs!G:G,,,-1)-_xlfn.XLOOKUP("Debt Repayment",Inputs!$B:$B,Inputs!G:G))/_xlfn.XLOOKUP("Operating Cash Flow",Inputs!$B:$B,Inputs!G:G),"")</f>
        <v>0.53275265481446121</v>
      </c>
      <c r="G60" s="339">
        <f>IFERROR((_xlfn.XLOOKUP("Debt Borrowing",Inputs!$B:$B,Inputs!H:H,,,-1)-_xlfn.XLOOKUP("Debt Repayment",Inputs!$B:$B,Inputs!H:H))/_xlfn.XLOOKUP("Operating Cash Flow",Inputs!$B:$B,Inputs!H:H),"")</f>
        <v>0.36751971672300016</v>
      </c>
      <c r="H60" s="339">
        <f>IFERROR((_xlfn.XLOOKUP("Debt Borrowing",Inputs!$B:$B,Inputs!I:I,,,-1)-_xlfn.XLOOKUP("Debt Repayment",Inputs!$B:$B,Inputs!I:I))/_xlfn.XLOOKUP("Operating Cash Flow",Inputs!$B:$B,Inputs!I:I),"")</f>
        <v>0.56969849880156431</v>
      </c>
      <c r="I60" s="339">
        <f>IFERROR((_xlfn.XLOOKUP("Debt Borrowing",Inputs!$B:$B,Inputs!J:J,,,-1)-_xlfn.XLOOKUP("Debt Repayment",Inputs!$B:$B,Inputs!J:J))/_xlfn.XLOOKUP("Operating Cash Flow",Inputs!$B:$B,Inputs!J:J),"")</f>
        <v>0.23950689556587204</v>
      </c>
      <c r="J60" s="339">
        <f>IFERROR((_xlfn.XLOOKUP("Debt Borrowing",Inputs!$B:$B,Inputs!K:K,,,-1)-_xlfn.XLOOKUP("Debt Repayment",Inputs!$B:$B,Inputs!K:K))/_xlfn.XLOOKUP("Operating Cash Flow",Inputs!$B:$B,Inputs!K:K),"")</f>
        <v>0.14424668874172183</v>
      </c>
      <c r="K60" s="339">
        <f>IFERROR((_xlfn.XLOOKUP("Debt Borrowing",Inputs!$B:$B,Inputs!L:L,,,-1)-_xlfn.XLOOKUP("Debt Repayment",Inputs!$B:$B,Inputs!L:L))/_xlfn.XLOOKUP("Operating Cash Flow",Inputs!$B:$B,Inputs!L:L),"")</f>
        <v>0.62538742232468669</v>
      </c>
      <c r="L60" s="339">
        <f>IFERROR((_xlfn.XLOOKUP("Debt Borrowing",Inputs!$B:$B,Inputs!M:M,,,-1)-_xlfn.XLOOKUP("Debt Repayment",Inputs!$B:$B,Inputs!M:M))/_xlfn.XLOOKUP("Operating Cash Flow",Inputs!$B:$B,Inputs!M:M),"")</f>
        <v>0.59969467136569599</v>
      </c>
      <c r="M60" s="339">
        <f>IFERROR((_xlfn.XLOOKUP("Debt Borrowing",Inputs!$B:$B,Inputs!N:N,,,-1)-_xlfn.XLOOKUP("Debt Repayment",Inputs!$B:$B,Inputs!N:N))/_xlfn.XLOOKUP("Operating Cash Flow",Inputs!$B:$B,Inputs!N:N),"")</f>
        <v>0.48931688689538133</v>
      </c>
      <c r="N60" s="339">
        <f>IFERROR((_xlfn.XLOOKUP("Debt Borrowing",Inputs!$B:$B,Inputs!O:O,,,-1)-_xlfn.XLOOKUP("Debt Repayment",Inputs!$B:$B,Inputs!O:O))/_xlfn.XLOOKUP("Operating Cash Flow",Inputs!$B:$B,Inputs!O:O),"")</f>
        <v>1.0090118737525795</v>
      </c>
      <c r="O60" s="339">
        <f>IFERROR((_xlfn.XLOOKUP("Debt Borrowing",Inputs!$B:$B,Inputs!P:P,,,-1)-_xlfn.XLOOKUP("Debt Repayment",Inputs!$B:$B,Inputs!P:P))/_xlfn.XLOOKUP("Operating Cash Flow",Inputs!$B:$B,Inputs!P:P),"")</f>
        <v>4.0320461876490121</v>
      </c>
      <c r="P60" s="340">
        <f>IFERROR((_xlfn.XLOOKUP("Debt Borrowing",Inputs!$B:$B,Inputs!Q:Q,,,-1)-_xlfn.XLOOKUP("Debt Repayment",Inputs!$B:$B,Inputs!Q:Q))/_xlfn.XLOOKUP("Operating Cash Flow",Inputs!$B:$B,Inputs!Q:Q),"")</f>
        <v>0.8958447303152447</v>
      </c>
      <c r="Q60" s="341">
        <f>IFERROR((_xlfn.XLOOKUP("Debt Borrowing",DCF!$B:$B,DCF!H:H)-_xlfn.XLOOKUP("Debt Repayment",DCF!$B:$B,DCF!H:H))/_xlfn.XLOOKUP("Operating Cash Flow",DCF!$B:$B,DCF!H:H),"")</f>
        <v>0</v>
      </c>
      <c r="R60" s="341">
        <f>IFERROR((_xlfn.XLOOKUP("Debt Borrowing",DCF!$B:$B,DCF!I:I)-_xlfn.XLOOKUP("Debt Repayment",DCF!$B:$B,DCF!I:I))/_xlfn.XLOOKUP("Operating Cash Flow",DCF!$B:$B,DCF!I:I),"")</f>
        <v>1.3556762887660481</v>
      </c>
    </row>
    <row r="61" spans="2:18" ht="15.5" x14ac:dyDescent="0.35">
      <c r="B61" s="15" t="s">
        <v>676</v>
      </c>
      <c r="F61" s="339">
        <f>IFERROR(-_xlfn.XLOOKUP("Debt Repayment",Inputs!$B:$B,Inputs!G:G,,,-1)/_xlfn.XLOOKUP("Debt Borrowing",Inputs!$B:$B,Inputs!G:G),"")</f>
        <v>-9.0047243095849588E-3</v>
      </c>
      <c r="G61" s="339">
        <f>IFERROR(-_xlfn.XLOOKUP("Debt Repayment",Inputs!$B:$B,Inputs!H:H,,,-1)/_xlfn.XLOOKUP("Debt Borrowing",Inputs!$B:$B,Inputs!H:H),"")</f>
        <v>0.1598320409061664</v>
      </c>
      <c r="H61" s="339">
        <f>IFERROR(-_xlfn.XLOOKUP("Debt Repayment",Inputs!$B:$B,Inputs!I:I,,,-1)/_xlfn.XLOOKUP("Debt Borrowing",Inputs!$B:$B,Inputs!I:I),"")</f>
        <v>-0.12940982071548565</v>
      </c>
      <c r="I61" s="339">
        <f>IFERROR(-_xlfn.XLOOKUP("Debt Repayment",Inputs!$B:$B,Inputs!J:J,,,-1)/_xlfn.XLOOKUP("Debt Borrowing",Inputs!$B:$B,Inputs!J:J),"")</f>
        <v>-1.9971032254470503E-2</v>
      </c>
      <c r="J61" s="339">
        <f>IFERROR(-_xlfn.XLOOKUP("Debt Repayment",Inputs!$B:$B,Inputs!K:K,,,-1)/_xlfn.XLOOKUP("Debt Borrowing",Inputs!$B:$B,Inputs!K:K),"")</f>
        <v>-0.24620303756994408</v>
      </c>
      <c r="K61" s="339">
        <f>IFERROR(-_xlfn.XLOOKUP("Debt Repayment",Inputs!$B:$B,Inputs!L:L,,,-1)/_xlfn.XLOOKUP("Debt Borrowing",Inputs!$B:$B,Inputs!L:L),"")</f>
        <v>-0.5425447560335489</v>
      </c>
      <c r="L61" s="339">
        <f>IFERROR(-_xlfn.XLOOKUP("Debt Repayment",Inputs!$B:$B,Inputs!M:M,,,-1)/_xlfn.XLOOKUP("Debt Borrowing",Inputs!$B:$B,Inputs!M:M),"")</f>
        <v>-0.11205963688830108</v>
      </c>
      <c r="M61" s="339">
        <f>IFERROR(-_xlfn.XLOOKUP("Debt Repayment",Inputs!$B:$B,Inputs!N:N,,,-1)/_xlfn.XLOOKUP("Debt Borrowing",Inputs!$B:$B,Inputs!N:N),"")</f>
        <v>-0.35315367049051155</v>
      </c>
      <c r="N61" s="339">
        <f>IFERROR(-_xlfn.XLOOKUP("Debt Repayment",Inputs!$B:$B,Inputs!O:O,,,-1)/_xlfn.XLOOKUP("Debt Borrowing",Inputs!$B:$B,Inputs!O:O),"")</f>
        <v>-0.23143877514210473</v>
      </c>
      <c r="O61" s="339">
        <f>IFERROR(-_xlfn.XLOOKUP("Debt Repayment",Inputs!$B:$B,Inputs!P:P,,,-1)/_xlfn.XLOOKUP("Debt Borrowing",Inputs!$B:$B,Inputs!P:P),"")</f>
        <v>-0.27390242875783982</v>
      </c>
      <c r="P61" s="340">
        <f>IFERROR(-_xlfn.XLOOKUP("Debt Repayment",Inputs!$B:$B,Inputs!Q:Q,,,-1)/_xlfn.XLOOKUP("Debt Borrowing",Inputs!$B:$B,Inputs!Q:Q),"")</f>
        <v>0.42626235639861076</v>
      </c>
      <c r="Q61" s="341" t="str">
        <f>IFERROR(-_xlfn.XLOOKUP("Debt Repayment",DCF!$B:$B,DCF!H:H)/_xlfn.XLOOKUP("Debt Borrowing",DCF!$B:$B,DCF!H:H),"")</f>
        <v/>
      </c>
      <c r="R61" s="341">
        <f>IFERROR(-_xlfn.XLOOKUP("Debt Repayment",DCF!$B:$B,DCF!I:I)/_xlfn.XLOOKUP("Debt Borrowing",DCF!$B:$B,DCF!I:I),"")</f>
        <v>0</v>
      </c>
    </row>
    <row r="62" spans="2:18" ht="15.5" x14ac:dyDescent="0.35">
      <c r="B62" s="15" t="s">
        <v>252</v>
      </c>
      <c r="F62" s="339">
        <f>IFERROR(_xlfn.XLOOKUP("Financing Cash Flow",Inputs!$B:$B,Inputs!G:G,,,-1)/_xlfn.XLOOKUP("Operating Cash Flow",Inputs!$B:$B,Inputs!G:G),"")</f>
        <v>4.8238362282032494E-3</v>
      </c>
      <c r="G62" s="339">
        <f>IFERROR(_xlfn.XLOOKUP("Financing Cash Flow",Inputs!$B:$B,Inputs!H:H,,,-1)/_xlfn.XLOOKUP("Operating Cash Flow",Inputs!$B:$B,Inputs!H:H),"")</f>
        <v>-0.15690755941842374</v>
      </c>
      <c r="H62" s="339">
        <f>IFERROR(_xlfn.XLOOKUP("Financing Cash Flow",Inputs!$B:$B,Inputs!I:I,,,-1)/_xlfn.XLOOKUP("Operating Cash Flow",Inputs!$B:$B,Inputs!I:I),"")</f>
        <v>2.106723855178504E-2</v>
      </c>
      <c r="I62" s="339">
        <f>IFERROR(_xlfn.XLOOKUP("Financing Cash Flow",Inputs!$B:$B,Inputs!J:J,,,-1)/_xlfn.XLOOKUP("Operating Cash Flow",Inputs!$B:$B,Inputs!J:J),"")</f>
        <v>-2.3954093093542808E-2</v>
      </c>
      <c r="J62" s="339">
        <f>IFERROR(_xlfn.XLOOKUP("Financing Cash Flow",Inputs!$B:$B,Inputs!K:K,,,-1)/_xlfn.XLOOKUP("Operating Cash Flow",Inputs!$B:$B,Inputs!K:K),"")</f>
        <v>-6.2774438525770221E-2</v>
      </c>
      <c r="K62" s="339">
        <f>IFERROR(_xlfn.XLOOKUP("Financing Cash Flow",Inputs!$B:$B,Inputs!L:L,,,-1)/_xlfn.XLOOKUP("Operating Cash Flow",Inputs!$B:$B,Inputs!L:L),"")</f>
        <v>0.58578255492617981</v>
      </c>
      <c r="L62" s="339">
        <f>IFERROR(_xlfn.XLOOKUP("Financing Cash Flow",Inputs!$B:$B,Inputs!M:M,,,-1)/_xlfn.XLOOKUP("Operating Cash Flow",Inputs!$B:$B,Inputs!M:M),"")</f>
        <v>2.0471635294690853E-2</v>
      </c>
      <c r="M62" s="339">
        <f>IFERROR(_xlfn.XLOOKUP("Financing Cash Flow",Inputs!$B:$B,Inputs!N:N,,,-1)/_xlfn.XLOOKUP("Operating Cash Flow",Inputs!$B:$B,Inputs!N:N),"")</f>
        <v>0.22691134278902494</v>
      </c>
      <c r="N62" s="339">
        <f>IFERROR(_xlfn.XLOOKUP("Financing Cash Flow",Inputs!$B:$B,Inputs!O:O,,,-1)/_xlfn.XLOOKUP("Operating Cash Flow",Inputs!$B:$B,Inputs!O:O),"")</f>
        <v>0.19091370386658099</v>
      </c>
      <c r="O62" s="339">
        <f>IFERROR(_xlfn.XLOOKUP("Financing Cash Flow",Inputs!$B:$B,Inputs!P:P,,,-1)/_xlfn.XLOOKUP("Operating Cash Flow",Inputs!$B:$B,Inputs!P:P),"")</f>
        <v>1.3315880510495068</v>
      </c>
      <c r="P62" s="340">
        <f>IFERROR(_xlfn.XLOOKUP("Financing Cash Flow",Inputs!$B:$B,Inputs!Q:Q,,,-1)/_xlfn.XLOOKUP("Operating Cash Flow",Inputs!$B:$B,Inputs!Q:Q),"")</f>
        <v>-0.29211737185317438</v>
      </c>
      <c r="Q62" s="341">
        <f>IFERROR(_xlfn.XLOOKUP("Financing Cash Flow",DCF!$B:$B,DCF!H:H)/_xlfn.XLOOKUP("Operating Cash Flow",DCF!$B:$B,DCF!H:H),"")</f>
        <v>-3.6581562925977278</v>
      </c>
      <c r="R62" s="341">
        <f>IFERROR(_xlfn.XLOOKUP("Financing Cash Flow",DCF!$B:$B,DCF!I:I)/_xlfn.XLOOKUP("Operating Cash Flow",DCF!$B:$B,DCF!I:I),"")</f>
        <v>-0.54239798951389007</v>
      </c>
    </row>
    <row r="63" spans="2:18" ht="15.5" x14ac:dyDescent="0.35">
      <c r="B63" s="15" t="s">
        <v>66</v>
      </c>
      <c r="F63" s="339">
        <f>IFERROR(_xlfn.XLOOKUP("Net Income",Inputs!$B:$B,Inputs!G:G,,,-1)/_xlfn.XLOOKUP("Operating Cash Flow",Inputs!$B:$B,Inputs!G:G),"")</f>
        <v>0.71506980073976811</v>
      </c>
      <c r="G63" s="339">
        <f>IFERROR(_xlfn.XLOOKUP("Net Income",Inputs!$B:$B,Inputs!H:H,,,-1)/_xlfn.XLOOKUP("Operating Cash Flow",Inputs!$B:$B,Inputs!H:H),"")</f>
        <v>0.4639304683727668</v>
      </c>
      <c r="H63" s="339">
        <f>IFERROR(_xlfn.XLOOKUP("Net Income",Inputs!$B:$B,Inputs!I:I,,,-1)/_xlfn.XLOOKUP("Operating Cash Flow",Inputs!$B:$B,Inputs!I:I),"")</f>
        <v>0.53354718953306057</v>
      </c>
      <c r="I63" s="339">
        <f>IFERROR(_xlfn.XLOOKUP("Net Income",Inputs!$B:$B,Inputs!J:J,,,-1)/_xlfn.XLOOKUP("Operating Cash Flow",Inputs!$B:$B,Inputs!J:J),"")</f>
        <v>0.72442922685254507</v>
      </c>
      <c r="J63" s="339">
        <f>IFERROR(_xlfn.XLOOKUP("Net Income",Inputs!$B:$B,Inputs!K:K,,,-1)/_xlfn.XLOOKUP("Operating Cash Flow",Inputs!$B:$B,Inputs!K:K),"")</f>
        <v>0.69915238986467032</v>
      </c>
      <c r="K63" s="339">
        <f>IFERROR(_xlfn.XLOOKUP("Net Income",Inputs!$B:$B,Inputs!L:L,,,-1)/_xlfn.XLOOKUP("Operating Cash Flow",Inputs!$B:$B,Inputs!L:L),"")</f>
        <v>0.30674687390262179</v>
      </c>
      <c r="L63" s="339">
        <f>IFERROR(_xlfn.XLOOKUP("Net Income",Inputs!$B:$B,Inputs!M:M,,,-1)/_xlfn.XLOOKUP("Operating Cash Flow",Inputs!$B:$B,Inputs!M:M),"")</f>
        <v>0.3864437334545987</v>
      </c>
      <c r="M63" s="339">
        <f>IFERROR(_xlfn.XLOOKUP("Net Income",Inputs!$B:$B,Inputs!N:N,,,-1)/_xlfn.XLOOKUP("Operating Cash Flow",Inputs!$B:$B,Inputs!N:N),"")</f>
        <v>0.48572554248999905</v>
      </c>
      <c r="N63" s="339">
        <f>IFERROR(_xlfn.XLOOKUP("Net Income",Inputs!$B:$B,Inputs!O:O,,,-1)/_xlfn.XLOOKUP("Operating Cash Flow",Inputs!$B:$B,Inputs!O:O),"")</f>
        <v>0.15166604648015952</v>
      </c>
      <c r="O63" s="339">
        <f>IFERROR(_xlfn.XLOOKUP("Net Income",Inputs!$B:$B,Inputs!P:P,,,-1)/_xlfn.XLOOKUP("Operating Cash Flow",Inputs!$B:$B,Inputs!P:P),"")</f>
        <v>-2.1358515263428535</v>
      </c>
      <c r="P63" s="340">
        <f>IFERROR(_xlfn.XLOOKUP("Net Income",Inputs!$B:$B,Inputs!Q:Q,,,-1)/_xlfn.XLOOKUP("Operating Cash Flow",Inputs!$B:$B,Inputs!Q:Q),"")</f>
        <v>0.66442362875429151</v>
      </c>
      <c r="Q63" s="341">
        <f>IFERROR(_xlfn.XLOOKUP("Net Income",DCF!$B:$B,DCF!H:H)/_xlfn.XLOOKUP("Operating Cash Flow",DCF!$B:$B,DCF!H:H),"")</f>
        <v>1.6033417149580913</v>
      </c>
      <c r="R63" s="341">
        <f>IFERROR(_xlfn.XLOOKUP("Net Income",DCF!$B:$B,DCF!I:I)/_xlfn.XLOOKUP("Operating Cash Flow",DCF!$B:$B,DCF!I:I),"")</f>
        <v>1.0881716918148308</v>
      </c>
    </row>
    <row r="64" spans="2:18" ht="15.5" x14ac:dyDescent="0.35">
      <c r="B64" s="27" t="s">
        <v>68</v>
      </c>
      <c r="F64" s="339">
        <f>IFERROR(_xlfn.XLOOKUP("Net Changes in Cash",Inputs!$B:$B,Inputs!G:G,,,-1)/_xlfn.XLOOKUP("Operating Cash Flow",Inputs!$B:$B,Inputs!G:G),"")</f>
        <v>-3.3255492866517807E-2</v>
      </c>
      <c r="G64" s="339">
        <f>IFERROR(_xlfn.XLOOKUP("Net Changes in Cash",Inputs!$B:$B,Inputs!H:H,,,-1)/_xlfn.XLOOKUP("Operating Cash Flow",Inputs!$B:$B,Inputs!H:H),"")</f>
        <v>7.9296099576157519E-2</v>
      </c>
      <c r="H64" s="339">
        <f>IFERROR(_xlfn.XLOOKUP("Net Changes in Cash",Inputs!$B:$B,Inputs!I:I,,,-1)/_xlfn.XLOOKUP("Operating Cash Flow",Inputs!$B:$B,Inputs!I:I),"")</f>
        <v>-0.10126331344951252</v>
      </c>
      <c r="I64" s="339">
        <f>IFERROR(_xlfn.XLOOKUP("Net Changes in Cash",Inputs!$B:$B,Inputs!J:J,,,-1)/_xlfn.XLOOKUP("Operating Cash Flow",Inputs!$B:$B,Inputs!J:J),"")</f>
        <v>0.1590268607136536</v>
      </c>
      <c r="J64" s="339">
        <f>IFERROR(_xlfn.XLOOKUP("Net Changes in Cash",Inputs!$B:$B,Inputs!K:K,,,-1)/_xlfn.XLOOKUP("Operating Cash Flow",Inputs!$B:$B,Inputs!K:K),"")</f>
        <v>-2.7025446300028795E-2</v>
      </c>
      <c r="K64" s="339">
        <f>IFERROR(_xlfn.XLOOKUP("Net Changes in Cash",Inputs!$B:$B,Inputs!L:L,,,-1)/_xlfn.XLOOKUP("Operating Cash Flow",Inputs!$B:$B,Inputs!L:L),"")</f>
        <v>-6.5957219414629681E-3</v>
      </c>
      <c r="L64" s="339">
        <f>IFERROR(_xlfn.XLOOKUP("Net Changes in Cash",Inputs!$B:$B,Inputs!M:M,,,-1)/_xlfn.XLOOKUP("Operating Cash Flow",Inputs!$B:$B,Inputs!M:M),"")</f>
        <v>5.4398843649001993E-2</v>
      </c>
      <c r="M64" s="339">
        <f>IFERROR(_xlfn.XLOOKUP("Net Changes in Cash",Inputs!$B:$B,Inputs!N:N,,,-1)/_xlfn.XLOOKUP("Operating Cash Flow",Inputs!$B:$B,Inputs!N:N),"")</f>
        <v>0.10516426233482846</v>
      </c>
      <c r="N64" s="339">
        <f>IFERROR(_xlfn.XLOOKUP("Net Changes in Cash",Inputs!$B:$B,Inputs!O:O,,,-1)/_xlfn.XLOOKUP("Operating Cash Flow",Inputs!$B:$B,Inputs!O:O),"")</f>
        <v>-5.4801934981901831E-3</v>
      </c>
      <c r="O64" s="339">
        <f>IFERROR(_xlfn.XLOOKUP("Net Changes in Cash",Inputs!$B:$B,Inputs!P:P,,,-1)/_xlfn.XLOOKUP("Operating Cash Flow",Inputs!$B:$B,Inputs!P:P),"")</f>
        <v>0.61013977841148148</v>
      </c>
      <c r="P64" s="340">
        <f>IFERROR(_xlfn.XLOOKUP("Net Changes in Cash",Inputs!$B:$B,Inputs!Q:Q,,,-1)/_xlfn.XLOOKUP("Operating Cash Flow",Inputs!$B:$B,Inputs!Q:Q),"")</f>
        <v>0.12141938991606227</v>
      </c>
      <c r="Q64" s="341">
        <f>IFERROR(_xlfn.XLOOKUP("Net Changes in Cash",DCF!$B:$B,DCF!H:H)/_xlfn.XLOOKUP("Operating Cash Flow",DCF!$B:$B,DCF!H:H),"")</f>
        <v>-1.6655929098925109</v>
      </c>
      <c r="R64" s="341">
        <f>IFERROR(_xlfn.XLOOKUP("Net Changes in Cash",DCF!$B:$B,DCF!I:I)/_xlfn.XLOOKUP("Operating Cash Flow",DCF!$B:$B,DCF!I:I),"")</f>
        <v>0.45107213523200507</v>
      </c>
    </row>
    <row r="67" spans="2:20" ht="20.25" customHeight="1" x14ac:dyDescent="0.3">
      <c r="T67" s="1" t="s">
        <v>577</v>
      </c>
    </row>
    <row r="69" spans="2:20" x14ac:dyDescent="0.3">
      <c r="B69" s="366"/>
    </row>
    <row r="70" spans="2:20" x14ac:dyDescent="0.3">
      <c r="B70" s="366"/>
    </row>
    <row r="71" spans="2:20" x14ac:dyDescent="0.3">
      <c r="B71" s="366"/>
    </row>
    <row r="72" spans="2:20" x14ac:dyDescent="0.3">
      <c r="B72" s="366"/>
    </row>
    <row r="73" spans="2:20" x14ac:dyDescent="0.3">
      <c r="B73" s="366"/>
    </row>
    <row r="74" spans="2:20" x14ac:dyDescent="0.3">
      <c r="B74" s="366"/>
    </row>
    <row r="75" spans="2:20" x14ac:dyDescent="0.3">
      <c r="B75" s="366"/>
    </row>
    <row r="76" spans="2:20" x14ac:dyDescent="0.3">
      <c r="B76" s="366"/>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900-000061000000}">
          <x14:colorSeries rgb="FF7B1314"/>
          <x14:colorNegative rgb="FFD00000"/>
          <x14:colorAxis rgb="FF000000"/>
          <x14:colorMarkers rgb="FFD00000"/>
          <x14:colorFirst rgb="FFD00000"/>
          <x14:colorLast rgb="FFD00000"/>
          <x14:colorHigh rgb="FFD00000"/>
          <x14:colorLow rgb="FFD00000"/>
          <x14:sparklines>
            <x14:sparkline>
              <xm:f>Ratios!F61:R61</xm:f>
              <xm:sqref>E61</xm:sqref>
            </x14:sparkline>
          </x14:sparklines>
        </x14:sparklineGroup>
        <x14:sparklineGroup displayEmptyCellsAs="gap" xr2:uid="{00000000-0003-0000-0900-000062000000}">
          <x14:colorSeries rgb="FF7B1314"/>
          <x14:colorNegative rgb="FFD00000"/>
          <x14:colorAxis rgb="FF000000"/>
          <x14:colorMarkers rgb="FFD00000"/>
          <x14:colorFirst rgb="FFD00000"/>
          <x14:colorLast rgb="FFD00000"/>
          <x14:colorHigh rgb="FFD00000"/>
          <x14:colorLow rgb="FFD00000"/>
          <x14:sparklines>
            <x14:sparkline>
              <xm:f>Ratios!F62:R62</xm:f>
              <xm:sqref>E62</xm:sqref>
            </x14:sparkline>
          </x14:sparklines>
        </x14:sparklineGroup>
        <x14:sparklineGroup displayEmptyCellsAs="gap" xr2:uid="{00000000-0003-0000-0900-000063000000}">
          <x14:colorSeries rgb="FF7B1314"/>
          <x14:colorNegative rgb="FFD00000"/>
          <x14:colorAxis rgb="FF000000"/>
          <x14:colorMarkers rgb="FFD00000"/>
          <x14:colorFirst rgb="FFD00000"/>
          <x14:colorLast rgb="FFD00000"/>
          <x14:colorHigh rgb="FFD00000"/>
          <x14:colorLow rgb="FFD00000"/>
          <x14:sparklines>
            <x14:sparkline>
              <xm:f>Ratios!F60:R60</xm:f>
              <xm:sqref>E60</xm:sqref>
            </x14:sparkline>
          </x14:sparklines>
        </x14:sparklineGroup>
        <x14:sparklineGroup displayEmptyCellsAs="gap" xr2:uid="{00000000-0003-0000-0900-000064000000}">
          <x14:colorSeries rgb="FF7B1314"/>
          <x14:colorNegative rgb="FFD00000"/>
          <x14:colorAxis rgb="FF000000"/>
          <x14:colorMarkers rgb="FFD00000"/>
          <x14:colorFirst rgb="FFD00000"/>
          <x14:colorLast rgb="FFD00000"/>
          <x14:colorHigh rgb="FFD00000"/>
          <x14:colorLow rgb="FFD00000"/>
          <x14:sparklines>
            <x14:sparkline>
              <xm:f>Ratios!F59:R59</xm:f>
              <xm:sqref>E59</xm:sqref>
            </x14:sparkline>
          </x14:sparklines>
        </x14:sparklineGroup>
        <x14:sparklineGroup displayEmptyCellsAs="gap" xr2:uid="{00000000-0003-0000-0900-000065000000}">
          <x14:colorSeries rgb="FF7B1314"/>
          <x14:colorNegative rgb="FFD00000"/>
          <x14:colorAxis rgb="FF000000"/>
          <x14:colorMarkers rgb="FFD00000"/>
          <x14:colorFirst rgb="FFD00000"/>
          <x14:colorLast rgb="FFD00000"/>
          <x14:colorHigh rgb="FFD00000"/>
          <x14:colorLow rgb="FFD00000"/>
          <x14:sparklines>
            <x14:sparkline>
              <xm:f>Ratios!F58:R58</xm:f>
              <xm:sqref>E58</xm:sqref>
            </x14:sparkline>
          </x14:sparklines>
        </x14:sparklineGroup>
        <x14:sparklineGroup displayEmptyCellsAs="gap" xr2:uid="{00000000-0003-0000-0900-000066000000}">
          <x14:colorSeries rgb="FF7B1314"/>
          <x14:colorNegative rgb="FFD00000"/>
          <x14:colorAxis rgb="FF000000"/>
          <x14:colorMarkers rgb="FFD00000"/>
          <x14:colorFirst rgb="FFD00000"/>
          <x14:colorLast rgb="FFD00000"/>
          <x14:colorHigh rgb="FFD00000"/>
          <x14:colorLow rgb="FFD00000"/>
          <x14:sparklines>
            <x14:sparkline>
              <xm:f>Ratios!F57:R57</xm:f>
              <xm:sqref>E57</xm:sqref>
            </x14:sparkline>
          </x14:sparklines>
        </x14:sparklineGroup>
        <x14:sparklineGroup displayEmptyCellsAs="gap" xr2:uid="{00000000-0003-0000-0900-000067000000}">
          <x14:colorSeries rgb="FF7B1314"/>
          <x14:colorNegative rgb="FFD00000"/>
          <x14:colorAxis rgb="FF000000"/>
          <x14:colorMarkers rgb="FFD00000"/>
          <x14:colorFirst rgb="FFD00000"/>
          <x14:colorLast rgb="FFD00000"/>
          <x14:colorHigh rgb="FFD00000"/>
          <x14:colorLow rgb="FFD00000"/>
          <x14:sparklines>
            <x14:sparkline>
              <xm:f>Ratios!F56:R56</xm:f>
              <xm:sqref>E56</xm:sqref>
            </x14:sparkline>
          </x14:sparklines>
        </x14:sparklineGroup>
        <x14:sparklineGroup displayEmptyCellsAs="gap" xr2:uid="{00000000-0003-0000-0900-000068000000}">
          <x14:colorSeries rgb="FF7B1314"/>
          <x14:colorNegative rgb="FFD00000"/>
          <x14:colorAxis rgb="FF000000"/>
          <x14:colorMarkers rgb="FFD00000"/>
          <x14:colorFirst rgb="FFD00000"/>
          <x14:colorLast rgb="FFD00000"/>
          <x14:colorHigh rgb="FFD00000"/>
          <x14:colorLow rgb="FFD00000"/>
          <x14:sparklines>
            <x14:sparkline>
              <xm:f>Ratios!F64:R64</xm:f>
              <xm:sqref>E64</xm:sqref>
            </x14:sparkline>
          </x14:sparklines>
        </x14:sparklineGroup>
        <x14:sparklineGroup displayEmptyCellsAs="gap" xr2:uid="{00000000-0003-0000-0900-000069000000}">
          <x14:colorSeries rgb="FF7B1314"/>
          <x14:colorNegative rgb="FFD00000"/>
          <x14:colorAxis rgb="FF000000"/>
          <x14:colorMarkers rgb="FFD00000"/>
          <x14:colorFirst rgb="FFD00000"/>
          <x14:colorLast rgb="FFD00000"/>
          <x14:colorHigh rgb="FFD00000"/>
          <x14:colorLow rgb="FFD00000"/>
          <x14:sparklines>
            <x14:sparkline>
              <xm:f>Ratios!F45:R45</xm:f>
              <xm:sqref>E45</xm:sqref>
            </x14:sparkline>
          </x14:sparklines>
        </x14:sparklineGroup>
        <x14:sparklineGroup displayEmptyCellsAs="gap" xr2:uid="{00000000-0003-0000-0900-00006A000000}">
          <x14:colorSeries rgb="FF7B1314"/>
          <x14:colorNegative rgb="FFD00000"/>
          <x14:colorAxis rgb="FF000000"/>
          <x14:colorMarkers rgb="FFD00000"/>
          <x14:colorFirst rgb="FFD00000"/>
          <x14:colorLast rgb="FFD00000"/>
          <x14:colorHigh rgb="FFD00000"/>
          <x14:colorLow rgb="FFD00000"/>
          <x14:sparklines>
            <x14:sparkline>
              <xm:f>Ratios!F36:R36</xm:f>
              <xm:sqref>E36</xm:sqref>
            </x14:sparkline>
          </x14:sparklines>
        </x14:sparklineGroup>
        <x14:sparklineGroup displayEmptyCellsAs="gap" xr2:uid="{00000000-0003-0000-0900-00006B000000}">
          <x14:colorSeries rgb="FF7B1314"/>
          <x14:colorNegative rgb="FFD00000"/>
          <x14:colorAxis rgb="FF000000"/>
          <x14:colorMarkers rgb="FFD00000"/>
          <x14:colorFirst rgb="FFD00000"/>
          <x14:colorLast rgb="FFD00000"/>
          <x14:colorHigh rgb="FFD00000"/>
          <x14:colorLow rgb="FFD00000"/>
          <x14:sparklines>
            <x14:sparkline>
              <xm:f>Ratios!F29:R29</xm:f>
              <xm:sqref>E29</xm:sqref>
            </x14:sparkline>
          </x14:sparklines>
        </x14:sparklineGroup>
        <x14:sparklineGroup displayEmptyCellsAs="gap" xr2:uid="{00000000-0003-0000-0900-00006C000000}">
          <x14:colorSeries rgb="FF7B1314"/>
          <x14:colorNegative rgb="FFD00000"/>
          <x14:colorAxis rgb="FF000000"/>
          <x14:colorMarkers rgb="FFD00000"/>
          <x14:colorFirst rgb="FFD00000"/>
          <x14:colorLast rgb="FFD00000"/>
          <x14:colorHigh rgb="FFD00000"/>
          <x14:colorLow rgb="FFD00000"/>
          <x14:sparklines>
            <x14:sparkline>
              <xm:f>Ratios!F11:R11</xm:f>
              <xm:sqref>E11</xm:sqref>
            </x14:sparkline>
          </x14:sparklines>
        </x14:sparklineGroup>
        <x14:sparklineGroup displayEmptyCellsAs="gap" xr2:uid="{00000000-0003-0000-0900-00006D000000}">
          <x14:colorSeries rgb="FF7B1314"/>
          <x14:colorNegative rgb="FFD00000"/>
          <x14:colorAxis rgb="FF000000"/>
          <x14:colorMarkers rgb="FFD00000"/>
          <x14:colorFirst rgb="FFD00000"/>
          <x14:colorLast rgb="FFD00000"/>
          <x14:colorHigh rgb="FFD00000"/>
          <x14:colorLow rgb="FFD00000"/>
          <x14:sparklines>
            <x14:sparkline>
              <xm:f>Ratios!F23:R23</xm:f>
              <xm:sqref>E23</xm:sqref>
            </x14:sparkline>
          </x14:sparklines>
        </x14:sparklineGroup>
        <x14:sparklineGroup displayEmptyCellsAs="gap" xr2:uid="{00000000-0003-0000-0900-00006E000000}">
          <x14:colorSeries rgb="FF7B1314"/>
          <x14:colorNegative rgb="FFD00000"/>
          <x14:colorAxis rgb="FF000000"/>
          <x14:colorMarkers rgb="FFD00000"/>
          <x14:colorFirst rgb="FFD00000"/>
          <x14:colorLast rgb="FFD00000"/>
          <x14:colorHigh rgb="FFD00000"/>
          <x14:colorLow rgb="FFD00000"/>
          <x14:sparklines>
            <x14:sparkline>
              <xm:f>Ratios!F17:R17</xm:f>
              <xm:sqref>E17</xm:sqref>
            </x14:sparkline>
          </x14:sparklines>
        </x14:sparklineGroup>
        <x14:sparklineGroup displayEmptyCellsAs="gap" xr2:uid="{00000000-0003-0000-0900-00006F000000}">
          <x14:colorSeries rgb="FF7B1314"/>
          <x14:colorNegative rgb="FFD00000"/>
          <x14:colorAxis rgb="FF000000"/>
          <x14:colorMarkers rgb="FFD00000"/>
          <x14:colorFirst rgb="FFD00000"/>
          <x14:colorLast rgb="FFD00000"/>
          <x14:colorHigh rgb="FFD00000"/>
          <x14:colorLow rgb="FFD00000"/>
          <x14:sparklines>
            <x14:sparkline>
              <xm:f>Ratios!F51:R51</xm:f>
              <xm:sqref>E51</xm:sqref>
            </x14:sparkline>
          </x14:sparklines>
        </x14:sparklineGroup>
        <x14:sparklineGroup displayEmptyCellsAs="gap" xr2:uid="{00000000-0003-0000-0900-000070000000}">
          <x14:colorSeries rgb="FF7B1314"/>
          <x14:colorNegative rgb="FFD00000"/>
          <x14:colorAxis rgb="FF000000"/>
          <x14:colorMarkers rgb="FFD00000"/>
          <x14:colorFirst rgb="FFD00000"/>
          <x14:colorLast rgb="FFD00000"/>
          <x14:colorHigh rgb="FFD00000"/>
          <x14:colorLow rgb="FFD00000"/>
          <x14:sparklines>
            <x14:sparkline>
              <xm:f>Ratios!F6:R6</xm:f>
              <xm:sqref>E6</xm:sqref>
            </x14:sparkline>
          </x14:sparklines>
        </x14:sparklineGroup>
        <x14:sparklineGroup displayEmptyCellsAs="gap" xr2:uid="{00000000-0003-0000-0900-000071000000}">
          <x14:colorSeries rgb="FF7B1314"/>
          <x14:colorNegative rgb="FFD00000"/>
          <x14:colorAxis rgb="FF000000"/>
          <x14:colorMarkers rgb="FFD00000"/>
          <x14:colorFirst rgb="FFD00000"/>
          <x14:colorLast rgb="FFD00000"/>
          <x14:colorHigh rgb="FFD00000"/>
          <x14:colorLow rgb="FFD00000"/>
          <x14:sparklines>
            <x14:sparkline>
              <xm:f>Ratios!F7:R7</xm:f>
              <xm:sqref>E7</xm:sqref>
            </x14:sparkline>
          </x14:sparklines>
        </x14:sparklineGroup>
        <x14:sparklineGroup displayEmptyCellsAs="gap" xr2:uid="{00000000-0003-0000-0900-000072000000}">
          <x14:colorSeries rgb="FF7B1314"/>
          <x14:colorNegative rgb="FFD00000"/>
          <x14:colorAxis rgb="FF000000"/>
          <x14:colorMarkers rgb="FFD00000"/>
          <x14:colorFirst rgb="FFD00000"/>
          <x14:colorLast rgb="FFD00000"/>
          <x14:colorHigh rgb="FFD00000"/>
          <x14:colorLow rgb="FFD00000"/>
          <x14:sparklines>
            <x14:sparkline>
              <xm:f>Ratios!F8:R8</xm:f>
              <xm:sqref>E8</xm:sqref>
            </x14:sparkline>
          </x14:sparklines>
        </x14:sparklineGroup>
        <x14:sparklineGroup displayEmptyCellsAs="gap" xr2:uid="{00000000-0003-0000-0900-000073000000}">
          <x14:colorSeries rgb="FF7B1314"/>
          <x14:colorNegative rgb="FFD00000"/>
          <x14:colorAxis rgb="FF000000"/>
          <x14:colorMarkers rgb="FFD00000"/>
          <x14:colorFirst rgb="FFD00000"/>
          <x14:colorLast rgb="FFD00000"/>
          <x14:colorHigh rgb="FFD00000"/>
          <x14:colorLow rgb="FFD00000"/>
          <x14:sparklines>
            <x14:sparkline>
              <xm:f>Ratios!F9:R9</xm:f>
              <xm:sqref>E9</xm:sqref>
            </x14:sparkline>
          </x14:sparklines>
        </x14:sparklineGroup>
        <x14:sparklineGroup displayEmptyCellsAs="gap" xr2:uid="{00000000-0003-0000-0900-000074000000}">
          <x14:colorSeries rgb="FF7B1314"/>
          <x14:colorNegative rgb="FFD00000"/>
          <x14:colorAxis rgb="FF000000"/>
          <x14:colorMarkers rgb="FFD00000"/>
          <x14:colorFirst rgb="FFD00000"/>
          <x14:colorLast rgb="FFD00000"/>
          <x14:colorHigh rgb="FFD00000"/>
          <x14:colorLow rgb="FFD00000"/>
          <x14:sparklines>
            <x14:sparkline>
              <xm:f>Ratios!F10:R10</xm:f>
              <xm:sqref>E10</xm:sqref>
            </x14:sparkline>
          </x14:sparklines>
        </x14:sparklineGroup>
        <x14:sparklineGroup displayEmptyCellsAs="gap" xr2:uid="{00000000-0003-0000-0900-000075000000}">
          <x14:colorSeries rgb="FF7B1314"/>
          <x14:colorNegative rgb="FFD00000"/>
          <x14:colorAxis rgb="FF000000"/>
          <x14:colorMarkers rgb="FFD00000"/>
          <x14:colorFirst rgb="FFD00000"/>
          <x14:colorLast rgb="FFD00000"/>
          <x14:colorHigh rgb="FFD00000"/>
          <x14:colorLow rgb="FFD00000"/>
          <x14:sparklines>
            <x14:sparkline>
              <xm:f>Ratios!F15:R15</xm:f>
              <xm:sqref>E15</xm:sqref>
            </x14:sparkline>
          </x14:sparklines>
        </x14:sparklineGroup>
        <x14:sparklineGroup displayEmptyCellsAs="gap" xr2:uid="{00000000-0003-0000-0900-000076000000}">
          <x14:colorSeries rgb="FF7B1314"/>
          <x14:colorNegative rgb="FFD00000"/>
          <x14:colorAxis rgb="FF000000"/>
          <x14:colorMarkers rgb="FFD00000"/>
          <x14:colorFirst rgb="FFD00000"/>
          <x14:colorLast rgb="FFD00000"/>
          <x14:colorHigh rgb="FFD00000"/>
          <x14:colorLow rgb="FFD00000"/>
          <x14:sparklines>
            <x14:sparkline>
              <xm:f>Ratios!F16:R16</xm:f>
              <xm:sqref>E16</xm:sqref>
            </x14:sparkline>
          </x14:sparklines>
        </x14:sparklineGroup>
        <x14:sparklineGroup displayEmptyCellsAs="gap" xr2:uid="{00000000-0003-0000-0900-000077000000}">
          <x14:colorSeries rgb="FF7B1314"/>
          <x14:colorNegative rgb="FFD00000"/>
          <x14:colorAxis rgb="FF000000"/>
          <x14:colorMarkers rgb="FFD00000"/>
          <x14:colorFirst rgb="FFD00000"/>
          <x14:colorLast rgb="FFD00000"/>
          <x14:colorHigh rgb="FFD00000"/>
          <x14:colorLow rgb="FFD00000"/>
          <x14:sparklines>
            <x14:sparkline>
              <xm:f>Ratios!F18:R18</xm:f>
              <xm:sqref>E18</xm:sqref>
            </x14:sparkline>
          </x14:sparklines>
        </x14:sparklineGroup>
        <x14:sparklineGroup displayEmptyCellsAs="gap" xr2:uid="{00000000-0003-0000-0900-000078000000}">
          <x14:colorSeries rgb="FF7B1314"/>
          <x14:colorNegative rgb="FFD00000"/>
          <x14:colorAxis rgb="FF000000"/>
          <x14:colorMarkers rgb="FFD00000"/>
          <x14:colorFirst rgb="FFD00000"/>
          <x14:colorLast rgb="FFD00000"/>
          <x14:colorHigh rgb="FFD00000"/>
          <x14:colorLow rgb="FFD00000"/>
          <x14:sparklines>
            <x14:sparkline>
              <xm:f>Ratios!F19:R19</xm:f>
              <xm:sqref>E19</xm:sqref>
            </x14:sparkline>
          </x14:sparklines>
        </x14:sparklineGroup>
        <x14:sparklineGroup displayEmptyCellsAs="gap" xr2:uid="{00000000-0003-0000-0900-000079000000}">
          <x14:colorSeries rgb="FF7B1314"/>
          <x14:colorNegative rgb="FFD00000"/>
          <x14:colorAxis rgb="FF000000"/>
          <x14:colorMarkers rgb="FFD00000"/>
          <x14:colorFirst rgb="FFD00000"/>
          <x14:colorLast rgb="FFD00000"/>
          <x14:colorHigh rgb="FFD00000"/>
          <x14:colorLow rgb="FFD00000"/>
          <x14:sparklines>
            <x14:sparkline>
              <xm:f>Ratios!F20:R20</xm:f>
              <xm:sqref>E20</xm:sqref>
            </x14:sparkline>
          </x14:sparklines>
        </x14:sparklineGroup>
        <x14:sparklineGroup displayEmptyCellsAs="gap" xr2:uid="{00000000-0003-0000-0900-00007A000000}">
          <x14:colorSeries rgb="FF7B1314"/>
          <x14:colorNegative rgb="FFD00000"/>
          <x14:colorAxis rgb="FF000000"/>
          <x14:colorMarkers rgb="FFD00000"/>
          <x14:colorFirst rgb="FFD00000"/>
          <x14:colorLast rgb="FFD00000"/>
          <x14:colorHigh rgb="FFD00000"/>
          <x14:colorLow rgb="FFD00000"/>
          <x14:sparklines>
            <x14:sparkline>
              <xm:f>Ratios!F21:R21</xm:f>
              <xm:sqref>E21</xm:sqref>
            </x14:sparkline>
          </x14:sparklines>
        </x14:sparklineGroup>
        <x14:sparklineGroup displayEmptyCellsAs="gap" xr2:uid="{00000000-0003-0000-0900-00007B000000}">
          <x14:colorSeries rgb="FF7B1314"/>
          <x14:colorNegative rgb="FFD00000"/>
          <x14:colorAxis rgb="FF000000"/>
          <x14:colorMarkers rgb="FFD00000"/>
          <x14:colorFirst rgb="FFD00000"/>
          <x14:colorLast rgb="FFD00000"/>
          <x14:colorHigh rgb="FFD00000"/>
          <x14:colorLow rgb="FFD00000"/>
          <x14:sparklines>
            <x14:sparkline>
              <xm:f>Ratios!F22:R22</xm:f>
              <xm:sqref>E22</xm:sqref>
            </x14:sparkline>
          </x14:sparklines>
        </x14:sparklineGroup>
        <x14:sparklineGroup displayEmptyCellsAs="gap" xr2:uid="{00000000-0003-0000-0900-00007C000000}">
          <x14:colorSeries rgb="FF7B1314"/>
          <x14:colorNegative rgb="FFD00000"/>
          <x14:colorAxis rgb="FF000000"/>
          <x14:colorMarkers rgb="FFD00000"/>
          <x14:colorFirst rgb="FFD00000"/>
          <x14:colorLast rgb="FFD00000"/>
          <x14:colorHigh rgb="FFD00000"/>
          <x14:colorLow rgb="FFD00000"/>
          <x14:sparklines>
            <x14:sparkline>
              <xm:f>Ratios!F27:R27</xm:f>
              <xm:sqref>E27</xm:sqref>
            </x14:sparkline>
          </x14:sparklines>
        </x14:sparklineGroup>
        <x14:sparklineGroup displayEmptyCellsAs="gap" xr2:uid="{00000000-0003-0000-0900-00007D000000}">
          <x14:colorSeries rgb="FF7B1314"/>
          <x14:colorNegative rgb="FFD00000"/>
          <x14:colorAxis rgb="FF000000"/>
          <x14:colorMarkers rgb="FFD00000"/>
          <x14:colorFirst rgb="FFD00000"/>
          <x14:colorLast rgb="FFD00000"/>
          <x14:colorHigh rgb="FFD00000"/>
          <x14:colorLow rgb="FFD00000"/>
          <x14:sparklines>
            <x14:sparkline>
              <xm:f>Ratios!F28:R28</xm:f>
              <xm:sqref>E28</xm:sqref>
            </x14:sparkline>
          </x14:sparklines>
        </x14:sparklineGroup>
        <x14:sparklineGroup displayEmptyCellsAs="gap" xr2:uid="{00000000-0003-0000-0900-00007E000000}">
          <x14:colorSeries rgb="FF7B1314"/>
          <x14:colorNegative rgb="FFD00000"/>
          <x14:colorAxis rgb="FF000000"/>
          <x14:colorMarkers rgb="FFD00000"/>
          <x14:colorFirst rgb="FFD00000"/>
          <x14:colorLast rgb="FFD00000"/>
          <x14:colorHigh rgb="FFD00000"/>
          <x14:colorLow rgb="FFD00000"/>
          <x14:sparklines>
            <x14:sparkline>
              <xm:f>Ratios!F33:R33</xm:f>
              <xm:sqref>E33</xm:sqref>
            </x14:sparkline>
          </x14:sparklines>
        </x14:sparklineGroup>
        <x14:sparklineGroup displayEmptyCellsAs="gap" xr2:uid="{00000000-0003-0000-0900-00007F000000}">
          <x14:colorSeries rgb="FF7B1314"/>
          <x14:colorNegative rgb="FFD00000"/>
          <x14:colorAxis rgb="FF000000"/>
          <x14:colorMarkers rgb="FFD00000"/>
          <x14:colorFirst rgb="FFD00000"/>
          <x14:colorLast rgb="FFD00000"/>
          <x14:colorHigh rgb="FFD00000"/>
          <x14:colorLow rgb="FFD00000"/>
          <x14:sparklines>
            <x14:sparkline>
              <xm:f>Ratios!F34:R34</xm:f>
              <xm:sqref>E34</xm:sqref>
            </x14:sparkline>
          </x14:sparklines>
        </x14:sparklineGroup>
        <x14:sparklineGroup displayEmptyCellsAs="gap" xr2:uid="{00000000-0003-0000-0900-000080000000}">
          <x14:colorSeries rgb="FF7B1314"/>
          <x14:colorNegative rgb="FFD00000"/>
          <x14:colorAxis rgb="FF000000"/>
          <x14:colorMarkers rgb="FFD00000"/>
          <x14:colorFirst rgb="FFD00000"/>
          <x14:colorLast rgb="FFD00000"/>
          <x14:colorHigh rgb="FFD00000"/>
          <x14:colorLow rgb="FFD00000"/>
          <x14:sparklines>
            <x14:sparkline>
              <xm:f>Ratios!F35:R35</xm:f>
              <xm:sqref>E35</xm:sqref>
            </x14:sparkline>
          </x14:sparklines>
        </x14:sparklineGroup>
        <x14:sparklineGroup displayEmptyCellsAs="gap" xr2:uid="{00000000-0003-0000-0900-000081000000}">
          <x14:colorSeries rgb="FF7B1314"/>
          <x14:colorNegative rgb="FFD00000"/>
          <x14:colorAxis rgb="FF000000"/>
          <x14:colorMarkers rgb="FFD00000"/>
          <x14:colorFirst rgb="FFD00000"/>
          <x14:colorLast rgb="FFD00000"/>
          <x14:colorHigh rgb="FFD00000"/>
          <x14:colorLow rgb="FFD00000"/>
          <x14:sparklines>
            <x14:sparkline>
              <xm:f>Ratios!F40:R40</xm:f>
              <xm:sqref>E40</xm:sqref>
            </x14:sparkline>
          </x14:sparklines>
        </x14:sparklineGroup>
        <x14:sparklineGroup displayEmptyCellsAs="gap" xr2:uid="{00000000-0003-0000-0900-000082000000}">
          <x14:colorSeries rgb="FF7B1314"/>
          <x14:colorNegative rgb="FFD00000"/>
          <x14:colorAxis rgb="FF000000"/>
          <x14:colorMarkers rgb="FFD00000"/>
          <x14:colorFirst rgb="FFD00000"/>
          <x14:colorLast rgb="FFD00000"/>
          <x14:colorHigh rgb="FFD00000"/>
          <x14:colorLow rgb="FFD00000"/>
          <x14:sparklines>
            <x14:sparkline>
              <xm:f>Ratios!F41:R41</xm:f>
              <xm:sqref>E41</xm:sqref>
            </x14:sparkline>
          </x14:sparklines>
        </x14:sparklineGroup>
        <x14:sparklineGroup displayEmptyCellsAs="gap" xr2:uid="{00000000-0003-0000-0900-000083000000}">
          <x14:colorSeries rgb="FF7B1314"/>
          <x14:colorNegative rgb="FFD00000"/>
          <x14:colorAxis rgb="FF000000"/>
          <x14:colorMarkers rgb="FFD00000"/>
          <x14:colorFirst rgb="FFD00000"/>
          <x14:colorLast rgb="FFD00000"/>
          <x14:colorHigh rgb="FFD00000"/>
          <x14:colorLow rgb="FFD00000"/>
          <x14:sparklines>
            <x14:sparkline>
              <xm:f>Ratios!F42:R42</xm:f>
              <xm:sqref>E42</xm:sqref>
            </x14:sparkline>
          </x14:sparklines>
        </x14:sparklineGroup>
        <x14:sparklineGroup displayEmptyCellsAs="gap" xr2:uid="{00000000-0003-0000-0900-000084000000}">
          <x14:colorSeries rgb="FF7B1314"/>
          <x14:colorNegative rgb="FFD00000"/>
          <x14:colorAxis rgb="FF000000"/>
          <x14:colorMarkers rgb="FFD00000"/>
          <x14:colorFirst rgb="FFD00000"/>
          <x14:colorLast rgb="FFD00000"/>
          <x14:colorHigh rgb="FFD00000"/>
          <x14:colorLow rgb="FFD00000"/>
          <x14:sparklines>
            <x14:sparkline>
              <xm:f>Ratios!F43:R43</xm:f>
              <xm:sqref>E43</xm:sqref>
            </x14:sparkline>
          </x14:sparklines>
        </x14:sparklineGroup>
        <x14:sparklineGroup displayEmptyCellsAs="gap" xr2:uid="{00000000-0003-0000-0900-000085000000}">
          <x14:colorSeries rgb="FF7B1314"/>
          <x14:colorNegative rgb="FFD00000"/>
          <x14:colorAxis rgb="FF000000"/>
          <x14:colorMarkers rgb="FFD00000"/>
          <x14:colorFirst rgb="FFD00000"/>
          <x14:colorLast rgb="FFD00000"/>
          <x14:colorHigh rgb="FFD00000"/>
          <x14:colorLow rgb="FFD00000"/>
          <x14:sparklines>
            <x14:sparkline>
              <xm:f>Ratios!F44:R44</xm:f>
              <xm:sqref>E44</xm:sqref>
            </x14:sparkline>
          </x14:sparklines>
        </x14:sparklineGroup>
        <x14:sparklineGroup displayEmptyCellsAs="gap" xr2:uid="{00000000-0003-0000-0900-000086000000}">
          <x14:colorSeries rgb="FF7B1314"/>
          <x14:colorNegative rgb="FFD00000"/>
          <x14:colorAxis rgb="FF000000"/>
          <x14:colorMarkers rgb="FFD00000"/>
          <x14:colorFirst rgb="FFD00000"/>
          <x14:colorLast rgb="FFD00000"/>
          <x14:colorHigh rgb="FFD00000"/>
          <x14:colorLow rgb="FFD00000"/>
          <x14:sparklines>
            <x14:sparkline>
              <xm:f>Ratios!F49:R49</xm:f>
              <xm:sqref>E49</xm:sqref>
            </x14:sparkline>
          </x14:sparklines>
        </x14:sparklineGroup>
        <x14:sparklineGroup displayEmptyCellsAs="gap" xr2:uid="{00000000-0003-0000-0900-000087000000}">
          <x14:colorSeries rgb="FF7B1314"/>
          <x14:colorNegative rgb="FFD00000"/>
          <x14:colorAxis rgb="FF000000"/>
          <x14:colorMarkers rgb="FFD00000"/>
          <x14:colorFirst rgb="FFD00000"/>
          <x14:colorLast rgb="FFD00000"/>
          <x14:colorHigh rgb="FFD00000"/>
          <x14:colorLow rgb="FFD00000"/>
          <x14:sparklines>
            <x14:sparkline>
              <xm:f>Ratios!F50:R50</xm:f>
              <xm:sqref>E50</xm:sqref>
            </x14:sparkline>
          </x14:sparklines>
        </x14:sparklineGroup>
        <x14:sparklineGroup displayEmptyCellsAs="gap" xr2:uid="{00000000-0003-0000-0900-000088000000}">
          <x14:colorSeries rgb="FF7B1314"/>
          <x14:colorNegative rgb="FFD00000"/>
          <x14:colorAxis rgb="FF000000"/>
          <x14:colorMarkers rgb="FFD00000"/>
          <x14:colorFirst rgb="FFD00000"/>
          <x14:colorLast rgb="FFD00000"/>
          <x14:colorHigh rgb="FFD00000"/>
          <x14:colorLow rgb="FFD00000"/>
          <x14:sparklines>
            <x14:sparkline>
              <xm:f>Ratios!F52:R52</xm:f>
              <xm:sqref>E52</xm:sqref>
            </x14:sparkline>
          </x14:sparklines>
        </x14:sparklineGroup>
        <x14:sparklineGroup displayEmptyCellsAs="gap" xr2:uid="{00000000-0003-0000-0900-000089000000}">
          <x14:colorSeries rgb="FF7B1314"/>
          <x14:colorNegative rgb="FFD00000"/>
          <x14:colorAxis rgb="FF000000"/>
          <x14:colorMarkers rgb="FFD00000"/>
          <x14:colorFirst rgb="FFD00000"/>
          <x14:colorLast rgb="FFD00000"/>
          <x14:colorHigh rgb="FFD00000"/>
          <x14:colorLow rgb="FFD00000"/>
          <x14:sparklines>
            <x14:sparkline>
              <xm:f>Ratios!F55:R55</xm:f>
              <xm:sqref>E55</xm:sqref>
            </x14:sparkline>
          </x14:sparklines>
        </x14:sparklineGroup>
        <x14:sparklineGroup displayEmptyCellsAs="gap" xr2:uid="{00000000-0003-0000-0900-00008A000000}">
          <x14:colorSeries rgb="FF7B1314"/>
          <x14:colorNegative rgb="FFD00000"/>
          <x14:colorAxis rgb="FF000000"/>
          <x14:colorMarkers rgb="FFD00000"/>
          <x14:colorFirst rgb="FFD00000"/>
          <x14:colorLast rgb="FFD00000"/>
          <x14:colorHigh rgb="FFD00000"/>
          <x14:colorLow rgb="FFD00000"/>
          <x14:sparklines>
            <x14:sparkline>
              <xm:f>Ratios!F63:R63</xm:f>
              <xm:sqref>E63</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B2:L10054"/>
  <sheetViews>
    <sheetView showGridLines="0" zoomScale="70" zoomScaleNormal="70" workbookViewId="0">
      <selection activeCell="B57" sqref="B57"/>
    </sheetView>
  </sheetViews>
  <sheetFormatPr defaultRowHeight="14" x14ac:dyDescent="0.3"/>
  <cols>
    <col min="1" max="1" width="4" customWidth="1"/>
    <col min="2" max="2" width="13.25" customWidth="1"/>
    <col min="3" max="7" width="8.58203125" customWidth="1"/>
    <col min="8" max="8" width="9.33203125" bestFit="1" customWidth="1"/>
    <col min="10" max="10" width="15.5" customWidth="1"/>
    <col min="11" max="11" width="13.58203125" bestFit="1" customWidth="1"/>
  </cols>
  <sheetData>
    <row r="2" spans="2:12" s="31" customFormat="1" ht="20.25" customHeight="1" x14ac:dyDescent="0.4">
      <c r="B2" s="34" t="s">
        <v>677</v>
      </c>
    </row>
    <row r="4" spans="2:12" x14ac:dyDescent="0.3">
      <c r="B4" s="593" t="str">
        <f ca="1">IFERROR(Peers!C6&amp;" Fair Value - Blended Discount Rate and Terminal Growth Rate","")</f>
        <v>000660 Fair Value - Blended Discount Rate and Terminal Growth Rate</v>
      </c>
      <c r="J4" s="593" t="str">
        <f ca="1">IFERROR(Peers!C6&amp;" Fair Value - Monte-Carlo Simulations Discount Rate, Revenue Growth and Capex Intensity","")</f>
        <v>000660 Fair Value - Monte-Carlo Simulations Discount Rate, Revenue Growth and Capex Intensity</v>
      </c>
    </row>
    <row r="5" spans="2:12" ht="14.5" thickBot="1" x14ac:dyDescent="0.35">
      <c r="B5" t="s">
        <v>678</v>
      </c>
      <c r="F5" s="77" t="s">
        <v>462</v>
      </c>
    </row>
    <row r="6" spans="2:12" ht="14.5" thickBot="1" x14ac:dyDescent="0.35">
      <c r="B6" s="583"/>
      <c r="C6" s="590"/>
      <c r="D6" s="594">
        <f>DCF!AP293</f>
        <v>9.5299999999999996E-2</v>
      </c>
      <c r="E6" s="594">
        <f>DCF!AQ293</f>
        <v>9.0300000000000005E-2</v>
      </c>
      <c r="F6" s="594">
        <f>DCF!AR293</f>
        <v>8.5300000000000001E-2</v>
      </c>
      <c r="G6" s="594">
        <f>DCF!AS293</f>
        <v>8.0299999999999996E-2</v>
      </c>
      <c r="H6" s="594">
        <f>DCF!AT293</f>
        <v>7.5300000000000006E-2</v>
      </c>
      <c r="J6" s="691" t="s">
        <v>679</v>
      </c>
      <c r="K6" s="691" t="s">
        <v>206</v>
      </c>
      <c r="L6" s="691" t="s">
        <v>680</v>
      </c>
    </row>
    <row r="7" spans="2:12" x14ac:dyDescent="0.3">
      <c r="C7" s="588">
        <f>DCF!AO294</f>
        <v>0.01</v>
      </c>
      <c r="D7" s="920">
        <f>DCF!AP294</f>
        <v>230000</v>
      </c>
      <c r="E7" s="920">
        <f>DCF!AQ294</f>
        <v>250000</v>
      </c>
      <c r="F7" s="920">
        <f>DCF!AR294</f>
        <v>270000</v>
      </c>
      <c r="G7" s="920">
        <f>DCF!AS294</f>
        <v>300000</v>
      </c>
      <c r="H7" s="920">
        <f>DCF!AT294</f>
        <v>330000</v>
      </c>
      <c r="J7" t="s">
        <v>462</v>
      </c>
      <c r="K7" s="14">
        <v>8.5300000000000001E-2</v>
      </c>
      <c r="L7" s="14">
        <v>5.0000000000000001E-3</v>
      </c>
    </row>
    <row r="8" spans="2:12" x14ac:dyDescent="0.3">
      <c r="C8" s="588">
        <f>DCF!AO295</f>
        <v>1.4999999999999999E-2</v>
      </c>
      <c r="D8" s="920">
        <f>DCF!AP295</f>
        <v>240000</v>
      </c>
      <c r="E8" s="920">
        <f>DCF!AQ295</f>
        <v>260000</v>
      </c>
      <c r="F8" s="920">
        <f>DCF!AR295</f>
        <v>290000</v>
      </c>
      <c r="G8" s="920">
        <f>DCF!AS295</f>
        <v>320000</v>
      </c>
      <c r="H8" s="920">
        <f>DCF!AT295</f>
        <v>350000</v>
      </c>
      <c r="J8" t="s">
        <v>196</v>
      </c>
      <c r="K8" s="14">
        <f>+DCF!I7</f>
        <v>0</v>
      </c>
      <c r="L8" s="26">
        <v>0.05</v>
      </c>
    </row>
    <row r="9" spans="2:12" ht="14.5" thickBot="1" x14ac:dyDescent="0.35">
      <c r="B9" s="18" t="s">
        <v>464</v>
      </c>
      <c r="C9" s="588">
        <f>DCF!AO296</f>
        <v>0.02</v>
      </c>
      <c r="D9" s="920">
        <f>DCF!AP296</f>
        <v>250000</v>
      </c>
      <c r="E9" s="920">
        <f>DCF!AQ296</f>
        <v>280000</v>
      </c>
      <c r="F9" s="920">
        <f>DCF!AR296</f>
        <v>300000</v>
      </c>
      <c r="G9" s="920">
        <f>DCF!AS296</f>
        <v>340000</v>
      </c>
      <c r="H9" s="920">
        <f>DCF!AT296</f>
        <v>370000</v>
      </c>
      <c r="J9" s="583" t="s">
        <v>681</v>
      </c>
      <c r="K9" s="594">
        <f>+DCF!I8</f>
        <v>0</v>
      </c>
      <c r="L9" s="594">
        <v>0.05</v>
      </c>
    </row>
    <row r="10" spans="2:12" ht="14.5" thickBot="1" x14ac:dyDescent="0.35">
      <c r="C10" s="588">
        <f>DCF!AO297</f>
        <v>2.5000000000000001E-2</v>
      </c>
      <c r="D10" s="920">
        <f>DCF!AP297</f>
        <v>270000</v>
      </c>
      <c r="E10" s="920">
        <f>DCF!AQ297</f>
        <v>290000</v>
      </c>
      <c r="F10" s="920">
        <f>DCF!AR297</f>
        <v>320000</v>
      </c>
      <c r="G10" s="920">
        <f>DCF!AS297</f>
        <v>360000</v>
      </c>
      <c r="H10" s="920">
        <f>DCF!AT297</f>
        <v>400000</v>
      </c>
      <c r="L10" s="692"/>
    </row>
    <row r="11" spans="2:12" ht="14.5" thickBot="1" x14ac:dyDescent="0.35">
      <c r="B11" s="583"/>
      <c r="C11" s="589">
        <f>DCF!AO298</f>
        <v>0.03</v>
      </c>
      <c r="D11" s="921">
        <f>DCF!AP298</f>
        <v>280000</v>
      </c>
      <c r="E11" s="921">
        <f>DCF!AQ298</f>
        <v>310000</v>
      </c>
      <c r="F11" s="921">
        <f>DCF!AR298</f>
        <v>350000</v>
      </c>
      <c r="G11" s="921">
        <f>DCF!AS298</f>
        <v>390000</v>
      </c>
      <c r="H11" s="921">
        <f>DCF!AT298</f>
        <v>440000</v>
      </c>
      <c r="J11" s="691" t="s">
        <v>682</v>
      </c>
      <c r="K11" s="582"/>
      <c r="L11" s="582" t="s">
        <v>683</v>
      </c>
    </row>
    <row r="12" spans="2:12" x14ac:dyDescent="0.3">
      <c r="J12" s="592" t="s">
        <v>684</v>
      </c>
      <c r="K12" s="690">
        <f>MIN(B56:B10054)</f>
        <v>-256660.23869562967</v>
      </c>
      <c r="L12" s="54">
        <f>IFERROR(K12/DCF!$Q$216-1,"")</f>
        <v>-2.4180123684841419</v>
      </c>
    </row>
    <row r="13" spans="2:12" x14ac:dyDescent="0.3">
      <c r="B13" s="593" t="str">
        <f ca="1">IFERROR(Peers!C6&amp;" Fair Value - Blended Revenue Growth and Operating Margin","")</f>
        <v>000660 Fair Value - Blended Revenue Growth and Operating Margin</v>
      </c>
      <c r="J13" s="694" t="s">
        <v>685</v>
      </c>
      <c r="K13" s="695">
        <f>AVERAGE(B56:B10054)</f>
        <v>305310.93971287139</v>
      </c>
      <c r="L13" s="56">
        <f>IFERROR(K13/DCF!$Q$216-1,"")</f>
        <v>0.68680077189431699</v>
      </c>
    </row>
    <row r="14" spans="2:12" ht="14.5" thickBot="1" x14ac:dyDescent="0.35">
      <c r="B14" t="s">
        <v>578</v>
      </c>
      <c r="J14" s="693" t="s">
        <v>686</v>
      </c>
      <c r="K14" s="690">
        <f>MEDIAN(B56:B10054)</f>
        <v>303119.64910294255</v>
      </c>
      <c r="L14" s="696">
        <f>IFERROR(K14/DCF!$Q$216-1,"")</f>
        <v>0.67469419393890906</v>
      </c>
    </row>
    <row r="15" spans="2:12" x14ac:dyDescent="0.3">
      <c r="B15" s="591"/>
      <c r="C15" s="592"/>
      <c r="D15" s="591"/>
      <c r="E15" s="595" t="s">
        <v>215</v>
      </c>
      <c r="F15" s="591"/>
      <c r="J15" s="693" t="s">
        <v>687</v>
      </c>
      <c r="K15" s="690">
        <f>MAX(B56:B10054)</f>
        <v>965250.48283229559</v>
      </c>
      <c r="L15" s="54">
        <f>IFERROR(K15/DCF!$Q$216-1,"")</f>
        <v>4.332875595758539</v>
      </c>
    </row>
    <row r="16" spans="2:12" ht="14.5" thickBot="1" x14ac:dyDescent="0.35">
      <c r="B16" s="583"/>
      <c r="C16" s="590"/>
      <c r="D16" s="594">
        <f>DCF!F7</f>
        <v>-0.02</v>
      </c>
      <c r="E16" s="594">
        <f>DCF!I7</f>
        <v>0</v>
      </c>
      <c r="F16" s="594">
        <f>DCF!L7</f>
        <v>0.02</v>
      </c>
      <c r="J16" s="693" t="s">
        <v>688</v>
      </c>
      <c r="K16" s="690">
        <f>_xlfn.STDEV.P(B56:B10054)</f>
        <v>150386.56330455016</v>
      </c>
      <c r="L16" s="895"/>
    </row>
    <row r="17" spans="2:11" x14ac:dyDescent="0.3">
      <c r="C17" s="596">
        <f>DCF!F8</f>
        <v>-0.01</v>
      </c>
      <c r="D17" s="54">
        <f>IFERROR(DCF!AP304/DCF!$Q$216-1,"")</f>
        <v>0.1049723756906078</v>
      </c>
      <c r="E17" s="54">
        <f>IFERROR(DCF!AQ304/DCF!$Q$216-1,"")</f>
        <v>0.54696132596685088</v>
      </c>
      <c r="F17" s="54">
        <f>IFERROR(DCF!AR304/DCF!$Q$216-1,"")</f>
        <v>1.0994475138121547</v>
      </c>
      <c r="J17" s="693" t="s">
        <v>689</v>
      </c>
      <c r="K17">
        <f>+SKEW(B56:B10054)</f>
        <v>0.10286673334013897</v>
      </c>
    </row>
    <row r="18" spans="2:11" x14ac:dyDescent="0.3">
      <c r="B18" s="18" t="s">
        <v>460</v>
      </c>
      <c r="C18" s="596">
        <f>DCF!I8</f>
        <v>0</v>
      </c>
      <c r="D18" s="54">
        <f>IFERROR(DCF!AP305/DCF!$Q$216-1,"")</f>
        <v>0.21546961325966851</v>
      </c>
      <c r="E18" s="54">
        <f>IFERROR(DCF!AQ305/DCF!$Q$216-1,"")</f>
        <v>0.65745856353591159</v>
      </c>
      <c r="F18" s="54">
        <f>IFERROR(DCF!AR305/DCF!$Q$216-1,"")</f>
        <v>1.2099447513812156</v>
      </c>
      <c r="J18" s="693" t="s">
        <v>690</v>
      </c>
      <c r="K18">
        <f>+KURT(B56:B10054)</f>
        <v>6.9745464196855345E-3</v>
      </c>
    </row>
    <row r="19" spans="2:11" ht="14.5" thickBot="1" x14ac:dyDescent="0.35">
      <c r="B19" s="583"/>
      <c r="C19" s="597">
        <f>DCF!L8</f>
        <v>0.01</v>
      </c>
      <c r="D19" s="683">
        <f>IFERROR(DCF!AP306/DCF!$Q$216-1,"")</f>
        <v>0.32596685082872923</v>
      </c>
      <c r="E19" s="683">
        <f>IFERROR(DCF!AQ306/DCF!$Q$216-1,"")</f>
        <v>0.82320441988950277</v>
      </c>
      <c r="F19" s="683">
        <f>IFERROR(DCF!AR306/DCF!$Q$216-1,"")</f>
        <v>1.3756906077348066</v>
      </c>
    </row>
    <row r="22" spans="2:11" x14ac:dyDescent="0.3">
      <c r="B22" s="599" t="s">
        <v>579</v>
      </c>
      <c r="C22" s="31"/>
      <c r="D22" s="31"/>
      <c r="E22" s="31"/>
      <c r="F22" s="31"/>
      <c r="G22" s="31"/>
      <c r="H22" s="31"/>
    </row>
    <row r="26" spans="2:11" x14ac:dyDescent="0.3">
      <c r="E26" s="692"/>
    </row>
    <row r="42" spans="2:2" x14ac:dyDescent="0.3">
      <c r="B42" s="1"/>
    </row>
    <row r="43" spans="2:2" x14ac:dyDescent="0.3">
      <c r="B43" s="1"/>
    </row>
    <row r="44" spans="2:2" x14ac:dyDescent="0.3">
      <c r="B44" s="1"/>
    </row>
    <row r="45" spans="2:2" x14ac:dyDescent="0.3">
      <c r="B45" s="1"/>
    </row>
    <row r="46" spans="2:2" x14ac:dyDescent="0.3">
      <c r="B46" s="1"/>
    </row>
    <row r="47" spans="2:2" x14ac:dyDescent="0.3">
      <c r="B47" s="1"/>
    </row>
    <row r="48" spans="2:2" x14ac:dyDescent="0.3">
      <c r="B48" s="1"/>
    </row>
    <row r="49" spans="2:6" x14ac:dyDescent="0.3">
      <c r="B49" s="1"/>
    </row>
    <row r="50" spans="2:6" x14ac:dyDescent="0.3">
      <c r="B50" s="1"/>
    </row>
    <row r="51" spans="2:6" x14ac:dyDescent="0.3">
      <c r="B51" s="1"/>
    </row>
    <row r="52" spans="2:6" x14ac:dyDescent="0.3">
      <c r="B52" s="1"/>
    </row>
    <row r="53" spans="2:6" x14ac:dyDescent="0.3">
      <c r="B53" s="1"/>
    </row>
    <row r="54" spans="2:6" x14ac:dyDescent="0.3">
      <c r="B54" s="1"/>
    </row>
    <row r="55" spans="2:6" x14ac:dyDescent="0.3">
      <c r="B55" s="1" t="s">
        <v>691</v>
      </c>
      <c r="E55" s="26"/>
      <c r="F55" s="26"/>
    </row>
    <row r="56" spans="2:6" ht="15.5" x14ac:dyDescent="0.35">
      <c r="B56" s="853">
        <v>411578.768652072</v>
      </c>
      <c r="E56" s="26"/>
      <c r="F56" s="598"/>
    </row>
    <row r="57" spans="2:6" ht="15.5" x14ac:dyDescent="0.35">
      <c r="B57" s="853">
        <v>215102.28809044929</v>
      </c>
      <c r="E57" s="26"/>
      <c r="F57" s="598"/>
    </row>
    <row r="58" spans="2:6" ht="15.5" x14ac:dyDescent="0.35">
      <c r="B58" s="853">
        <v>90562.213984903763</v>
      </c>
    </row>
    <row r="59" spans="2:6" ht="15.5" x14ac:dyDescent="0.35">
      <c r="B59" s="853">
        <v>398784.05700392666</v>
      </c>
    </row>
    <row r="60" spans="2:6" ht="15.5" x14ac:dyDescent="0.35">
      <c r="B60" s="853">
        <v>221211.86680005878</v>
      </c>
    </row>
    <row r="61" spans="2:6" ht="15.5" x14ac:dyDescent="0.35">
      <c r="B61" s="853">
        <v>363729.47577175288</v>
      </c>
    </row>
    <row r="62" spans="2:6" ht="15.5" x14ac:dyDescent="0.35">
      <c r="B62" s="853">
        <v>17240.88344664139</v>
      </c>
    </row>
    <row r="63" spans="2:6" ht="15.5" x14ac:dyDescent="0.35">
      <c r="B63" s="853">
        <v>238616.61487803599</v>
      </c>
    </row>
    <row r="64" spans="2:6" ht="15.5" x14ac:dyDescent="0.35">
      <c r="B64" s="853">
        <v>448633.11985257833</v>
      </c>
    </row>
    <row r="65" spans="2:2" ht="15.5" x14ac:dyDescent="0.35">
      <c r="B65" s="853">
        <v>417109.31271767023</v>
      </c>
    </row>
    <row r="66" spans="2:2" ht="15.5" x14ac:dyDescent="0.35">
      <c r="B66" s="853">
        <v>225869.38327845634</v>
      </c>
    </row>
    <row r="67" spans="2:2" ht="15.5" x14ac:dyDescent="0.35">
      <c r="B67" s="853">
        <v>138361.21267163497</v>
      </c>
    </row>
    <row r="68" spans="2:2" ht="15.5" x14ac:dyDescent="0.35">
      <c r="B68" s="853">
        <v>87007.159721191085</v>
      </c>
    </row>
    <row r="69" spans="2:2" ht="15.5" x14ac:dyDescent="0.35">
      <c r="B69" s="853">
        <v>162325.94628782463</v>
      </c>
    </row>
    <row r="70" spans="2:2" ht="15.5" x14ac:dyDescent="0.35">
      <c r="B70" s="853">
        <v>275800.15486559964</v>
      </c>
    </row>
    <row r="71" spans="2:2" ht="15.5" x14ac:dyDescent="0.35">
      <c r="B71" s="853">
        <v>488671.1976438571</v>
      </c>
    </row>
    <row r="72" spans="2:2" ht="15.5" x14ac:dyDescent="0.35">
      <c r="B72" s="853">
        <v>364275.60279461968</v>
      </c>
    </row>
    <row r="73" spans="2:2" ht="15.5" x14ac:dyDescent="0.35">
      <c r="B73" s="853">
        <v>252985.93712928754</v>
      </c>
    </row>
    <row r="74" spans="2:2" ht="15.5" x14ac:dyDescent="0.35">
      <c r="B74" s="853">
        <v>356508.75481733744</v>
      </c>
    </row>
    <row r="75" spans="2:2" ht="15.5" x14ac:dyDescent="0.35">
      <c r="B75" s="853">
        <v>202076.43334675021</v>
      </c>
    </row>
    <row r="76" spans="2:2" ht="15.5" x14ac:dyDescent="0.35">
      <c r="B76" s="853">
        <v>332814.45323783852</v>
      </c>
    </row>
    <row r="77" spans="2:2" ht="15.5" x14ac:dyDescent="0.35">
      <c r="B77" s="853">
        <v>325364.07054739777</v>
      </c>
    </row>
    <row r="78" spans="2:2" ht="15.5" x14ac:dyDescent="0.35">
      <c r="B78" s="853">
        <v>600061.86021053907</v>
      </c>
    </row>
    <row r="79" spans="2:2" ht="15.5" x14ac:dyDescent="0.35">
      <c r="B79" s="853">
        <v>119258.93128064823</v>
      </c>
    </row>
    <row r="80" spans="2:2" ht="15.5" x14ac:dyDescent="0.35">
      <c r="B80" s="853">
        <v>392198.80042852194</v>
      </c>
    </row>
    <row r="81" spans="2:2" ht="15.5" x14ac:dyDescent="0.35">
      <c r="B81" s="853">
        <v>227229.02250878324</v>
      </c>
    </row>
    <row r="82" spans="2:2" ht="15.5" x14ac:dyDescent="0.35">
      <c r="B82" s="853">
        <v>248807.94067470959</v>
      </c>
    </row>
    <row r="83" spans="2:2" ht="15.5" x14ac:dyDescent="0.35">
      <c r="B83" s="853">
        <v>390984.51958843705</v>
      </c>
    </row>
    <row r="84" spans="2:2" ht="15.5" x14ac:dyDescent="0.35">
      <c r="B84" s="853">
        <v>181448.94343836739</v>
      </c>
    </row>
    <row r="85" spans="2:2" ht="15.5" x14ac:dyDescent="0.35">
      <c r="B85" s="853">
        <v>118910.05632022</v>
      </c>
    </row>
    <row r="86" spans="2:2" ht="15.5" x14ac:dyDescent="0.35">
      <c r="B86" s="853">
        <v>141230.05895604557</v>
      </c>
    </row>
    <row r="87" spans="2:2" ht="15.5" x14ac:dyDescent="0.35">
      <c r="B87" s="853">
        <v>-26164.254990824942</v>
      </c>
    </row>
    <row r="88" spans="2:2" ht="15.5" x14ac:dyDescent="0.35">
      <c r="B88" s="853">
        <v>294198.62195070874</v>
      </c>
    </row>
    <row r="89" spans="2:2" ht="15.5" x14ac:dyDescent="0.35">
      <c r="B89" s="853">
        <v>282893.28921935242</v>
      </c>
    </row>
    <row r="90" spans="2:2" ht="15.5" x14ac:dyDescent="0.35">
      <c r="B90" s="853">
        <v>397006.52040851943</v>
      </c>
    </row>
    <row r="91" spans="2:2" ht="15.5" x14ac:dyDescent="0.35">
      <c r="B91" s="853">
        <v>448558.95684108097</v>
      </c>
    </row>
    <row r="92" spans="2:2" ht="15.5" x14ac:dyDescent="0.35">
      <c r="B92" s="853">
        <v>306668.13662658952</v>
      </c>
    </row>
    <row r="93" spans="2:2" ht="15.5" x14ac:dyDescent="0.35">
      <c r="B93" s="853">
        <v>244775.5003802905</v>
      </c>
    </row>
    <row r="94" spans="2:2" ht="15.5" x14ac:dyDescent="0.35">
      <c r="B94" s="853">
        <v>607299.34824032127</v>
      </c>
    </row>
    <row r="95" spans="2:2" ht="15.5" x14ac:dyDescent="0.35">
      <c r="B95" s="853">
        <v>88535.299100016797</v>
      </c>
    </row>
    <row r="96" spans="2:2" ht="15.5" x14ac:dyDescent="0.35">
      <c r="B96" s="853">
        <v>490627.36947130668</v>
      </c>
    </row>
    <row r="97" spans="2:2" ht="15.5" x14ac:dyDescent="0.35">
      <c r="B97" s="853">
        <v>365031.45625421184</v>
      </c>
    </row>
    <row r="98" spans="2:2" ht="15.5" x14ac:dyDescent="0.35">
      <c r="B98" s="853">
        <v>222315.88925152615</v>
      </c>
    </row>
    <row r="99" spans="2:2" ht="15.5" x14ac:dyDescent="0.35">
      <c r="B99" s="853">
        <v>291623.20309798466</v>
      </c>
    </row>
    <row r="100" spans="2:2" ht="15.5" x14ac:dyDescent="0.35">
      <c r="B100" s="853">
        <v>289473.81174938369</v>
      </c>
    </row>
    <row r="101" spans="2:2" ht="15.5" x14ac:dyDescent="0.35">
      <c r="B101" s="853">
        <v>263147.86441588856</v>
      </c>
    </row>
    <row r="102" spans="2:2" ht="15.5" x14ac:dyDescent="0.35">
      <c r="B102" s="853">
        <v>424670.47547213029</v>
      </c>
    </row>
    <row r="103" spans="2:2" ht="15.5" x14ac:dyDescent="0.35">
      <c r="B103" s="853">
        <v>416439.70585653291</v>
      </c>
    </row>
    <row r="104" spans="2:2" ht="15.5" x14ac:dyDescent="0.35">
      <c r="B104" s="853">
        <v>468179.91095015284</v>
      </c>
    </row>
    <row r="105" spans="2:2" ht="15.5" x14ac:dyDescent="0.35">
      <c r="B105" s="853">
        <v>549396.86459925794</v>
      </c>
    </row>
    <row r="106" spans="2:2" ht="15.5" x14ac:dyDescent="0.35">
      <c r="B106" s="853">
        <v>383650.96685808653</v>
      </c>
    </row>
    <row r="107" spans="2:2" ht="15.5" x14ac:dyDescent="0.35">
      <c r="B107" s="853">
        <v>400696.32771069888</v>
      </c>
    </row>
    <row r="108" spans="2:2" ht="15.5" x14ac:dyDescent="0.35">
      <c r="B108" s="853">
        <v>327623.3720920097</v>
      </c>
    </row>
    <row r="109" spans="2:2" ht="15.5" x14ac:dyDescent="0.35">
      <c r="B109" s="853">
        <v>358497.03779721231</v>
      </c>
    </row>
    <row r="110" spans="2:2" ht="15.5" x14ac:dyDescent="0.35">
      <c r="B110" s="853">
        <v>598948.04802412062</v>
      </c>
    </row>
    <row r="111" spans="2:2" ht="15.5" x14ac:dyDescent="0.35">
      <c r="B111" s="853">
        <v>164724.98537078156</v>
      </c>
    </row>
    <row r="112" spans="2:2" ht="15.5" x14ac:dyDescent="0.35">
      <c r="B112" s="853">
        <v>197001.66757001451</v>
      </c>
    </row>
    <row r="113" spans="2:2" ht="15.5" x14ac:dyDescent="0.35">
      <c r="B113" s="853">
        <v>69318.727009463037</v>
      </c>
    </row>
    <row r="114" spans="2:2" ht="15.5" x14ac:dyDescent="0.35">
      <c r="B114" s="853">
        <v>297473.58838620182</v>
      </c>
    </row>
    <row r="115" spans="2:2" ht="15.5" x14ac:dyDescent="0.35">
      <c r="B115" s="853">
        <v>303972.51720611088</v>
      </c>
    </row>
    <row r="116" spans="2:2" ht="15.5" x14ac:dyDescent="0.35">
      <c r="B116" s="853">
        <v>610345.86360274837</v>
      </c>
    </row>
    <row r="117" spans="2:2" ht="15.5" x14ac:dyDescent="0.35">
      <c r="B117" s="853">
        <v>191909.14512557595</v>
      </c>
    </row>
    <row r="118" spans="2:2" ht="15.5" x14ac:dyDescent="0.35">
      <c r="B118" s="853">
        <v>33771.665836298991</v>
      </c>
    </row>
    <row r="119" spans="2:2" ht="15.5" x14ac:dyDescent="0.35">
      <c r="B119" s="853">
        <v>255228.22081397747</v>
      </c>
    </row>
    <row r="120" spans="2:2" ht="15.5" x14ac:dyDescent="0.35">
      <c r="B120" s="853">
        <v>458848.04284425621</v>
      </c>
    </row>
    <row r="121" spans="2:2" ht="15.5" x14ac:dyDescent="0.35">
      <c r="B121" s="853">
        <v>170648.25148752428</v>
      </c>
    </row>
    <row r="122" spans="2:2" ht="15.5" x14ac:dyDescent="0.35">
      <c r="B122" s="853">
        <v>496140.93441330414</v>
      </c>
    </row>
    <row r="123" spans="2:2" ht="15.5" x14ac:dyDescent="0.35">
      <c r="B123" s="853">
        <v>389662.82712435164</v>
      </c>
    </row>
    <row r="124" spans="2:2" ht="15.5" x14ac:dyDescent="0.35">
      <c r="B124" s="853">
        <v>515895.91362542321</v>
      </c>
    </row>
    <row r="125" spans="2:2" ht="15.5" x14ac:dyDescent="0.35">
      <c r="B125" s="853">
        <v>167163.25801991631</v>
      </c>
    </row>
    <row r="126" spans="2:2" ht="15.5" x14ac:dyDescent="0.35">
      <c r="B126" s="853">
        <v>290714.65222695092</v>
      </c>
    </row>
    <row r="127" spans="2:2" ht="15.5" x14ac:dyDescent="0.35">
      <c r="B127" s="853">
        <v>469237.33513246576</v>
      </c>
    </row>
    <row r="128" spans="2:2" ht="15.5" x14ac:dyDescent="0.35">
      <c r="B128" s="853">
        <v>246548.41537892839</v>
      </c>
    </row>
    <row r="129" spans="2:2" ht="15.5" x14ac:dyDescent="0.35">
      <c r="B129" s="853">
        <v>264694.66164227674</v>
      </c>
    </row>
    <row r="130" spans="2:2" ht="15.5" x14ac:dyDescent="0.35">
      <c r="B130" s="853">
        <v>218187.11476285564</v>
      </c>
    </row>
    <row r="131" spans="2:2" ht="15.5" x14ac:dyDescent="0.35">
      <c r="B131" s="853">
        <v>-53046.6580771812</v>
      </c>
    </row>
    <row r="132" spans="2:2" ht="15.5" x14ac:dyDescent="0.35">
      <c r="B132" s="853">
        <v>132848.12955315778</v>
      </c>
    </row>
    <row r="133" spans="2:2" ht="15.5" x14ac:dyDescent="0.35">
      <c r="B133" s="853">
        <v>554028.59086698655</v>
      </c>
    </row>
    <row r="134" spans="2:2" ht="15.5" x14ac:dyDescent="0.35">
      <c r="B134" s="853">
        <v>151145.53104170729</v>
      </c>
    </row>
    <row r="135" spans="2:2" ht="15.5" x14ac:dyDescent="0.35">
      <c r="B135" s="853">
        <v>389108.37795420852</v>
      </c>
    </row>
    <row r="136" spans="2:2" ht="15.5" x14ac:dyDescent="0.35">
      <c r="B136" s="853">
        <v>246207.6026265088</v>
      </c>
    </row>
    <row r="137" spans="2:2" ht="15.5" x14ac:dyDescent="0.35">
      <c r="B137" s="853">
        <v>275035.54292384675</v>
      </c>
    </row>
    <row r="138" spans="2:2" ht="15.5" x14ac:dyDescent="0.35">
      <c r="B138" s="853">
        <v>236600.47596702722</v>
      </c>
    </row>
    <row r="139" spans="2:2" ht="15.5" x14ac:dyDescent="0.35">
      <c r="B139" s="853">
        <v>276784.92603112559</v>
      </c>
    </row>
    <row r="140" spans="2:2" ht="15.5" x14ac:dyDescent="0.35">
      <c r="B140" s="853">
        <v>336143.11304567923</v>
      </c>
    </row>
    <row r="141" spans="2:2" ht="15.5" x14ac:dyDescent="0.35">
      <c r="B141" s="853">
        <v>406349.83162744564</v>
      </c>
    </row>
    <row r="142" spans="2:2" ht="15.5" x14ac:dyDescent="0.35">
      <c r="B142" s="853">
        <v>191837.90234725093</v>
      </c>
    </row>
    <row r="143" spans="2:2" ht="15.5" x14ac:dyDescent="0.35">
      <c r="B143" s="853">
        <v>418665.38324448065</v>
      </c>
    </row>
    <row r="144" spans="2:2" ht="15.5" x14ac:dyDescent="0.35">
      <c r="B144" s="853">
        <v>298859.70557542396</v>
      </c>
    </row>
    <row r="145" spans="2:2" ht="15.5" x14ac:dyDescent="0.35">
      <c r="B145" s="853">
        <v>341912.24798802938</v>
      </c>
    </row>
    <row r="146" spans="2:2" ht="15.5" x14ac:dyDescent="0.35">
      <c r="B146" s="853">
        <v>162172.96212042178</v>
      </c>
    </row>
    <row r="147" spans="2:2" ht="15.5" x14ac:dyDescent="0.35">
      <c r="B147" s="853">
        <v>129523.04448530577</v>
      </c>
    </row>
    <row r="148" spans="2:2" ht="15.5" x14ac:dyDescent="0.35">
      <c r="B148" s="853">
        <v>284664.34274775296</v>
      </c>
    </row>
    <row r="149" spans="2:2" ht="15.5" x14ac:dyDescent="0.35">
      <c r="B149" s="853">
        <v>-43627.292004253075</v>
      </c>
    </row>
    <row r="150" spans="2:2" ht="15.5" x14ac:dyDescent="0.35">
      <c r="B150" s="853">
        <v>272131.73109770153</v>
      </c>
    </row>
    <row r="151" spans="2:2" ht="15.5" x14ac:dyDescent="0.35">
      <c r="B151" s="853">
        <v>405529.58699212834</v>
      </c>
    </row>
    <row r="152" spans="2:2" ht="15.5" x14ac:dyDescent="0.35">
      <c r="B152" s="853">
        <v>128925.08917186476</v>
      </c>
    </row>
    <row r="153" spans="2:2" ht="15.5" x14ac:dyDescent="0.35">
      <c r="B153" s="853">
        <v>306353.83909997373</v>
      </c>
    </row>
    <row r="154" spans="2:2" ht="15.5" x14ac:dyDescent="0.35">
      <c r="B154" s="853">
        <v>338696.44768523419</v>
      </c>
    </row>
    <row r="155" spans="2:2" ht="15.5" x14ac:dyDescent="0.35">
      <c r="B155" s="853">
        <v>920570.85960147786</v>
      </c>
    </row>
    <row r="156" spans="2:2" ht="15.5" x14ac:dyDescent="0.35">
      <c r="B156" s="853">
        <v>505442.96415528544</v>
      </c>
    </row>
    <row r="157" spans="2:2" ht="15.5" x14ac:dyDescent="0.35">
      <c r="B157" s="853">
        <v>109934.78059261746</v>
      </c>
    </row>
    <row r="158" spans="2:2" ht="15.5" x14ac:dyDescent="0.35">
      <c r="B158" s="853">
        <v>177462.84450434535</v>
      </c>
    </row>
    <row r="159" spans="2:2" ht="15.5" x14ac:dyDescent="0.35">
      <c r="B159" s="853">
        <v>350555.77356642619</v>
      </c>
    </row>
    <row r="160" spans="2:2" ht="15.5" x14ac:dyDescent="0.35">
      <c r="B160" s="853">
        <v>431574.39223635197</v>
      </c>
    </row>
    <row r="161" spans="2:2" ht="15.5" x14ac:dyDescent="0.35">
      <c r="B161" s="853">
        <v>584709.10506762355</v>
      </c>
    </row>
    <row r="162" spans="2:2" ht="15.5" x14ac:dyDescent="0.35">
      <c r="B162" s="853">
        <v>105513.11292824055</v>
      </c>
    </row>
    <row r="163" spans="2:2" ht="15.5" x14ac:dyDescent="0.35">
      <c r="B163" s="853">
        <v>226838.85248185208</v>
      </c>
    </row>
    <row r="164" spans="2:2" ht="15.5" x14ac:dyDescent="0.35">
      <c r="B164" s="853">
        <v>275430.48431799799</v>
      </c>
    </row>
    <row r="165" spans="2:2" ht="15.5" x14ac:dyDescent="0.35">
      <c r="B165" s="853">
        <v>212706.91424103925</v>
      </c>
    </row>
    <row r="166" spans="2:2" ht="15.5" x14ac:dyDescent="0.35">
      <c r="B166" s="853">
        <v>162861.78246793529</v>
      </c>
    </row>
    <row r="167" spans="2:2" ht="15.5" x14ac:dyDescent="0.35">
      <c r="B167" s="853">
        <v>356880.92673729733</v>
      </c>
    </row>
    <row r="168" spans="2:2" ht="15.5" x14ac:dyDescent="0.35">
      <c r="B168" s="853">
        <v>484127.92855436925</v>
      </c>
    </row>
    <row r="169" spans="2:2" ht="15.5" x14ac:dyDescent="0.35">
      <c r="B169" s="853">
        <v>157865.74803574092</v>
      </c>
    </row>
    <row r="170" spans="2:2" ht="15.5" x14ac:dyDescent="0.35">
      <c r="B170" s="853">
        <v>327074.75480618631</v>
      </c>
    </row>
    <row r="171" spans="2:2" ht="15.5" x14ac:dyDescent="0.35">
      <c r="B171" s="853">
        <v>159154.5666976014</v>
      </c>
    </row>
    <row r="172" spans="2:2" ht="15.5" x14ac:dyDescent="0.35">
      <c r="B172" s="853">
        <v>309665.64520541026</v>
      </c>
    </row>
    <row r="173" spans="2:2" ht="15.5" x14ac:dyDescent="0.35">
      <c r="B173" s="853">
        <v>399928.32838380698</v>
      </c>
    </row>
    <row r="174" spans="2:2" ht="15.5" x14ac:dyDescent="0.35">
      <c r="B174" s="853">
        <v>208848.64639942299</v>
      </c>
    </row>
    <row r="175" spans="2:2" ht="15.5" x14ac:dyDescent="0.35">
      <c r="B175" s="853">
        <v>352602.22979104257</v>
      </c>
    </row>
    <row r="176" spans="2:2" ht="15.5" x14ac:dyDescent="0.35">
      <c r="B176" s="853">
        <v>393121.52091382322</v>
      </c>
    </row>
    <row r="177" spans="2:2" ht="15.5" x14ac:dyDescent="0.35">
      <c r="B177" s="853">
        <v>390518.11582724145</v>
      </c>
    </row>
    <row r="178" spans="2:2" ht="15.5" x14ac:dyDescent="0.35">
      <c r="B178" s="853">
        <v>335130.5911267731</v>
      </c>
    </row>
    <row r="179" spans="2:2" ht="15.5" x14ac:dyDescent="0.35">
      <c r="B179" s="853">
        <v>401123.11403970979</v>
      </c>
    </row>
    <row r="180" spans="2:2" ht="15.5" x14ac:dyDescent="0.35">
      <c r="B180" s="853">
        <v>312450.99233604257</v>
      </c>
    </row>
    <row r="181" spans="2:2" ht="15.5" x14ac:dyDescent="0.35">
      <c r="B181" s="853">
        <v>423252.19174685836</v>
      </c>
    </row>
    <row r="182" spans="2:2" ht="15.5" x14ac:dyDescent="0.35">
      <c r="B182" s="853">
        <v>94183.281044126372</v>
      </c>
    </row>
    <row r="183" spans="2:2" ht="15.5" x14ac:dyDescent="0.35">
      <c r="B183" s="853">
        <v>397405.13340248732</v>
      </c>
    </row>
    <row r="184" spans="2:2" ht="15.5" x14ac:dyDescent="0.35">
      <c r="B184" s="853">
        <v>437978.026917557</v>
      </c>
    </row>
    <row r="185" spans="2:2" ht="15.5" x14ac:dyDescent="0.35">
      <c r="B185" s="853">
        <v>599697.37145333842</v>
      </c>
    </row>
    <row r="186" spans="2:2" ht="15.5" x14ac:dyDescent="0.35">
      <c r="B186" s="853">
        <v>279700.26936856046</v>
      </c>
    </row>
    <row r="187" spans="2:2" ht="15.5" x14ac:dyDescent="0.35">
      <c r="B187" s="853">
        <v>399293.51494648715</v>
      </c>
    </row>
    <row r="188" spans="2:2" ht="15.5" x14ac:dyDescent="0.35">
      <c r="B188" s="853">
        <v>368042.38523513125</v>
      </c>
    </row>
    <row r="189" spans="2:2" ht="15.5" x14ac:dyDescent="0.35">
      <c r="B189" s="853">
        <v>458527.67668137496</v>
      </c>
    </row>
    <row r="190" spans="2:2" ht="15.5" x14ac:dyDescent="0.35">
      <c r="B190" s="853">
        <v>120830.19425622666</v>
      </c>
    </row>
    <row r="191" spans="2:2" ht="15.5" x14ac:dyDescent="0.35">
      <c r="B191" s="853">
        <v>-234233.20140753486</v>
      </c>
    </row>
    <row r="192" spans="2:2" ht="15.5" x14ac:dyDescent="0.35">
      <c r="B192" s="853">
        <v>313895.68859115051</v>
      </c>
    </row>
    <row r="193" spans="2:2" ht="15.5" x14ac:dyDescent="0.35">
      <c r="B193" s="853">
        <v>205516.28259666348</v>
      </c>
    </row>
    <row r="194" spans="2:2" ht="15.5" x14ac:dyDescent="0.35">
      <c r="B194" s="853">
        <v>436688.894072767</v>
      </c>
    </row>
    <row r="195" spans="2:2" ht="15.5" x14ac:dyDescent="0.35">
      <c r="B195" s="853">
        <v>440483.07710287173</v>
      </c>
    </row>
    <row r="196" spans="2:2" ht="15.5" x14ac:dyDescent="0.35">
      <c r="B196" s="853">
        <v>544539.33006504423</v>
      </c>
    </row>
    <row r="197" spans="2:2" ht="15.5" x14ac:dyDescent="0.35">
      <c r="B197" s="853">
        <v>187995.04328372332</v>
      </c>
    </row>
    <row r="198" spans="2:2" ht="15.5" x14ac:dyDescent="0.35">
      <c r="B198" s="853">
        <v>297962.4322532576</v>
      </c>
    </row>
    <row r="199" spans="2:2" ht="15.5" x14ac:dyDescent="0.35">
      <c r="B199" s="853">
        <v>334099.21244499797</v>
      </c>
    </row>
    <row r="200" spans="2:2" ht="15.5" x14ac:dyDescent="0.35">
      <c r="B200" s="853">
        <v>74234.205723778301</v>
      </c>
    </row>
    <row r="201" spans="2:2" ht="15.5" x14ac:dyDescent="0.35">
      <c r="B201" s="853">
        <v>190555.1259266352</v>
      </c>
    </row>
    <row r="202" spans="2:2" ht="15.5" x14ac:dyDescent="0.35">
      <c r="B202" s="853">
        <v>197481.57390822438</v>
      </c>
    </row>
    <row r="203" spans="2:2" ht="15.5" x14ac:dyDescent="0.35">
      <c r="B203" s="853">
        <v>255730.95969117008</v>
      </c>
    </row>
    <row r="204" spans="2:2" ht="15.5" x14ac:dyDescent="0.35">
      <c r="B204" s="853">
        <v>507032.45449422114</v>
      </c>
    </row>
    <row r="205" spans="2:2" ht="15.5" x14ac:dyDescent="0.35">
      <c r="B205" s="853">
        <v>495541.14376528346</v>
      </c>
    </row>
    <row r="206" spans="2:2" ht="15.5" x14ac:dyDescent="0.35">
      <c r="B206" s="853">
        <v>568814.40950380301</v>
      </c>
    </row>
    <row r="207" spans="2:2" ht="15.5" x14ac:dyDescent="0.35">
      <c r="B207" s="853">
        <v>151466.44338098943</v>
      </c>
    </row>
    <row r="208" spans="2:2" ht="15.5" x14ac:dyDescent="0.35">
      <c r="B208" s="853">
        <v>324836.46308310644</v>
      </c>
    </row>
    <row r="209" spans="2:2" ht="15.5" x14ac:dyDescent="0.35">
      <c r="B209" s="853">
        <v>387828.48712277965</v>
      </c>
    </row>
    <row r="210" spans="2:2" ht="15.5" x14ac:dyDescent="0.35">
      <c r="B210" s="853">
        <v>323268.63291137142</v>
      </c>
    </row>
    <row r="211" spans="2:2" ht="15.5" x14ac:dyDescent="0.35">
      <c r="B211" s="853">
        <v>426832.44116745581</v>
      </c>
    </row>
    <row r="212" spans="2:2" ht="15.5" x14ac:dyDescent="0.35">
      <c r="B212" s="853">
        <v>305976.85661709239</v>
      </c>
    </row>
    <row r="213" spans="2:2" ht="15.5" x14ac:dyDescent="0.35">
      <c r="B213" s="853">
        <v>278848.34716438124</v>
      </c>
    </row>
    <row r="214" spans="2:2" ht="15.5" x14ac:dyDescent="0.35">
      <c r="B214" s="853">
        <v>335599.85326887667</v>
      </c>
    </row>
    <row r="215" spans="2:2" ht="15.5" x14ac:dyDescent="0.35">
      <c r="B215" s="853">
        <v>458650.21445376077</v>
      </c>
    </row>
    <row r="216" spans="2:2" ht="15.5" x14ac:dyDescent="0.35">
      <c r="B216" s="853">
        <v>371967.94413645664</v>
      </c>
    </row>
    <row r="217" spans="2:2" ht="15.5" x14ac:dyDescent="0.35">
      <c r="B217" s="853">
        <v>375798.62112771196</v>
      </c>
    </row>
    <row r="218" spans="2:2" ht="15.5" x14ac:dyDescent="0.35">
      <c r="B218" s="853">
        <v>170720.04774114731</v>
      </c>
    </row>
    <row r="219" spans="2:2" ht="15.5" x14ac:dyDescent="0.35">
      <c r="B219" s="853">
        <v>545540.55411229725</v>
      </c>
    </row>
    <row r="220" spans="2:2" ht="15.5" x14ac:dyDescent="0.35">
      <c r="B220" s="853">
        <v>192510.49611684663</v>
      </c>
    </row>
    <row r="221" spans="2:2" ht="15.5" x14ac:dyDescent="0.35">
      <c r="B221" s="853">
        <v>553554.33943027747</v>
      </c>
    </row>
    <row r="222" spans="2:2" ht="15.5" x14ac:dyDescent="0.35">
      <c r="B222" s="853">
        <v>175755.40799627264</v>
      </c>
    </row>
    <row r="223" spans="2:2" ht="15.5" x14ac:dyDescent="0.35">
      <c r="B223" s="853">
        <v>230783.31588167517</v>
      </c>
    </row>
    <row r="224" spans="2:2" ht="15.5" x14ac:dyDescent="0.35">
      <c r="B224" s="853">
        <v>419283.48183244618</v>
      </c>
    </row>
    <row r="225" spans="2:2" ht="15.5" x14ac:dyDescent="0.35">
      <c r="B225" s="853">
        <v>351042.84748610423</v>
      </c>
    </row>
    <row r="226" spans="2:2" ht="15.5" x14ac:dyDescent="0.35">
      <c r="B226" s="853">
        <v>347928.35916833434</v>
      </c>
    </row>
    <row r="227" spans="2:2" ht="15.5" x14ac:dyDescent="0.35">
      <c r="B227" s="853">
        <v>343388.14975757041</v>
      </c>
    </row>
    <row r="228" spans="2:2" ht="15.5" x14ac:dyDescent="0.35">
      <c r="B228" s="853">
        <v>297844.52843657375</v>
      </c>
    </row>
    <row r="229" spans="2:2" ht="15.5" x14ac:dyDescent="0.35">
      <c r="B229" s="853">
        <v>519302.42415759125</v>
      </c>
    </row>
    <row r="230" spans="2:2" ht="15.5" x14ac:dyDescent="0.35">
      <c r="B230" s="853">
        <v>250776.46911743513</v>
      </c>
    </row>
    <row r="231" spans="2:2" ht="15.5" x14ac:dyDescent="0.35">
      <c r="B231" s="853">
        <v>180878.95510846708</v>
      </c>
    </row>
    <row r="232" spans="2:2" ht="15.5" x14ac:dyDescent="0.35">
      <c r="B232" s="853">
        <v>254343.4169501985</v>
      </c>
    </row>
    <row r="233" spans="2:2" ht="15.5" x14ac:dyDescent="0.35">
      <c r="B233" s="853">
        <v>214402.53545366664</v>
      </c>
    </row>
    <row r="234" spans="2:2" ht="15.5" x14ac:dyDescent="0.35">
      <c r="B234" s="853">
        <v>354600.58550342958</v>
      </c>
    </row>
    <row r="235" spans="2:2" ht="15.5" x14ac:dyDescent="0.35">
      <c r="B235" s="853">
        <v>254938.0543165135</v>
      </c>
    </row>
    <row r="236" spans="2:2" ht="15.5" x14ac:dyDescent="0.35">
      <c r="B236" s="853">
        <v>236798.04816873217</v>
      </c>
    </row>
    <row r="237" spans="2:2" ht="15.5" x14ac:dyDescent="0.35">
      <c r="B237" s="853">
        <v>146486.20506584249</v>
      </c>
    </row>
    <row r="238" spans="2:2" ht="15.5" x14ac:dyDescent="0.35">
      <c r="B238" s="853">
        <v>315648.64839188405</v>
      </c>
    </row>
    <row r="239" spans="2:2" ht="15.5" x14ac:dyDescent="0.35">
      <c r="B239" s="853">
        <v>273134.15631751786</v>
      </c>
    </row>
    <row r="240" spans="2:2" ht="15.5" x14ac:dyDescent="0.35">
      <c r="B240" s="853">
        <v>176316.06528801497</v>
      </c>
    </row>
    <row r="241" spans="2:2" ht="15.5" x14ac:dyDescent="0.35">
      <c r="B241" s="853">
        <v>511363.72717107547</v>
      </c>
    </row>
    <row r="242" spans="2:2" ht="15.5" x14ac:dyDescent="0.35">
      <c r="B242" s="853">
        <v>290340.42476764397</v>
      </c>
    </row>
    <row r="243" spans="2:2" ht="15.5" x14ac:dyDescent="0.35">
      <c r="B243" s="853">
        <v>302957.09817181929</v>
      </c>
    </row>
    <row r="244" spans="2:2" ht="15.5" x14ac:dyDescent="0.35">
      <c r="B244" s="853">
        <v>135815.6876764</v>
      </c>
    </row>
    <row r="245" spans="2:2" ht="15.5" x14ac:dyDescent="0.35">
      <c r="B245" s="853">
        <v>306000.49779265927</v>
      </c>
    </row>
    <row r="246" spans="2:2" ht="15.5" x14ac:dyDescent="0.35">
      <c r="B246" s="853">
        <v>573234.28036614717</v>
      </c>
    </row>
    <row r="247" spans="2:2" ht="15.5" x14ac:dyDescent="0.35">
      <c r="B247" s="853">
        <v>387138.21292084287</v>
      </c>
    </row>
    <row r="248" spans="2:2" ht="15.5" x14ac:dyDescent="0.35">
      <c r="B248" s="853">
        <v>529189.27340206481</v>
      </c>
    </row>
    <row r="249" spans="2:2" ht="15.5" x14ac:dyDescent="0.35">
      <c r="B249" s="853">
        <v>219400.71703457125</v>
      </c>
    </row>
    <row r="250" spans="2:2" ht="15.5" x14ac:dyDescent="0.35">
      <c r="B250" s="853">
        <v>525584.53766778996</v>
      </c>
    </row>
    <row r="251" spans="2:2" ht="15.5" x14ac:dyDescent="0.35">
      <c r="B251" s="853">
        <v>416963.19870884961</v>
      </c>
    </row>
    <row r="252" spans="2:2" ht="15.5" x14ac:dyDescent="0.35">
      <c r="B252" s="853">
        <v>151529.9003995005</v>
      </c>
    </row>
    <row r="253" spans="2:2" ht="15.5" x14ac:dyDescent="0.35">
      <c r="B253" s="853">
        <v>152173.98884800839</v>
      </c>
    </row>
    <row r="254" spans="2:2" ht="15.5" x14ac:dyDescent="0.35">
      <c r="B254" s="853">
        <v>186157.52436130008</v>
      </c>
    </row>
    <row r="255" spans="2:2" ht="15.5" x14ac:dyDescent="0.35">
      <c r="B255" s="853">
        <v>367896.39569593093</v>
      </c>
    </row>
    <row r="256" spans="2:2" ht="15.5" x14ac:dyDescent="0.35">
      <c r="B256" s="853">
        <v>215943.8330415196</v>
      </c>
    </row>
    <row r="257" spans="2:2" ht="15.5" x14ac:dyDescent="0.35">
      <c r="B257" s="853">
        <v>605170.15876448213</v>
      </c>
    </row>
    <row r="258" spans="2:2" ht="15.5" x14ac:dyDescent="0.35">
      <c r="B258" s="853">
        <v>134784.85856754295</v>
      </c>
    </row>
    <row r="259" spans="2:2" ht="15.5" x14ac:dyDescent="0.35">
      <c r="B259" s="853">
        <v>457617.06487707526</v>
      </c>
    </row>
    <row r="260" spans="2:2" ht="15.5" x14ac:dyDescent="0.35">
      <c r="B260" s="853">
        <v>404683.5891347733</v>
      </c>
    </row>
    <row r="261" spans="2:2" ht="15.5" x14ac:dyDescent="0.35">
      <c r="B261" s="853">
        <v>-204055.30158855626</v>
      </c>
    </row>
    <row r="262" spans="2:2" ht="15.5" x14ac:dyDescent="0.35">
      <c r="B262" s="853">
        <v>464088.80097560043</v>
      </c>
    </row>
    <row r="263" spans="2:2" ht="15.5" x14ac:dyDescent="0.35">
      <c r="B263" s="853">
        <v>230410.63976054691</v>
      </c>
    </row>
    <row r="264" spans="2:2" ht="15.5" x14ac:dyDescent="0.35">
      <c r="B264" s="853">
        <v>629871.40203098429</v>
      </c>
    </row>
    <row r="265" spans="2:2" ht="15.5" x14ac:dyDescent="0.35">
      <c r="B265" s="853">
        <v>99818.196585062964</v>
      </c>
    </row>
    <row r="266" spans="2:2" ht="15.5" x14ac:dyDescent="0.35">
      <c r="B266" s="853">
        <v>403804.02482450998</v>
      </c>
    </row>
    <row r="267" spans="2:2" ht="15.5" x14ac:dyDescent="0.35">
      <c r="B267" s="853">
        <v>510264.95295221912</v>
      </c>
    </row>
    <row r="268" spans="2:2" ht="15.5" x14ac:dyDescent="0.35">
      <c r="B268" s="853">
        <v>138602.30197774811</v>
      </c>
    </row>
    <row r="269" spans="2:2" ht="15.5" x14ac:dyDescent="0.35">
      <c r="B269" s="853">
        <v>326235.10587961558</v>
      </c>
    </row>
    <row r="270" spans="2:2" ht="15.5" x14ac:dyDescent="0.35">
      <c r="B270" s="853">
        <v>89012.859924581135</v>
      </c>
    </row>
    <row r="271" spans="2:2" ht="15.5" x14ac:dyDescent="0.35">
      <c r="B271" s="853">
        <v>380275.31737097038</v>
      </c>
    </row>
    <row r="272" spans="2:2" ht="15.5" x14ac:dyDescent="0.35">
      <c r="B272" s="853">
        <v>78901.822498512978</v>
      </c>
    </row>
    <row r="273" spans="2:2" ht="15.5" x14ac:dyDescent="0.35">
      <c r="B273" s="853">
        <v>483783.89609223581</v>
      </c>
    </row>
    <row r="274" spans="2:2" ht="15.5" x14ac:dyDescent="0.35">
      <c r="B274" s="853">
        <v>261282.07877600857</v>
      </c>
    </row>
    <row r="275" spans="2:2" ht="15.5" x14ac:dyDescent="0.35">
      <c r="B275" s="853">
        <v>516897.63783479924</v>
      </c>
    </row>
    <row r="276" spans="2:2" ht="15.5" x14ac:dyDescent="0.35">
      <c r="B276" s="853">
        <v>220582.3461203659</v>
      </c>
    </row>
    <row r="277" spans="2:2" ht="15.5" x14ac:dyDescent="0.35">
      <c r="B277" s="853">
        <v>113801.83464842914</v>
      </c>
    </row>
    <row r="278" spans="2:2" ht="15.5" x14ac:dyDescent="0.35">
      <c r="B278" s="853">
        <v>257571.39870144115</v>
      </c>
    </row>
    <row r="279" spans="2:2" ht="15.5" x14ac:dyDescent="0.35">
      <c r="B279" s="853">
        <v>350360.49871654139</v>
      </c>
    </row>
    <row r="280" spans="2:2" ht="15.5" x14ac:dyDescent="0.35">
      <c r="B280" s="853">
        <v>380621.10939483868</v>
      </c>
    </row>
    <row r="281" spans="2:2" ht="15.5" x14ac:dyDescent="0.35">
      <c r="B281" s="853">
        <v>548810.46017508931</v>
      </c>
    </row>
    <row r="282" spans="2:2" ht="15.5" x14ac:dyDescent="0.35">
      <c r="B282" s="853">
        <v>87629.753278534918</v>
      </c>
    </row>
    <row r="283" spans="2:2" ht="15.5" x14ac:dyDescent="0.35">
      <c r="B283" s="853">
        <v>409645.90906070452</v>
      </c>
    </row>
    <row r="284" spans="2:2" ht="15.5" x14ac:dyDescent="0.35">
      <c r="B284" s="853">
        <v>122610.77640205054</v>
      </c>
    </row>
    <row r="285" spans="2:2" ht="15.5" x14ac:dyDescent="0.35">
      <c r="B285" s="853">
        <v>397301.04068138241</v>
      </c>
    </row>
    <row r="286" spans="2:2" ht="15.5" x14ac:dyDescent="0.35">
      <c r="B286" s="853">
        <v>264911.74047438073</v>
      </c>
    </row>
    <row r="287" spans="2:2" ht="15.5" x14ac:dyDescent="0.35">
      <c r="B287" s="853">
        <v>364577.08983137552</v>
      </c>
    </row>
    <row r="288" spans="2:2" ht="15.5" x14ac:dyDescent="0.35">
      <c r="B288" s="853">
        <v>378400.91223988746</v>
      </c>
    </row>
    <row r="289" spans="2:2" ht="15.5" x14ac:dyDescent="0.35">
      <c r="B289" s="853">
        <v>406108.8914038323</v>
      </c>
    </row>
    <row r="290" spans="2:2" ht="15.5" x14ac:dyDescent="0.35">
      <c r="B290" s="853">
        <v>408653.5092991839</v>
      </c>
    </row>
    <row r="291" spans="2:2" ht="15.5" x14ac:dyDescent="0.35">
      <c r="B291" s="853">
        <v>-106699.39112739979</v>
      </c>
    </row>
    <row r="292" spans="2:2" ht="15.5" x14ac:dyDescent="0.35">
      <c r="B292" s="853">
        <v>294839.44898220961</v>
      </c>
    </row>
    <row r="293" spans="2:2" ht="15.5" x14ac:dyDescent="0.35">
      <c r="B293" s="853">
        <v>102328.84355491774</v>
      </c>
    </row>
    <row r="294" spans="2:2" ht="15.5" x14ac:dyDescent="0.35">
      <c r="B294" s="853">
        <v>271332.08752991457</v>
      </c>
    </row>
    <row r="295" spans="2:2" ht="15.5" x14ac:dyDescent="0.35">
      <c r="B295" s="853">
        <v>214088.55423118253</v>
      </c>
    </row>
    <row r="296" spans="2:2" ht="15.5" x14ac:dyDescent="0.35">
      <c r="B296" s="853">
        <v>372915.47600441304</v>
      </c>
    </row>
    <row r="297" spans="2:2" ht="15.5" x14ac:dyDescent="0.35">
      <c r="B297" s="853">
        <v>509414.88439420011</v>
      </c>
    </row>
    <row r="298" spans="2:2" ht="15.5" x14ac:dyDescent="0.35">
      <c r="B298" s="853">
        <v>215364.06136570111</v>
      </c>
    </row>
    <row r="299" spans="2:2" ht="15.5" x14ac:dyDescent="0.35">
      <c r="B299" s="853">
        <v>441011.63776015828</v>
      </c>
    </row>
    <row r="300" spans="2:2" ht="15.5" x14ac:dyDescent="0.35">
      <c r="B300" s="853">
        <v>239203.35892648337</v>
      </c>
    </row>
    <row r="301" spans="2:2" ht="15.5" x14ac:dyDescent="0.35">
      <c r="B301" s="853">
        <v>402631.85606843256</v>
      </c>
    </row>
    <row r="302" spans="2:2" ht="15.5" x14ac:dyDescent="0.35">
      <c r="B302" s="853">
        <v>143119.99093863775</v>
      </c>
    </row>
    <row r="303" spans="2:2" ht="15.5" x14ac:dyDescent="0.35">
      <c r="B303" s="853">
        <v>197602.58930470599</v>
      </c>
    </row>
    <row r="304" spans="2:2" ht="15.5" x14ac:dyDescent="0.35">
      <c r="B304" s="853">
        <v>182585.3524441729</v>
      </c>
    </row>
    <row r="305" spans="2:2" ht="15.5" x14ac:dyDescent="0.35">
      <c r="B305" s="853">
        <v>217488.65054216926</v>
      </c>
    </row>
    <row r="306" spans="2:2" ht="15.5" x14ac:dyDescent="0.35">
      <c r="B306" s="853">
        <v>304977.32012442948</v>
      </c>
    </row>
    <row r="307" spans="2:2" ht="15.5" x14ac:dyDescent="0.35">
      <c r="B307" s="853">
        <v>555358.87224918837</v>
      </c>
    </row>
    <row r="308" spans="2:2" ht="15.5" x14ac:dyDescent="0.35">
      <c r="B308" s="853">
        <v>402130.35903581168</v>
      </c>
    </row>
    <row r="309" spans="2:2" ht="15.5" x14ac:dyDescent="0.35">
      <c r="B309" s="853">
        <v>535365.71123960498</v>
      </c>
    </row>
    <row r="310" spans="2:2" ht="15.5" x14ac:dyDescent="0.35">
      <c r="B310" s="853">
        <v>348461.2640397746</v>
      </c>
    </row>
    <row r="311" spans="2:2" ht="15.5" x14ac:dyDescent="0.35">
      <c r="B311" s="853">
        <v>184827.72524940455</v>
      </c>
    </row>
    <row r="312" spans="2:2" ht="15.5" x14ac:dyDescent="0.35">
      <c r="B312" s="853">
        <v>324818.34627917805</v>
      </c>
    </row>
    <row r="313" spans="2:2" ht="15.5" x14ac:dyDescent="0.35">
      <c r="B313" s="853">
        <v>159759.87427607848</v>
      </c>
    </row>
    <row r="314" spans="2:2" ht="15.5" x14ac:dyDescent="0.35">
      <c r="B314" s="853">
        <v>138713.40798589762</v>
      </c>
    </row>
    <row r="315" spans="2:2" ht="15.5" x14ac:dyDescent="0.35">
      <c r="B315" s="853">
        <v>308187.46443592827</v>
      </c>
    </row>
    <row r="316" spans="2:2" ht="15.5" x14ac:dyDescent="0.35">
      <c r="B316" s="853">
        <v>467341.9815622599</v>
      </c>
    </row>
    <row r="317" spans="2:2" ht="15.5" x14ac:dyDescent="0.35">
      <c r="B317" s="853">
        <v>185713.82472463953</v>
      </c>
    </row>
    <row r="318" spans="2:2" ht="15.5" x14ac:dyDescent="0.35">
      <c r="B318" s="853">
        <v>286099.71493955684</v>
      </c>
    </row>
    <row r="319" spans="2:2" ht="15.5" x14ac:dyDescent="0.35">
      <c r="B319" s="853">
        <v>128324.79772411952</v>
      </c>
    </row>
    <row r="320" spans="2:2" ht="15.5" x14ac:dyDescent="0.35">
      <c r="B320" s="853">
        <v>402199.67189375358</v>
      </c>
    </row>
    <row r="321" spans="2:2" ht="15.5" x14ac:dyDescent="0.35">
      <c r="B321" s="853">
        <v>443514.25011349784</v>
      </c>
    </row>
    <row r="322" spans="2:2" ht="15.5" x14ac:dyDescent="0.35">
      <c r="B322" s="853">
        <v>492915.67349200515</v>
      </c>
    </row>
    <row r="323" spans="2:2" ht="15.5" x14ac:dyDescent="0.35">
      <c r="B323" s="853">
        <v>245678.52615634291</v>
      </c>
    </row>
    <row r="324" spans="2:2" ht="15.5" x14ac:dyDescent="0.35">
      <c r="B324" s="853">
        <v>263527.17554016347</v>
      </c>
    </row>
    <row r="325" spans="2:2" ht="15.5" x14ac:dyDescent="0.35">
      <c r="B325" s="853">
        <v>216624.68341596</v>
      </c>
    </row>
    <row r="326" spans="2:2" ht="15.5" x14ac:dyDescent="0.35">
      <c r="B326" s="853">
        <v>287648.04265350959</v>
      </c>
    </row>
    <row r="327" spans="2:2" ht="15.5" x14ac:dyDescent="0.35">
      <c r="B327" s="853">
        <v>708015.22839442501</v>
      </c>
    </row>
    <row r="328" spans="2:2" ht="15.5" x14ac:dyDescent="0.35">
      <c r="B328" s="853">
        <v>308874.86143678077</v>
      </c>
    </row>
    <row r="329" spans="2:2" ht="15.5" x14ac:dyDescent="0.35">
      <c r="B329" s="853">
        <v>392501.62977249938</v>
      </c>
    </row>
    <row r="330" spans="2:2" ht="15.5" x14ac:dyDescent="0.35">
      <c r="B330" s="853">
        <v>477901.76665074483</v>
      </c>
    </row>
    <row r="331" spans="2:2" ht="15.5" x14ac:dyDescent="0.35">
      <c r="B331" s="853">
        <v>140354.88823732108</v>
      </c>
    </row>
    <row r="332" spans="2:2" ht="15.5" x14ac:dyDescent="0.35">
      <c r="B332" s="853">
        <v>174092.16077439478</v>
      </c>
    </row>
    <row r="333" spans="2:2" ht="15.5" x14ac:dyDescent="0.35">
      <c r="B333" s="853">
        <v>533580.74470824597</v>
      </c>
    </row>
    <row r="334" spans="2:2" ht="15.5" x14ac:dyDescent="0.35">
      <c r="B334" s="853">
        <v>151899.87810913046</v>
      </c>
    </row>
    <row r="335" spans="2:2" ht="15.5" x14ac:dyDescent="0.35">
      <c r="B335" s="853">
        <v>399443.42037114326</v>
      </c>
    </row>
    <row r="336" spans="2:2" ht="15.5" x14ac:dyDescent="0.35">
      <c r="B336" s="853">
        <v>276808.39318119019</v>
      </c>
    </row>
    <row r="337" spans="2:2" ht="15.5" x14ac:dyDescent="0.35">
      <c r="B337" s="853">
        <v>187879.71470034891</v>
      </c>
    </row>
    <row r="338" spans="2:2" ht="15.5" x14ac:dyDescent="0.35">
      <c r="B338" s="853">
        <v>253942.74860170437</v>
      </c>
    </row>
    <row r="339" spans="2:2" ht="15.5" x14ac:dyDescent="0.35">
      <c r="B339" s="853">
        <v>378448.87229786901</v>
      </c>
    </row>
    <row r="340" spans="2:2" ht="15.5" x14ac:dyDescent="0.35">
      <c r="B340" s="853">
        <v>616426.67167260812</v>
      </c>
    </row>
    <row r="341" spans="2:2" ht="15.5" x14ac:dyDescent="0.35">
      <c r="B341" s="853">
        <v>280839.56244103651</v>
      </c>
    </row>
    <row r="342" spans="2:2" ht="15.5" x14ac:dyDescent="0.35">
      <c r="B342" s="853">
        <v>271549.20434146049</v>
      </c>
    </row>
    <row r="343" spans="2:2" ht="15.5" x14ac:dyDescent="0.35">
      <c r="B343" s="853">
        <v>322051.90444934857</v>
      </c>
    </row>
    <row r="344" spans="2:2" ht="15.5" x14ac:dyDescent="0.35">
      <c r="B344" s="853">
        <v>361385.03545574634</v>
      </c>
    </row>
    <row r="345" spans="2:2" ht="15.5" x14ac:dyDescent="0.35">
      <c r="B345" s="853">
        <v>282438.76479877142</v>
      </c>
    </row>
    <row r="346" spans="2:2" ht="15.5" x14ac:dyDescent="0.35">
      <c r="B346" s="853">
        <v>-129957.74271762678</v>
      </c>
    </row>
    <row r="347" spans="2:2" ht="15.5" x14ac:dyDescent="0.35">
      <c r="B347" s="853">
        <v>532220.04210282979</v>
      </c>
    </row>
    <row r="348" spans="2:2" ht="15.5" x14ac:dyDescent="0.35">
      <c r="B348" s="853">
        <v>53383.678359101534</v>
      </c>
    </row>
    <row r="349" spans="2:2" ht="15.5" x14ac:dyDescent="0.35">
      <c r="B349" s="853">
        <v>27459.787754339912</v>
      </c>
    </row>
    <row r="350" spans="2:2" ht="15.5" x14ac:dyDescent="0.35">
      <c r="B350" s="853">
        <v>311604.67917568487</v>
      </c>
    </row>
    <row r="351" spans="2:2" ht="15.5" x14ac:dyDescent="0.35">
      <c r="B351" s="853">
        <v>451056.21790392144</v>
      </c>
    </row>
    <row r="352" spans="2:2" ht="15.5" x14ac:dyDescent="0.35">
      <c r="B352" s="853">
        <v>319310.88812991744</v>
      </c>
    </row>
    <row r="353" spans="2:2" ht="15.5" x14ac:dyDescent="0.35">
      <c r="B353" s="853">
        <v>418.73946319451841</v>
      </c>
    </row>
    <row r="354" spans="2:2" ht="15.5" x14ac:dyDescent="0.35">
      <c r="B354" s="853">
        <v>447681.09757713263</v>
      </c>
    </row>
    <row r="355" spans="2:2" ht="15.5" x14ac:dyDescent="0.35">
      <c r="B355" s="853">
        <v>161616.57444000919</v>
      </c>
    </row>
    <row r="356" spans="2:2" ht="15.5" x14ac:dyDescent="0.35">
      <c r="B356" s="853">
        <v>229349.41712758582</v>
      </c>
    </row>
    <row r="357" spans="2:2" ht="15.5" x14ac:dyDescent="0.35">
      <c r="B357" s="853">
        <v>499783.3170398192</v>
      </c>
    </row>
    <row r="358" spans="2:2" ht="15.5" x14ac:dyDescent="0.35">
      <c r="B358" s="853">
        <v>462052.64556717093</v>
      </c>
    </row>
    <row r="359" spans="2:2" ht="15.5" x14ac:dyDescent="0.35">
      <c r="B359" s="853">
        <v>428656.83289608487</v>
      </c>
    </row>
    <row r="360" spans="2:2" ht="15.5" x14ac:dyDescent="0.35">
      <c r="B360" s="853">
        <v>260880.07564860545</v>
      </c>
    </row>
    <row r="361" spans="2:2" ht="15.5" x14ac:dyDescent="0.35">
      <c r="B361" s="853">
        <v>782124.20604358322</v>
      </c>
    </row>
    <row r="362" spans="2:2" ht="15.5" x14ac:dyDescent="0.35">
      <c r="B362" s="853">
        <v>348555.47401475778</v>
      </c>
    </row>
    <row r="363" spans="2:2" ht="15.5" x14ac:dyDescent="0.35">
      <c r="B363" s="853">
        <v>513725.22984241968</v>
      </c>
    </row>
    <row r="364" spans="2:2" ht="15.5" x14ac:dyDescent="0.35">
      <c r="B364" s="853">
        <v>235641.45995818859</v>
      </c>
    </row>
    <row r="365" spans="2:2" ht="15.5" x14ac:dyDescent="0.35">
      <c r="B365" s="853">
        <v>325835.86147665809</v>
      </c>
    </row>
    <row r="366" spans="2:2" ht="15.5" x14ac:dyDescent="0.35">
      <c r="B366" s="853">
        <v>189900.59297488877</v>
      </c>
    </row>
    <row r="367" spans="2:2" ht="15.5" x14ac:dyDescent="0.35">
      <c r="B367" s="853">
        <v>187037.2901253498</v>
      </c>
    </row>
    <row r="368" spans="2:2" ht="15.5" x14ac:dyDescent="0.35">
      <c r="B368" s="853">
        <v>189383.48178775384</v>
      </c>
    </row>
    <row r="369" spans="2:2" ht="15.5" x14ac:dyDescent="0.35">
      <c r="B369" s="853">
        <v>211455.3615238083</v>
      </c>
    </row>
    <row r="370" spans="2:2" ht="15.5" x14ac:dyDescent="0.35">
      <c r="B370" s="853">
        <v>314907.32214595447</v>
      </c>
    </row>
    <row r="371" spans="2:2" ht="15.5" x14ac:dyDescent="0.35">
      <c r="B371" s="853">
        <v>-60217.686239831295</v>
      </c>
    </row>
    <row r="372" spans="2:2" ht="15.5" x14ac:dyDescent="0.35">
      <c r="B372" s="853">
        <v>261753.01836946112</v>
      </c>
    </row>
    <row r="373" spans="2:2" ht="15.5" x14ac:dyDescent="0.35">
      <c r="B373" s="853">
        <v>414054.54780008871</v>
      </c>
    </row>
    <row r="374" spans="2:2" ht="15.5" x14ac:dyDescent="0.35">
      <c r="B374" s="853">
        <v>293900.76806159236</v>
      </c>
    </row>
    <row r="375" spans="2:2" ht="15.5" x14ac:dyDescent="0.35">
      <c r="B375" s="853">
        <v>230208.84936165495</v>
      </c>
    </row>
    <row r="376" spans="2:2" ht="15.5" x14ac:dyDescent="0.35">
      <c r="B376" s="853">
        <v>349188.97513003083</v>
      </c>
    </row>
    <row r="377" spans="2:2" ht="15.5" x14ac:dyDescent="0.35">
      <c r="B377" s="853">
        <v>636637.3752659536</v>
      </c>
    </row>
    <row r="378" spans="2:2" ht="15.5" x14ac:dyDescent="0.35">
      <c r="B378" s="853">
        <v>556115.64435980387</v>
      </c>
    </row>
    <row r="379" spans="2:2" ht="15.5" x14ac:dyDescent="0.35">
      <c r="B379" s="853">
        <v>677257.63974959427</v>
      </c>
    </row>
    <row r="380" spans="2:2" ht="15.5" x14ac:dyDescent="0.35">
      <c r="B380" s="853">
        <v>166490.62490489488</v>
      </c>
    </row>
    <row r="381" spans="2:2" ht="15.5" x14ac:dyDescent="0.35">
      <c r="B381" s="853">
        <v>599211.13199079968</v>
      </c>
    </row>
    <row r="382" spans="2:2" ht="15.5" x14ac:dyDescent="0.35">
      <c r="B382" s="853">
        <v>180777.05570571753</v>
      </c>
    </row>
    <row r="383" spans="2:2" ht="15.5" x14ac:dyDescent="0.35">
      <c r="B383" s="853">
        <v>603053.55910907791</v>
      </c>
    </row>
    <row r="384" spans="2:2" ht="15.5" x14ac:dyDescent="0.35">
      <c r="B384" s="853">
        <v>193397.09055784406</v>
      </c>
    </row>
    <row r="385" spans="2:2" ht="15.5" x14ac:dyDescent="0.35">
      <c r="B385" s="853">
        <v>62332.057634078548</v>
      </c>
    </row>
    <row r="386" spans="2:2" ht="15.5" x14ac:dyDescent="0.35">
      <c r="B386" s="853">
        <v>173266.969747369</v>
      </c>
    </row>
    <row r="387" spans="2:2" ht="15.5" x14ac:dyDescent="0.35">
      <c r="B387" s="853">
        <v>283959.22523022594</v>
      </c>
    </row>
    <row r="388" spans="2:2" ht="15.5" x14ac:dyDescent="0.35">
      <c r="B388" s="853">
        <v>190797.09001498844</v>
      </c>
    </row>
    <row r="389" spans="2:2" ht="15.5" x14ac:dyDescent="0.35">
      <c r="B389" s="853">
        <v>320691.02777196513</v>
      </c>
    </row>
    <row r="390" spans="2:2" ht="15.5" x14ac:dyDescent="0.35">
      <c r="B390" s="853">
        <v>241748.29933531149</v>
      </c>
    </row>
    <row r="391" spans="2:2" ht="15.5" x14ac:dyDescent="0.35">
      <c r="B391" s="853">
        <v>144786.17216532407</v>
      </c>
    </row>
    <row r="392" spans="2:2" ht="15.5" x14ac:dyDescent="0.35">
      <c r="B392" s="853">
        <v>435453.24319065455</v>
      </c>
    </row>
    <row r="393" spans="2:2" ht="15.5" x14ac:dyDescent="0.35">
      <c r="B393" s="853">
        <v>336837.79364988062</v>
      </c>
    </row>
    <row r="394" spans="2:2" ht="15.5" x14ac:dyDescent="0.35">
      <c r="B394" s="853">
        <v>162863.6676545424</v>
      </c>
    </row>
    <row r="395" spans="2:2" ht="15.5" x14ac:dyDescent="0.35">
      <c r="B395" s="853">
        <v>379767.44123646652</v>
      </c>
    </row>
    <row r="396" spans="2:2" ht="15.5" x14ac:dyDescent="0.35">
      <c r="B396" s="853">
        <v>426111.06908846169</v>
      </c>
    </row>
    <row r="397" spans="2:2" ht="15.5" x14ac:dyDescent="0.35">
      <c r="B397" s="853">
        <v>235641.91176077529</v>
      </c>
    </row>
    <row r="398" spans="2:2" ht="15.5" x14ac:dyDescent="0.35">
      <c r="B398" s="853">
        <v>441664.79900749063</v>
      </c>
    </row>
    <row r="399" spans="2:2" ht="15.5" x14ac:dyDescent="0.35">
      <c r="B399" s="853">
        <v>685201.00597787183</v>
      </c>
    </row>
    <row r="400" spans="2:2" ht="15.5" x14ac:dyDescent="0.35">
      <c r="B400" s="853">
        <v>423558.24342257931</v>
      </c>
    </row>
    <row r="401" spans="2:2" ht="15.5" x14ac:dyDescent="0.35">
      <c r="B401" s="853">
        <v>426613.0460491</v>
      </c>
    </row>
    <row r="402" spans="2:2" ht="15.5" x14ac:dyDescent="0.35">
      <c r="B402" s="853">
        <v>111635.33858438424</v>
      </c>
    </row>
    <row r="403" spans="2:2" ht="15.5" x14ac:dyDescent="0.35">
      <c r="B403" s="853">
        <v>355416.82074997399</v>
      </c>
    </row>
    <row r="404" spans="2:2" ht="15.5" x14ac:dyDescent="0.35">
      <c r="B404" s="853">
        <v>346422.27866150858</v>
      </c>
    </row>
    <row r="405" spans="2:2" ht="15.5" x14ac:dyDescent="0.35">
      <c r="B405" s="853">
        <v>319352.52148617595</v>
      </c>
    </row>
    <row r="406" spans="2:2" ht="15.5" x14ac:dyDescent="0.35">
      <c r="B406" s="853">
        <v>448051.19028498366</v>
      </c>
    </row>
    <row r="407" spans="2:2" ht="15.5" x14ac:dyDescent="0.35">
      <c r="B407" s="853">
        <v>370611.97053441452</v>
      </c>
    </row>
    <row r="408" spans="2:2" ht="15.5" x14ac:dyDescent="0.35">
      <c r="B408" s="853">
        <v>376516.40707570943</v>
      </c>
    </row>
    <row r="409" spans="2:2" ht="15.5" x14ac:dyDescent="0.35">
      <c r="B409" s="853">
        <v>447522.13223334251</v>
      </c>
    </row>
    <row r="410" spans="2:2" ht="15.5" x14ac:dyDescent="0.35">
      <c r="B410" s="853">
        <v>271850.87694451096</v>
      </c>
    </row>
    <row r="411" spans="2:2" ht="15.5" x14ac:dyDescent="0.35">
      <c r="B411" s="853">
        <v>644918.49692217354</v>
      </c>
    </row>
    <row r="412" spans="2:2" ht="15.5" x14ac:dyDescent="0.35">
      <c r="B412" s="853">
        <v>507073.67928529636</v>
      </c>
    </row>
    <row r="413" spans="2:2" ht="15.5" x14ac:dyDescent="0.35">
      <c r="B413" s="853">
        <v>431626.74593274383</v>
      </c>
    </row>
    <row r="414" spans="2:2" ht="15.5" x14ac:dyDescent="0.35">
      <c r="B414" s="853">
        <v>158454.99503440358</v>
      </c>
    </row>
    <row r="415" spans="2:2" ht="15.5" x14ac:dyDescent="0.35">
      <c r="B415" s="853">
        <v>242720.83929665096</v>
      </c>
    </row>
    <row r="416" spans="2:2" ht="15.5" x14ac:dyDescent="0.35">
      <c r="B416" s="853">
        <v>352489.71977334254</v>
      </c>
    </row>
    <row r="417" spans="2:2" ht="15.5" x14ac:dyDescent="0.35">
      <c r="B417" s="853">
        <v>209733.25013116337</v>
      </c>
    </row>
    <row r="418" spans="2:2" ht="15.5" x14ac:dyDescent="0.35">
      <c r="B418" s="853">
        <v>107010.36567981303</v>
      </c>
    </row>
    <row r="419" spans="2:2" ht="15.5" x14ac:dyDescent="0.35">
      <c r="B419" s="853">
        <v>50656.861788998503</v>
      </c>
    </row>
    <row r="420" spans="2:2" ht="15.5" x14ac:dyDescent="0.35">
      <c r="B420" s="853">
        <v>94289.206727342826</v>
      </c>
    </row>
    <row r="421" spans="2:2" ht="15.5" x14ac:dyDescent="0.35">
      <c r="B421" s="853">
        <v>344879.03013501246</v>
      </c>
    </row>
    <row r="422" spans="2:2" ht="15.5" x14ac:dyDescent="0.35">
      <c r="B422" s="853">
        <v>347713.62192890374</v>
      </c>
    </row>
    <row r="423" spans="2:2" ht="15.5" x14ac:dyDescent="0.35">
      <c r="B423" s="853">
        <v>245201.99535254569</v>
      </c>
    </row>
    <row r="424" spans="2:2" ht="15.5" x14ac:dyDescent="0.35">
      <c r="B424" s="853">
        <v>413987.21707038669</v>
      </c>
    </row>
    <row r="425" spans="2:2" ht="15.5" x14ac:dyDescent="0.35">
      <c r="B425" s="853">
        <v>384317.66756072926</v>
      </c>
    </row>
    <row r="426" spans="2:2" ht="15.5" x14ac:dyDescent="0.35">
      <c r="B426" s="853">
        <v>182103.67490419603</v>
      </c>
    </row>
    <row r="427" spans="2:2" ht="15.5" x14ac:dyDescent="0.35">
      <c r="B427" s="853">
        <v>10564.568762341252</v>
      </c>
    </row>
    <row r="428" spans="2:2" ht="15.5" x14ac:dyDescent="0.35">
      <c r="B428" s="853">
        <v>197796.12354053496</v>
      </c>
    </row>
    <row r="429" spans="2:2" ht="15.5" x14ac:dyDescent="0.35">
      <c r="B429" s="853">
        <v>388483.66488254681</v>
      </c>
    </row>
    <row r="430" spans="2:2" ht="15.5" x14ac:dyDescent="0.35">
      <c r="B430" s="853">
        <v>330282.80792931834</v>
      </c>
    </row>
    <row r="431" spans="2:2" ht="15.5" x14ac:dyDescent="0.35">
      <c r="B431" s="853">
        <v>334886.08075597929</v>
      </c>
    </row>
    <row r="432" spans="2:2" ht="15.5" x14ac:dyDescent="0.35">
      <c r="B432" s="853">
        <v>372852.20713285543</v>
      </c>
    </row>
    <row r="433" spans="2:2" ht="15.5" x14ac:dyDescent="0.35">
      <c r="B433" s="853">
        <v>271185.18318917544</v>
      </c>
    </row>
    <row r="434" spans="2:2" ht="15.5" x14ac:dyDescent="0.35">
      <c r="B434" s="853">
        <v>352221.83508391469</v>
      </c>
    </row>
    <row r="435" spans="2:2" ht="15.5" x14ac:dyDescent="0.35">
      <c r="B435" s="853">
        <v>140344.88224900648</v>
      </c>
    </row>
    <row r="436" spans="2:2" ht="15.5" x14ac:dyDescent="0.35">
      <c r="B436" s="853">
        <v>259122.20362867857</v>
      </c>
    </row>
    <row r="437" spans="2:2" ht="15.5" x14ac:dyDescent="0.35">
      <c r="B437" s="853">
        <v>410370.15973436803</v>
      </c>
    </row>
    <row r="438" spans="2:2" ht="15.5" x14ac:dyDescent="0.35">
      <c r="B438" s="853">
        <v>417634.20187664323</v>
      </c>
    </row>
    <row r="439" spans="2:2" ht="15.5" x14ac:dyDescent="0.35">
      <c r="B439" s="853">
        <v>371365.16554231971</v>
      </c>
    </row>
    <row r="440" spans="2:2" ht="15.5" x14ac:dyDescent="0.35">
      <c r="B440" s="853">
        <v>155635.43402639942</v>
      </c>
    </row>
    <row r="441" spans="2:2" ht="15.5" x14ac:dyDescent="0.35">
      <c r="B441" s="853">
        <v>163954.33177687021</v>
      </c>
    </row>
    <row r="442" spans="2:2" ht="15.5" x14ac:dyDescent="0.35">
      <c r="B442" s="853">
        <v>350298.72945693019</v>
      </c>
    </row>
    <row r="443" spans="2:2" ht="15.5" x14ac:dyDescent="0.35">
      <c r="B443" s="853">
        <v>389695.58964393585</v>
      </c>
    </row>
    <row r="444" spans="2:2" ht="15.5" x14ac:dyDescent="0.35">
      <c r="B444" s="853">
        <v>118496.36331277863</v>
      </c>
    </row>
    <row r="445" spans="2:2" ht="15.5" x14ac:dyDescent="0.35">
      <c r="B445" s="853">
        <v>654952.45351101505</v>
      </c>
    </row>
    <row r="446" spans="2:2" ht="15.5" x14ac:dyDescent="0.35">
      <c r="B446" s="853">
        <v>359989.05819796218</v>
      </c>
    </row>
    <row r="447" spans="2:2" ht="15.5" x14ac:dyDescent="0.35">
      <c r="B447" s="853">
        <v>132269.79951524729</v>
      </c>
    </row>
    <row r="448" spans="2:2" ht="15.5" x14ac:dyDescent="0.35">
      <c r="B448" s="853">
        <v>144546.21391762444</v>
      </c>
    </row>
    <row r="449" spans="2:2" ht="15.5" x14ac:dyDescent="0.35">
      <c r="B449" s="853">
        <v>192337.25028135092</v>
      </c>
    </row>
    <row r="450" spans="2:2" ht="15.5" x14ac:dyDescent="0.35">
      <c r="B450" s="853">
        <v>369111.39861887478</v>
      </c>
    </row>
    <row r="451" spans="2:2" ht="15.5" x14ac:dyDescent="0.35">
      <c r="B451" s="853">
        <v>306577.02543282532</v>
      </c>
    </row>
    <row r="452" spans="2:2" ht="15.5" x14ac:dyDescent="0.35">
      <c r="B452" s="853">
        <v>402408.0295619269</v>
      </c>
    </row>
    <row r="453" spans="2:2" ht="15.5" x14ac:dyDescent="0.35">
      <c r="B453" s="853">
        <v>362126.62464559847</v>
      </c>
    </row>
    <row r="454" spans="2:2" ht="15.5" x14ac:dyDescent="0.35">
      <c r="B454" s="853">
        <v>164562.71416780463</v>
      </c>
    </row>
    <row r="455" spans="2:2" ht="15.5" x14ac:dyDescent="0.35">
      <c r="B455" s="853">
        <v>200277.50642526548</v>
      </c>
    </row>
    <row r="456" spans="2:2" ht="15.5" x14ac:dyDescent="0.35">
      <c r="B456" s="853">
        <v>220325.45044140075</v>
      </c>
    </row>
    <row r="457" spans="2:2" ht="15.5" x14ac:dyDescent="0.35">
      <c r="B457" s="853">
        <v>368750.72919543658</v>
      </c>
    </row>
    <row r="458" spans="2:2" ht="15.5" x14ac:dyDescent="0.35">
      <c r="B458" s="853">
        <v>730033.92169009149</v>
      </c>
    </row>
    <row r="459" spans="2:2" ht="15.5" x14ac:dyDescent="0.35">
      <c r="B459" s="853">
        <v>395258.77349108504</v>
      </c>
    </row>
    <row r="460" spans="2:2" ht="15.5" x14ac:dyDescent="0.35">
      <c r="B460" s="853">
        <v>185897.81269366885</v>
      </c>
    </row>
    <row r="461" spans="2:2" ht="15.5" x14ac:dyDescent="0.35">
      <c r="B461" s="853">
        <v>42136.037227942077</v>
      </c>
    </row>
    <row r="462" spans="2:2" ht="15.5" x14ac:dyDescent="0.35">
      <c r="B462" s="853">
        <v>291858.98904369492</v>
      </c>
    </row>
    <row r="463" spans="2:2" ht="15.5" x14ac:dyDescent="0.35">
      <c r="B463" s="853">
        <v>116220.42080111885</v>
      </c>
    </row>
    <row r="464" spans="2:2" ht="15.5" x14ac:dyDescent="0.35">
      <c r="B464" s="853">
        <v>400446.85072963935</v>
      </c>
    </row>
    <row r="465" spans="2:2" ht="15.5" x14ac:dyDescent="0.35">
      <c r="B465" s="853">
        <v>481473.45737678773</v>
      </c>
    </row>
    <row r="466" spans="2:2" ht="15.5" x14ac:dyDescent="0.35">
      <c r="B466" s="853">
        <v>202075.69364686229</v>
      </c>
    </row>
    <row r="467" spans="2:2" ht="15.5" x14ac:dyDescent="0.35">
      <c r="B467" s="853">
        <v>417647.66003907251</v>
      </c>
    </row>
    <row r="468" spans="2:2" ht="15.5" x14ac:dyDescent="0.35">
      <c r="B468" s="853">
        <v>205916.20792829659</v>
      </c>
    </row>
    <row r="469" spans="2:2" ht="15.5" x14ac:dyDescent="0.35">
      <c r="B469" s="853">
        <v>340471.22663565492</v>
      </c>
    </row>
    <row r="470" spans="2:2" ht="15.5" x14ac:dyDescent="0.35">
      <c r="B470" s="853">
        <v>338187.94181827799</v>
      </c>
    </row>
    <row r="471" spans="2:2" ht="15.5" x14ac:dyDescent="0.35">
      <c r="B471" s="853">
        <v>178060.55182132521</v>
      </c>
    </row>
    <row r="472" spans="2:2" ht="15.5" x14ac:dyDescent="0.35">
      <c r="B472" s="853">
        <v>230066.29129350823</v>
      </c>
    </row>
    <row r="473" spans="2:2" ht="15.5" x14ac:dyDescent="0.35">
      <c r="B473" s="853">
        <v>500871.37072483992</v>
      </c>
    </row>
    <row r="474" spans="2:2" ht="15.5" x14ac:dyDescent="0.35">
      <c r="B474" s="853">
        <v>528648.66937327606</v>
      </c>
    </row>
    <row r="475" spans="2:2" ht="15.5" x14ac:dyDescent="0.35">
      <c r="B475" s="853">
        <v>29174.158260757769</v>
      </c>
    </row>
    <row r="476" spans="2:2" ht="15.5" x14ac:dyDescent="0.35">
      <c r="B476" s="853">
        <v>365810.54040707019</v>
      </c>
    </row>
    <row r="477" spans="2:2" ht="15.5" x14ac:dyDescent="0.35">
      <c r="B477" s="853">
        <v>683529.33457930305</v>
      </c>
    </row>
    <row r="478" spans="2:2" ht="15.5" x14ac:dyDescent="0.35">
      <c r="B478" s="853">
        <v>308813.80445536663</v>
      </c>
    </row>
    <row r="479" spans="2:2" ht="15.5" x14ac:dyDescent="0.35">
      <c r="B479" s="853">
        <v>273272.63642689202</v>
      </c>
    </row>
    <row r="480" spans="2:2" ht="15.5" x14ac:dyDescent="0.35">
      <c r="B480" s="853">
        <v>162281.43224726297</v>
      </c>
    </row>
    <row r="481" spans="2:2" ht="15.5" x14ac:dyDescent="0.35">
      <c r="B481" s="853">
        <v>399892.79872296186</v>
      </c>
    </row>
    <row r="482" spans="2:2" ht="15.5" x14ac:dyDescent="0.35">
      <c r="B482" s="853">
        <v>129315.44518179916</v>
      </c>
    </row>
    <row r="483" spans="2:2" ht="15.5" x14ac:dyDescent="0.35">
      <c r="B483" s="853">
        <v>352637.37099265336</v>
      </c>
    </row>
    <row r="484" spans="2:2" ht="15.5" x14ac:dyDescent="0.35">
      <c r="B484" s="853">
        <v>253597.77314076843</v>
      </c>
    </row>
    <row r="485" spans="2:2" ht="15.5" x14ac:dyDescent="0.35">
      <c r="B485" s="853">
        <v>566346.56346687605</v>
      </c>
    </row>
    <row r="486" spans="2:2" ht="15.5" x14ac:dyDescent="0.35">
      <c r="B486" s="853">
        <v>219490.24081027581</v>
      </c>
    </row>
    <row r="487" spans="2:2" ht="15.5" x14ac:dyDescent="0.35">
      <c r="B487" s="853">
        <v>339405.34632609284</v>
      </c>
    </row>
    <row r="488" spans="2:2" ht="15.5" x14ac:dyDescent="0.35">
      <c r="B488" s="853">
        <v>105812.83583797379</v>
      </c>
    </row>
    <row r="489" spans="2:2" ht="15.5" x14ac:dyDescent="0.35">
      <c r="B489" s="853">
        <v>309288.8068820982</v>
      </c>
    </row>
    <row r="490" spans="2:2" ht="15.5" x14ac:dyDescent="0.35">
      <c r="B490" s="853">
        <v>447099.00760007568</v>
      </c>
    </row>
    <row r="491" spans="2:2" ht="15.5" x14ac:dyDescent="0.35">
      <c r="B491" s="853">
        <v>308852.24506092438</v>
      </c>
    </row>
    <row r="492" spans="2:2" ht="15.5" x14ac:dyDescent="0.35">
      <c r="B492" s="853">
        <v>321032.55526711087</v>
      </c>
    </row>
    <row r="493" spans="2:2" ht="15.5" x14ac:dyDescent="0.35">
      <c r="B493" s="853">
        <v>160829.17912411952</v>
      </c>
    </row>
    <row r="494" spans="2:2" ht="15.5" x14ac:dyDescent="0.35">
      <c r="B494" s="853">
        <v>386152.12171816151</v>
      </c>
    </row>
    <row r="495" spans="2:2" ht="15.5" x14ac:dyDescent="0.35">
      <c r="B495" s="853">
        <v>208590.21714262204</v>
      </c>
    </row>
    <row r="496" spans="2:2" ht="15.5" x14ac:dyDescent="0.35">
      <c r="B496" s="853">
        <v>441508.17911253875</v>
      </c>
    </row>
    <row r="497" spans="2:2" ht="15.5" x14ac:dyDescent="0.35">
      <c r="B497" s="853">
        <v>329602.622164706</v>
      </c>
    </row>
    <row r="498" spans="2:2" ht="15.5" x14ac:dyDescent="0.35">
      <c r="B498" s="853">
        <v>272134.33550985594</v>
      </c>
    </row>
    <row r="499" spans="2:2" ht="15.5" x14ac:dyDescent="0.35">
      <c r="B499" s="853">
        <v>155589.59890685315</v>
      </c>
    </row>
    <row r="500" spans="2:2" ht="15.5" x14ac:dyDescent="0.35">
      <c r="B500" s="853">
        <v>351909.48286917486</v>
      </c>
    </row>
    <row r="501" spans="2:2" ht="15.5" x14ac:dyDescent="0.35">
      <c r="B501" s="853">
        <v>137135.30384630745</v>
      </c>
    </row>
    <row r="502" spans="2:2" ht="15.5" x14ac:dyDescent="0.35">
      <c r="B502" s="853">
        <v>467367.75769259722</v>
      </c>
    </row>
    <row r="503" spans="2:2" ht="15.5" x14ac:dyDescent="0.35">
      <c r="B503" s="853">
        <v>275974.06391138979</v>
      </c>
    </row>
    <row r="504" spans="2:2" ht="15.5" x14ac:dyDescent="0.35">
      <c r="B504" s="853">
        <v>391517.52028760005</v>
      </c>
    </row>
    <row r="505" spans="2:2" ht="15.5" x14ac:dyDescent="0.35">
      <c r="B505" s="853">
        <v>317299.74635168019</v>
      </c>
    </row>
    <row r="506" spans="2:2" ht="15.5" x14ac:dyDescent="0.35">
      <c r="B506" s="853">
        <v>303305.8804481253</v>
      </c>
    </row>
    <row r="507" spans="2:2" ht="15.5" x14ac:dyDescent="0.35">
      <c r="B507" s="853">
        <v>253153.88862732262</v>
      </c>
    </row>
    <row r="508" spans="2:2" ht="15.5" x14ac:dyDescent="0.35">
      <c r="B508" s="853">
        <v>198048.76081303082</v>
      </c>
    </row>
    <row r="509" spans="2:2" ht="15.5" x14ac:dyDescent="0.35">
      <c r="B509" s="853">
        <v>151177.88812872657</v>
      </c>
    </row>
    <row r="510" spans="2:2" ht="15.5" x14ac:dyDescent="0.35">
      <c r="B510" s="853">
        <v>394512.74298669281</v>
      </c>
    </row>
    <row r="511" spans="2:2" ht="15.5" x14ac:dyDescent="0.35">
      <c r="B511" s="853">
        <v>557028.92771532398</v>
      </c>
    </row>
    <row r="512" spans="2:2" ht="15.5" x14ac:dyDescent="0.35">
      <c r="B512" s="853">
        <v>230068.3513053646</v>
      </c>
    </row>
    <row r="513" spans="2:2" ht="15.5" x14ac:dyDescent="0.35">
      <c r="B513" s="853">
        <v>379132.79531094769</v>
      </c>
    </row>
    <row r="514" spans="2:2" ht="15.5" x14ac:dyDescent="0.35">
      <c r="B514" s="853">
        <v>314579.8821839703</v>
      </c>
    </row>
    <row r="515" spans="2:2" ht="15.5" x14ac:dyDescent="0.35">
      <c r="B515" s="853">
        <v>220615.14108214734</v>
      </c>
    </row>
    <row r="516" spans="2:2" ht="15.5" x14ac:dyDescent="0.35">
      <c r="B516" s="853">
        <v>362870.03338400327</v>
      </c>
    </row>
    <row r="517" spans="2:2" ht="15.5" x14ac:dyDescent="0.35">
      <c r="B517" s="853">
        <v>326464.79649957141</v>
      </c>
    </row>
    <row r="518" spans="2:2" ht="15.5" x14ac:dyDescent="0.35">
      <c r="B518" s="853">
        <v>441406.1690573786</v>
      </c>
    </row>
    <row r="519" spans="2:2" ht="15.5" x14ac:dyDescent="0.35">
      <c r="B519" s="853">
        <v>184832.3390365497</v>
      </c>
    </row>
    <row r="520" spans="2:2" ht="15.5" x14ac:dyDescent="0.35">
      <c r="B520" s="853">
        <v>212866.62288078174</v>
      </c>
    </row>
    <row r="521" spans="2:2" ht="15.5" x14ac:dyDescent="0.35">
      <c r="B521" s="853">
        <v>152127.54557510884</v>
      </c>
    </row>
    <row r="522" spans="2:2" ht="15.5" x14ac:dyDescent="0.35">
      <c r="B522" s="853">
        <v>403285.33765804052</v>
      </c>
    </row>
    <row r="523" spans="2:2" ht="15.5" x14ac:dyDescent="0.35">
      <c r="B523" s="853">
        <v>298466.35172899003</v>
      </c>
    </row>
    <row r="524" spans="2:2" ht="15.5" x14ac:dyDescent="0.35">
      <c r="B524" s="853">
        <v>311877.14679748297</v>
      </c>
    </row>
    <row r="525" spans="2:2" ht="15.5" x14ac:dyDescent="0.35">
      <c r="B525" s="853">
        <v>309690.73702005448</v>
      </c>
    </row>
    <row r="526" spans="2:2" ht="15.5" x14ac:dyDescent="0.35">
      <c r="B526" s="853">
        <v>149555.30290855441</v>
      </c>
    </row>
    <row r="527" spans="2:2" ht="15.5" x14ac:dyDescent="0.35">
      <c r="B527" s="853">
        <v>407346.76261998218</v>
      </c>
    </row>
    <row r="528" spans="2:2" ht="15.5" x14ac:dyDescent="0.35">
      <c r="B528" s="853">
        <v>242404.98550138125</v>
      </c>
    </row>
    <row r="529" spans="2:2" ht="15.5" x14ac:dyDescent="0.35">
      <c r="B529" s="853">
        <v>219575.70749342479</v>
      </c>
    </row>
    <row r="530" spans="2:2" ht="15.5" x14ac:dyDescent="0.35">
      <c r="B530" s="853">
        <v>67340.743161522856</v>
      </c>
    </row>
    <row r="531" spans="2:2" ht="15.5" x14ac:dyDescent="0.35">
      <c r="B531" s="853">
        <v>374226.22440663766</v>
      </c>
    </row>
    <row r="532" spans="2:2" ht="15.5" x14ac:dyDescent="0.35">
      <c r="B532" s="853">
        <v>282126.12107610982</v>
      </c>
    </row>
    <row r="533" spans="2:2" ht="15.5" x14ac:dyDescent="0.35">
      <c r="B533" s="853">
        <v>333989.13404068619</v>
      </c>
    </row>
    <row r="534" spans="2:2" ht="15.5" x14ac:dyDescent="0.35">
      <c r="B534" s="853">
        <v>873427.06172840344</v>
      </c>
    </row>
    <row r="535" spans="2:2" ht="15.5" x14ac:dyDescent="0.35">
      <c r="B535" s="853">
        <v>586594.20303326799</v>
      </c>
    </row>
    <row r="536" spans="2:2" ht="15.5" x14ac:dyDescent="0.35">
      <c r="B536" s="853">
        <v>467055.86688550282</v>
      </c>
    </row>
    <row r="537" spans="2:2" ht="15.5" x14ac:dyDescent="0.35">
      <c r="B537" s="853">
        <v>551723.17485483596</v>
      </c>
    </row>
    <row r="538" spans="2:2" ht="15.5" x14ac:dyDescent="0.35">
      <c r="B538" s="853">
        <v>311725.06127830938</v>
      </c>
    </row>
    <row r="539" spans="2:2" ht="15.5" x14ac:dyDescent="0.35">
      <c r="B539" s="853">
        <v>212444.87986454173</v>
      </c>
    </row>
    <row r="540" spans="2:2" ht="15.5" x14ac:dyDescent="0.35">
      <c r="B540" s="853">
        <v>414814.61991386808</v>
      </c>
    </row>
    <row r="541" spans="2:2" ht="15.5" x14ac:dyDescent="0.35">
      <c r="B541" s="853">
        <v>584806.35762776202</v>
      </c>
    </row>
    <row r="542" spans="2:2" ht="15.5" x14ac:dyDescent="0.35">
      <c r="B542" s="853">
        <v>519903.16294783686</v>
      </c>
    </row>
    <row r="543" spans="2:2" ht="15.5" x14ac:dyDescent="0.35">
      <c r="B543" s="853">
        <v>180035.82035961549</v>
      </c>
    </row>
    <row r="544" spans="2:2" ht="15.5" x14ac:dyDescent="0.35">
      <c r="B544" s="853">
        <v>373799.2166290473</v>
      </c>
    </row>
    <row r="545" spans="2:2" ht="15.5" x14ac:dyDescent="0.35">
      <c r="B545" s="853">
        <v>188156.40976282474</v>
      </c>
    </row>
    <row r="546" spans="2:2" ht="15.5" x14ac:dyDescent="0.35">
      <c r="B546" s="853">
        <v>405617.5599231809</v>
      </c>
    </row>
    <row r="547" spans="2:2" ht="15.5" x14ac:dyDescent="0.35">
      <c r="B547" s="853">
        <v>120327.67057281554</v>
      </c>
    </row>
    <row r="548" spans="2:2" ht="15.5" x14ac:dyDescent="0.35">
      <c r="B548" s="853">
        <v>92603.809233729276</v>
      </c>
    </row>
    <row r="549" spans="2:2" ht="15.5" x14ac:dyDescent="0.35">
      <c r="B549" s="853">
        <v>546912.1846287041</v>
      </c>
    </row>
    <row r="550" spans="2:2" ht="15.5" x14ac:dyDescent="0.35">
      <c r="B550" s="853">
        <v>140794.23399827949</v>
      </c>
    </row>
    <row r="551" spans="2:2" ht="15.5" x14ac:dyDescent="0.35">
      <c r="B551" s="853">
        <v>483356.65167662641</v>
      </c>
    </row>
    <row r="552" spans="2:2" ht="15.5" x14ac:dyDescent="0.35">
      <c r="B552" s="853">
        <v>384219.48724068765</v>
      </c>
    </row>
    <row r="553" spans="2:2" ht="15.5" x14ac:dyDescent="0.35">
      <c r="B553" s="853">
        <v>243523.10381614033</v>
      </c>
    </row>
    <row r="554" spans="2:2" ht="15.5" x14ac:dyDescent="0.35">
      <c r="B554" s="853">
        <v>202856.50593674378</v>
      </c>
    </row>
    <row r="555" spans="2:2" ht="15.5" x14ac:dyDescent="0.35">
      <c r="B555" s="853">
        <v>216067.84946815006</v>
      </c>
    </row>
    <row r="556" spans="2:2" ht="15.5" x14ac:dyDescent="0.35">
      <c r="B556" s="853">
        <v>285179.13884366432</v>
      </c>
    </row>
    <row r="557" spans="2:2" ht="15.5" x14ac:dyDescent="0.35">
      <c r="B557" s="853">
        <v>485632.43896930869</v>
      </c>
    </row>
    <row r="558" spans="2:2" ht="15.5" x14ac:dyDescent="0.35">
      <c r="B558" s="853">
        <v>451150.51727801835</v>
      </c>
    </row>
    <row r="559" spans="2:2" ht="15.5" x14ac:dyDescent="0.35">
      <c r="B559" s="853">
        <v>268393.87468438281</v>
      </c>
    </row>
    <row r="560" spans="2:2" ht="15.5" x14ac:dyDescent="0.35">
      <c r="B560" s="853">
        <v>144566.51676640598</v>
      </c>
    </row>
    <row r="561" spans="2:2" ht="15.5" x14ac:dyDescent="0.35">
      <c r="B561" s="853">
        <v>444375.92149856966</v>
      </c>
    </row>
    <row r="562" spans="2:2" ht="15.5" x14ac:dyDescent="0.35">
      <c r="B562" s="853">
        <v>-49789.547276634577</v>
      </c>
    </row>
    <row r="563" spans="2:2" ht="15.5" x14ac:dyDescent="0.35">
      <c r="B563" s="853">
        <v>231809.39029841093</v>
      </c>
    </row>
    <row r="564" spans="2:2" ht="15.5" x14ac:dyDescent="0.35">
      <c r="B564" s="853">
        <v>312427.23680032603</v>
      </c>
    </row>
    <row r="565" spans="2:2" ht="15.5" x14ac:dyDescent="0.35">
      <c r="B565" s="853">
        <v>303508.1345187616</v>
      </c>
    </row>
    <row r="566" spans="2:2" ht="15.5" x14ac:dyDescent="0.35">
      <c r="B566" s="853">
        <v>214281.43031279487</v>
      </c>
    </row>
    <row r="567" spans="2:2" ht="15.5" x14ac:dyDescent="0.35">
      <c r="B567" s="853">
        <v>497729.88418741158</v>
      </c>
    </row>
    <row r="568" spans="2:2" ht="15.5" x14ac:dyDescent="0.35">
      <c r="B568" s="853">
        <v>642061.01225726854</v>
      </c>
    </row>
    <row r="569" spans="2:2" ht="15.5" x14ac:dyDescent="0.35">
      <c r="B569" s="853">
        <v>338566.75922782085</v>
      </c>
    </row>
    <row r="570" spans="2:2" ht="15.5" x14ac:dyDescent="0.35">
      <c r="B570" s="853">
        <v>396753.08592946059</v>
      </c>
    </row>
    <row r="571" spans="2:2" ht="15.5" x14ac:dyDescent="0.35">
      <c r="B571" s="853">
        <v>428251.34396941314</v>
      </c>
    </row>
    <row r="572" spans="2:2" ht="15.5" x14ac:dyDescent="0.35">
      <c r="B572" s="853">
        <v>184293.66428248302</v>
      </c>
    </row>
    <row r="573" spans="2:2" ht="15.5" x14ac:dyDescent="0.35">
      <c r="B573" s="853">
        <v>348896.32173041161</v>
      </c>
    </row>
    <row r="574" spans="2:2" ht="15.5" x14ac:dyDescent="0.35">
      <c r="B574" s="853">
        <v>214537.0243476032</v>
      </c>
    </row>
    <row r="575" spans="2:2" ht="15.5" x14ac:dyDescent="0.35">
      <c r="B575" s="853">
        <v>358567.68602583831</v>
      </c>
    </row>
    <row r="576" spans="2:2" ht="15.5" x14ac:dyDescent="0.35">
      <c r="B576" s="853">
        <v>475610.97104185994</v>
      </c>
    </row>
    <row r="577" spans="2:2" ht="15.5" x14ac:dyDescent="0.35">
      <c r="B577" s="853">
        <v>313670.03433175071</v>
      </c>
    </row>
    <row r="578" spans="2:2" ht="15.5" x14ac:dyDescent="0.35">
      <c r="B578" s="853">
        <v>541626.64506611391</v>
      </c>
    </row>
    <row r="579" spans="2:2" ht="15.5" x14ac:dyDescent="0.35">
      <c r="B579" s="853">
        <v>176930.48739301242</v>
      </c>
    </row>
    <row r="580" spans="2:2" ht="15.5" x14ac:dyDescent="0.35">
      <c r="B580" s="853">
        <v>532657.24751393311</v>
      </c>
    </row>
    <row r="581" spans="2:2" ht="15.5" x14ac:dyDescent="0.35">
      <c r="B581" s="853">
        <v>310114.42268479127</v>
      </c>
    </row>
    <row r="582" spans="2:2" ht="15.5" x14ac:dyDescent="0.35">
      <c r="B582" s="853">
        <v>342006.4233044525</v>
      </c>
    </row>
    <row r="583" spans="2:2" ht="15.5" x14ac:dyDescent="0.35">
      <c r="B583" s="853">
        <v>374619.53519195435</v>
      </c>
    </row>
    <row r="584" spans="2:2" ht="15.5" x14ac:dyDescent="0.35">
      <c r="B584" s="853">
        <v>357761.60224236752</v>
      </c>
    </row>
    <row r="585" spans="2:2" ht="15.5" x14ac:dyDescent="0.35">
      <c r="B585" s="853">
        <v>557213.77606678498</v>
      </c>
    </row>
    <row r="586" spans="2:2" ht="15.5" x14ac:dyDescent="0.35">
      <c r="B586" s="853">
        <v>353036.2253666952</v>
      </c>
    </row>
    <row r="587" spans="2:2" ht="15.5" x14ac:dyDescent="0.35">
      <c r="B587" s="853">
        <v>151299.68322629973</v>
      </c>
    </row>
    <row r="588" spans="2:2" ht="15.5" x14ac:dyDescent="0.35">
      <c r="B588" s="853">
        <v>405740.11032232468</v>
      </c>
    </row>
    <row r="589" spans="2:2" ht="15.5" x14ac:dyDescent="0.35">
      <c r="B589" s="853">
        <v>416013.0729031802</v>
      </c>
    </row>
    <row r="590" spans="2:2" ht="15.5" x14ac:dyDescent="0.35">
      <c r="B590" s="853">
        <v>385884.50435970968</v>
      </c>
    </row>
    <row r="591" spans="2:2" ht="15.5" x14ac:dyDescent="0.35">
      <c r="B591" s="853">
        <v>284648.95745752769</v>
      </c>
    </row>
    <row r="592" spans="2:2" ht="15.5" x14ac:dyDescent="0.35">
      <c r="B592" s="853">
        <v>597285.15227296413</v>
      </c>
    </row>
    <row r="593" spans="2:2" ht="15.5" x14ac:dyDescent="0.35">
      <c r="B593" s="853">
        <v>63837.713873747707</v>
      </c>
    </row>
    <row r="594" spans="2:2" ht="15.5" x14ac:dyDescent="0.35">
      <c r="B594" s="853">
        <v>429901.65423025185</v>
      </c>
    </row>
    <row r="595" spans="2:2" ht="15.5" x14ac:dyDescent="0.35">
      <c r="B595" s="853">
        <v>211813.4709280041</v>
      </c>
    </row>
    <row r="596" spans="2:2" ht="15.5" x14ac:dyDescent="0.35">
      <c r="B596" s="853">
        <v>158219.15174106826</v>
      </c>
    </row>
    <row r="597" spans="2:2" ht="15.5" x14ac:dyDescent="0.35">
      <c r="B597" s="853">
        <v>189538.14668165625</v>
      </c>
    </row>
    <row r="598" spans="2:2" ht="15.5" x14ac:dyDescent="0.35">
      <c r="B598" s="853">
        <v>375542.26047375036</v>
      </c>
    </row>
    <row r="599" spans="2:2" ht="15.5" x14ac:dyDescent="0.35">
      <c r="B599" s="853">
        <v>78219.515526869189</v>
      </c>
    </row>
    <row r="600" spans="2:2" ht="15.5" x14ac:dyDescent="0.35">
      <c r="B600" s="853">
        <v>236988.75554806658</v>
      </c>
    </row>
    <row r="601" spans="2:2" ht="15.5" x14ac:dyDescent="0.35">
      <c r="B601" s="853">
        <v>278977.75781729328</v>
      </c>
    </row>
    <row r="602" spans="2:2" ht="15.5" x14ac:dyDescent="0.35">
      <c r="B602" s="853">
        <v>317844.28812929278</v>
      </c>
    </row>
    <row r="603" spans="2:2" ht="15.5" x14ac:dyDescent="0.35">
      <c r="B603" s="853">
        <v>237199.11120310379</v>
      </c>
    </row>
    <row r="604" spans="2:2" ht="15.5" x14ac:dyDescent="0.35">
      <c r="B604" s="853">
        <v>481943.78948087298</v>
      </c>
    </row>
    <row r="605" spans="2:2" ht="15.5" x14ac:dyDescent="0.35">
      <c r="B605" s="853">
        <v>608243.05894776713</v>
      </c>
    </row>
    <row r="606" spans="2:2" ht="15.5" x14ac:dyDescent="0.35">
      <c r="B606" s="853">
        <v>312926.74266967503</v>
      </c>
    </row>
    <row r="607" spans="2:2" ht="15.5" x14ac:dyDescent="0.35">
      <c r="B607" s="853">
        <v>455014.14032187458</v>
      </c>
    </row>
    <row r="608" spans="2:2" ht="15.5" x14ac:dyDescent="0.35">
      <c r="B608" s="853">
        <v>230666.02647017365</v>
      </c>
    </row>
    <row r="609" spans="2:2" ht="15.5" x14ac:dyDescent="0.35">
      <c r="B609" s="853">
        <v>269096.77832595789</v>
      </c>
    </row>
    <row r="610" spans="2:2" ht="15.5" x14ac:dyDescent="0.35">
      <c r="B610" s="853">
        <v>41163.622636289416</v>
      </c>
    </row>
    <row r="611" spans="2:2" ht="15.5" x14ac:dyDescent="0.35">
      <c r="B611" s="853">
        <v>103682.1992130084</v>
      </c>
    </row>
    <row r="612" spans="2:2" ht="15.5" x14ac:dyDescent="0.35">
      <c r="B612" s="853">
        <v>440883.62890265143</v>
      </c>
    </row>
    <row r="613" spans="2:2" ht="15.5" x14ac:dyDescent="0.35">
      <c r="B613" s="853">
        <v>391570.94503238169</v>
      </c>
    </row>
    <row r="614" spans="2:2" ht="15.5" x14ac:dyDescent="0.35">
      <c r="B614" s="853">
        <v>490723.5315394167</v>
      </c>
    </row>
    <row r="615" spans="2:2" ht="15.5" x14ac:dyDescent="0.35">
      <c r="B615" s="853">
        <v>46052.954293492243</v>
      </c>
    </row>
    <row r="616" spans="2:2" ht="15.5" x14ac:dyDescent="0.35">
      <c r="B616" s="853">
        <v>354299.30410047108</v>
      </c>
    </row>
    <row r="617" spans="2:2" ht="15.5" x14ac:dyDescent="0.35">
      <c r="B617" s="853">
        <v>265137.42700598121</v>
      </c>
    </row>
    <row r="618" spans="2:2" ht="15.5" x14ac:dyDescent="0.35">
      <c r="B618" s="853">
        <v>280506.69973036193</v>
      </c>
    </row>
    <row r="619" spans="2:2" ht="15.5" x14ac:dyDescent="0.35">
      <c r="B619" s="853">
        <v>362912.91882607591</v>
      </c>
    </row>
    <row r="620" spans="2:2" ht="15.5" x14ac:dyDescent="0.35">
      <c r="B620" s="853">
        <v>96816.091275302373</v>
      </c>
    </row>
    <row r="621" spans="2:2" ht="15.5" x14ac:dyDescent="0.35">
      <c r="B621" s="853">
        <v>159503.91440611318</v>
      </c>
    </row>
    <row r="622" spans="2:2" ht="15.5" x14ac:dyDescent="0.35">
      <c r="B622" s="853">
        <v>463487.64400809404</v>
      </c>
    </row>
    <row r="623" spans="2:2" ht="15.5" x14ac:dyDescent="0.35">
      <c r="B623" s="853">
        <v>459988.44953254785</v>
      </c>
    </row>
    <row r="624" spans="2:2" ht="15.5" x14ac:dyDescent="0.35">
      <c r="B624" s="853">
        <v>119134.28118172761</v>
      </c>
    </row>
    <row r="625" spans="2:2" ht="15.5" x14ac:dyDescent="0.35">
      <c r="B625" s="853">
        <v>251251.89869187388</v>
      </c>
    </row>
    <row r="626" spans="2:2" ht="15.5" x14ac:dyDescent="0.35">
      <c r="B626" s="853">
        <v>313209.60826867784</v>
      </c>
    </row>
    <row r="627" spans="2:2" ht="15.5" x14ac:dyDescent="0.35">
      <c r="B627" s="853">
        <v>273121.41324235842</v>
      </c>
    </row>
    <row r="628" spans="2:2" ht="15.5" x14ac:dyDescent="0.35">
      <c r="B628" s="853">
        <v>431622.29772293539</v>
      </c>
    </row>
    <row r="629" spans="2:2" ht="15.5" x14ac:dyDescent="0.35">
      <c r="B629" s="853">
        <v>283502.54087762343</v>
      </c>
    </row>
    <row r="630" spans="2:2" ht="15.5" x14ac:dyDescent="0.35">
      <c r="B630" s="853">
        <v>149400.46615627344</v>
      </c>
    </row>
    <row r="631" spans="2:2" ht="15.5" x14ac:dyDescent="0.35">
      <c r="B631" s="853">
        <v>416296.60086216271</v>
      </c>
    </row>
    <row r="632" spans="2:2" ht="15.5" x14ac:dyDescent="0.35">
      <c r="B632" s="853">
        <v>611644.4286530622</v>
      </c>
    </row>
    <row r="633" spans="2:2" ht="15.5" x14ac:dyDescent="0.35">
      <c r="B633" s="853">
        <v>276901.63980706304</v>
      </c>
    </row>
    <row r="634" spans="2:2" ht="15.5" x14ac:dyDescent="0.35">
      <c r="B634" s="853">
        <v>153688.07394104832</v>
      </c>
    </row>
    <row r="635" spans="2:2" ht="15.5" x14ac:dyDescent="0.35">
      <c r="B635" s="853">
        <v>156751.69134775942</v>
      </c>
    </row>
    <row r="636" spans="2:2" ht="15.5" x14ac:dyDescent="0.35">
      <c r="B636" s="853">
        <v>268925.51650672435</v>
      </c>
    </row>
    <row r="637" spans="2:2" ht="15.5" x14ac:dyDescent="0.35">
      <c r="B637" s="853">
        <v>453849.53566921724</v>
      </c>
    </row>
    <row r="638" spans="2:2" ht="15.5" x14ac:dyDescent="0.35">
      <c r="B638" s="853">
        <v>469129.13115464238</v>
      </c>
    </row>
    <row r="639" spans="2:2" ht="15.5" x14ac:dyDescent="0.35">
      <c r="B639" s="853">
        <v>233830.38576400661</v>
      </c>
    </row>
    <row r="640" spans="2:2" ht="15.5" x14ac:dyDescent="0.35">
      <c r="B640" s="853">
        <v>391750.88710335118</v>
      </c>
    </row>
    <row r="641" spans="2:2" ht="15.5" x14ac:dyDescent="0.35">
      <c r="B641" s="853">
        <v>214230.40880883529</v>
      </c>
    </row>
    <row r="642" spans="2:2" ht="15.5" x14ac:dyDescent="0.35">
      <c r="B642" s="853">
        <v>436319.77938676049</v>
      </c>
    </row>
    <row r="643" spans="2:2" ht="15.5" x14ac:dyDescent="0.35">
      <c r="B643" s="853">
        <v>408896.14432307181</v>
      </c>
    </row>
    <row r="644" spans="2:2" ht="15.5" x14ac:dyDescent="0.35">
      <c r="B644" s="853">
        <v>284681.36652962648</v>
      </c>
    </row>
    <row r="645" spans="2:2" ht="15.5" x14ac:dyDescent="0.35">
      <c r="B645" s="853">
        <v>510574.26274192653</v>
      </c>
    </row>
    <row r="646" spans="2:2" ht="15.5" x14ac:dyDescent="0.35">
      <c r="B646" s="853">
        <v>243410.86115799806</v>
      </c>
    </row>
    <row r="647" spans="2:2" ht="15.5" x14ac:dyDescent="0.35">
      <c r="B647" s="853">
        <v>309077.82135317504</v>
      </c>
    </row>
    <row r="648" spans="2:2" ht="15.5" x14ac:dyDescent="0.35">
      <c r="B648" s="853">
        <v>330603.61027304782</v>
      </c>
    </row>
    <row r="649" spans="2:2" ht="15.5" x14ac:dyDescent="0.35">
      <c r="B649" s="853">
        <v>1228.7951733795855</v>
      </c>
    </row>
    <row r="650" spans="2:2" ht="15.5" x14ac:dyDescent="0.35">
      <c r="B650" s="853">
        <v>129394.57634541663</v>
      </c>
    </row>
    <row r="651" spans="2:2" ht="15.5" x14ac:dyDescent="0.35">
      <c r="B651" s="853">
        <v>85388.875977857024</v>
      </c>
    </row>
    <row r="652" spans="2:2" ht="15.5" x14ac:dyDescent="0.35">
      <c r="B652" s="853">
        <v>140756.11172594115</v>
      </c>
    </row>
    <row r="653" spans="2:2" ht="15.5" x14ac:dyDescent="0.35">
      <c r="B653" s="853">
        <v>335001.63038266124</v>
      </c>
    </row>
    <row r="654" spans="2:2" ht="15.5" x14ac:dyDescent="0.35">
      <c r="B654" s="853">
        <v>40601.661177747839</v>
      </c>
    </row>
    <row r="655" spans="2:2" ht="15.5" x14ac:dyDescent="0.35">
      <c r="B655" s="853">
        <v>97505.711406528222</v>
      </c>
    </row>
    <row r="656" spans="2:2" ht="15.5" x14ac:dyDescent="0.35">
      <c r="B656" s="853">
        <v>551837.54624796752</v>
      </c>
    </row>
    <row r="657" spans="2:2" ht="15.5" x14ac:dyDescent="0.35">
      <c r="B657" s="853">
        <v>185460.52852827206</v>
      </c>
    </row>
    <row r="658" spans="2:2" ht="15.5" x14ac:dyDescent="0.35">
      <c r="B658" s="853">
        <v>371751.80264307844</v>
      </c>
    </row>
    <row r="659" spans="2:2" ht="15.5" x14ac:dyDescent="0.35">
      <c r="B659" s="853">
        <v>497753.97358233511</v>
      </c>
    </row>
    <row r="660" spans="2:2" ht="15.5" x14ac:dyDescent="0.35">
      <c r="B660" s="853">
        <v>629423.45451932424</v>
      </c>
    </row>
    <row r="661" spans="2:2" ht="15.5" x14ac:dyDescent="0.35">
      <c r="B661" s="853">
        <v>321578.63135131996</v>
      </c>
    </row>
    <row r="662" spans="2:2" ht="15.5" x14ac:dyDescent="0.35">
      <c r="B662" s="853">
        <v>179032.81145420938</v>
      </c>
    </row>
    <row r="663" spans="2:2" ht="15.5" x14ac:dyDescent="0.35">
      <c r="B663" s="853">
        <v>425065.64964343933</v>
      </c>
    </row>
    <row r="664" spans="2:2" ht="15.5" x14ac:dyDescent="0.35">
      <c r="B664" s="853">
        <v>261801.12372905383</v>
      </c>
    </row>
    <row r="665" spans="2:2" ht="15.5" x14ac:dyDescent="0.35">
      <c r="B665" s="853">
        <v>416453.99163912301</v>
      </c>
    </row>
    <row r="666" spans="2:2" ht="15.5" x14ac:dyDescent="0.35">
      <c r="B666" s="853">
        <v>176486.81377708275</v>
      </c>
    </row>
    <row r="667" spans="2:2" ht="15.5" x14ac:dyDescent="0.35">
      <c r="B667" s="853">
        <v>307631.30023896229</v>
      </c>
    </row>
    <row r="668" spans="2:2" ht="15.5" x14ac:dyDescent="0.35">
      <c r="B668" s="853">
        <v>437415.49059009494</v>
      </c>
    </row>
    <row r="669" spans="2:2" ht="15.5" x14ac:dyDescent="0.35">
      <c r="B669" s="853">
        <v>301726.13183864835</v>
      </c>
    </row>
    <row r="670" spans="2:2" ht="15.5" x14ac:dyDescent="0.35">
      <c r="B670" s="853">
        <v>457682.61595572578</v>
      </c>
    </row>
    <row r="671" spans="2:2" ht="15.5" x14ac:dyDescent="0.35">
      <c r="B671" s="853">
        <v>70282.149498258674</v>
      </c>
    </row>
    <row r="672" spans="2:2" ht="15.5" x14ac:dyDescent="0.35">
      <c r="B672" s="853">
        <v>329644.80433947721</v>
      </c>
    </row>
    <row r="673" spans="2:2" ht="15.5" x14ac:dyDescent="0.35">
      <c r="B673" s="853">
        <v>459445.55089972075</v>
      </c>
    </row>
    <row r="674" spans="2:2" ht="15.5" x14ac:dyDescent="0.35">
      <c r="B674" s="853">
        <v>327775.0633050254</v>
      </c>
    </row>
    <row r="675" spans="2:2" ht="15.5" x14ac:dyDescent="0.35">
      <c r="B675" s="853">
        <v>126810.69978510011</v>
      </c>
    </row>
    <row r="676" spans="2:2" ht="15.5" x14ac:dyDescent="0.35">
      <c r="B676" s="853">
        <v>370481.81906546769</v>
      </c>
    </row>
    <row r="677" spans="2:2" ht="15.5" x14ac:dyDescent="0.35">
      <c r="B677" s="853">
        <v>312400.52531642432</v>
      </c>
    </row>
    <row r="678" spans="2:2" ht="15.5" x14ac:dyDescent="0.35">
      <c r="B678" s="853">
        <v>372279.93908675195</v>
      </c>
    </row>
    <row r="679" spans="2:2" ht="15.5" x14ac:dyDescent="0.35">
      <c r="B679" s="853">
        <v>425035.27844299428</v>
      </c>
    </row>
    <row r="680" spans="2:2" ht="15.5" x14ac:dyDescent="0.35">
      <c r="B680" s="853">
        <v>339398.03263735236</v>
      </c>
    </row>
    <row r="681" spans="2:2" ht="15.5" x14ac:dyDescent="0.35">
      <c r="B681" s="853">
        <v>340322.75196192396</v>
      </c>
    </row>
    <row r="682" spans="2:2" ht="15.5" x14ac:dyDescent="0.35">
      <c r="B682" s="853">
        <v>550294.37829810136</v>
      </c>
    </row>
    <row r="683" spans="2:2" ht="15.5" x14ac:dyDescent="0.35">
      <c r="B683" s="853">
        <v>318625.90095709538</v>
      </c>
    </row>
    <row r="684" spans="2:2" ht="15.5" x14ac:dyDescent="0.35">
      <c r="B684" s="853">
        <v>624013.60668585612</v>
      </c>
    </row>
    <row r="685" spans="2:2" ht="15.5" x14ac:dyDescent="0.35">
      <c r="B685" s="853">
        <v>624155.57236287661</v>
      </c>
    </row>
    <row r="686" spans="2:2" ht="15.5" x14ac:dyDescent="0.35">
      <c r="B686" s="853">
        <v>297666.3603417491</v>
      </c>
    </row>
    <row r="687" spans="2:2" ht="15.5" x14ac:dyDescent="0.35">
      <c r="B687" s="853">
        <v>149676.105088707</v>
      </c>
    </row>
    <row r="688" spans="2:2" ht="15.5" x14ac:dyDescent="0.35">
      <c r="B688" s="853">
        <v>101847.61976076916</v>
      </c>
    </row>
    <row r="689" spans="2:2" ht="15.5" x14ac:dyDescent="0.35">
      <c r="B689" s="853">
        <v>280978.13113915524</v>
      </c>
    </row>
    <row r="690" spans="2:2" ht="15.5" x14ac:dyDescent="0.35">
      <c r="B690" s="853">
        <v>312231.61336762912</v>
      </c>
    </row>
    <row r="691" spans="2:2" ht="15.5" x14ac:dyDescent="0.35">
      <c r="B691" s="853">
        <v>119478.79657014787</v>
      </c>
    </row>
    <row r="692" spans="2:2" ht="15.5" x14ac:dyDescent="0.35">
      <c r="B692" s="853">
        <v>405436.46142082271</v>
      </c>
    </row>
    <row r="693" spans="2:2" ht="15.5" x14ac:dyDescent="0.35">
      <c r="B693" s="853">
        <v>288486.60863443918</v>
      </c>
    </row>
    <row r="694" spans="2:2" ht="15.5" x14ac:dyDescent="0.35">
      <c r="B694" s="853">
        <v>295912.56258567178</v>
      </c>
    </row>
    <row r="695" spans="2:2" ht="15.5" x14ac:dyDescent="0.35">
      <c r="B695" s="853">
        <v>289784.2365076351</v>
      </c>
    </row>
    <row r="696" spans="2:2" ht="15.5" x14ac:dyDescent="0.35">
      <c r="B696" s="853">
        <v>523893.80199978355</v>
      </c>
    </row>
    <row r="697" spans="2:2" ht="15.5" x14ac:dyDescent="0.35">
      <c r="B697" s="853">
        <v>406785.09849856322</v>
      </c>
    </row>
    <row r="698" spans="2:2" ht="15.5" x14ac:dyDescent="0.35">
      <c r="B698" s="853">
        <v>362321.83946035209</v>
      </c>
    </row>
    <row r="699" spans="2:2" ht="15.5" x14ac:dyDescent="0.35">
      <c r="B699" s="853">
        <v>219491.66068464212</v>
      </c>
    </row>
    <row r="700" spans="2:2" ht="15.5" x14ac:dyDescent="0.35">
      <c r="B700" s="853">
        <v>380926.83465736767</v>
      </c>
    </row>
    <row r="701" spans="2:2" ht="15.5" x14ac:dyDescent="0.35">
      <c r="B701" s="853">
        <v>171082.46389860963</v>
      </c>
    </row>
    <row r="702" spans="2:2" ht="15.5" x14ac:dyDescent="0.35">
      <c r="B702" s="853">
        <v>268349.63400388841</v>
      </c>
    </row>
    <row r="703" spans="2:2" ht="15.5" x14ac:dyDescent="0.35">
      <c r="B703" s="853">
        <v>432333.49185620487</v>
      </c>
    </row>
    <row r="704" spans="2:2" ht="15.5" x14ac:dyDescent="0.35">
      <c r="B704" s="853">
        <v>261009.56013337843</v>
      </c>
    </row>
    <row r="705" spans="2:2" ht="15.5" x14ac:dyDescent="0.35">
      <c r="B705" s="853">
        <v>220566.49912222443</v>
      </c>
    </row>
    <row r="706" spans="2:2" ht="15.5" x14ac:dyDescent="0.35">
      <c r="B706" s="853">
        <v>565792.51930677379</v>
      </c>
    </row>
    <row r="707" spans="2:2" ht="15.5" x14ac:dyDescent="0.35">
      <c r="B707" s="853">
        <v>72266.933472791847</v>
      </c>
    </row>
    <row r="708" spans="2:2" ht="15.5" x14ac:dyDescent="0.35">
      <c r="B708" s="853">
        <v>310087.16579262301</v>
      </c>
    </row>
    <row r="709" spans="2:2" ht="15.5" x14ac:dyDescent="0.35">
      <c r="B709" s="853">
        <v>246413.65480607655</v>
      </c>
    </row>
    <row r="710" spans="2:2" ht="15.5" x14ac:dyDescent="0.35">
      <c r="B710" s="853">
        <v>434899.54559878219</v>
      </c>
    </row>
    <row r="711" spans="2:2" ht="15.5" x14ac:dyDescent="0.35">
      <c r="B711" s="853">
        <v>569871.38367576757</v>
      </c>
    </row>
    <row r="712" spans="2:2" ht="15.5" x14ac:dyDescent="0.35">
      <c r="B712" s="853">
        <v>298333.41234688379</v>
      </c>
    </row>
    <row r="713" spans="2:2" ht="15.5" x14ac:dyDescent="0.35">
      <c r="B713" s="853">
        <v>199963.25803699411</v>
      </c>
    </row>
    <row r="714" spans="2:2" ht="15.5" x14ac:dyDescent="0.35">
      <c r="B714" s="853">
        <v>368029.4268021285</v>
      </c>
    </row>
    <row r="715" spans="2:2" ht="15.5" x14ac:dyDescent="0.35">
      <c r="B715" s="853">
        <v>180094.10096715207</v>
      </c>
    </row>
    <row r="716" spans="2:2" ht="15.5" x14ac:dyDescent="0.35">
      <c r="B716" s="853">
        <v>379271.65372548008</v>
      </c>
    </row>
    <row r="717" spans="2:2" ht="15.5" x14ac:dyDescent="0.35">
      <c r="B717" s="853">
        <v>351146.65938177169</v>
      </c>
    </row>
    <row r="718" spans="2:2" ht="15.5" x14ac:dyDescent="0.35">
      <c r="B718" s="853">
        <v>237157.04884047509</v>
      </c>
    </row>
    <row r="719" spans="2:2" ht="15.5" x14ac:dyDescent="0.35">
      <c r="B719" s="853">
        <v>547408.09094820346</v>
      </c>
    </row>
    <row r="720" spans="2:2" ht="15.5" x14ac:dyDescent="0.35">
      <c r="B720" s="853">
        <v>294988.1409632474</v>
      </c>
    </row>
    <row r="721" spans="2:2" ht="15.5" x14ac:dyDescent="0.35">
      <c r="B721" s="853">
        <v>345834.3198828146</v>
      </c>
    </row>
    <row r="722" spans="2:2" ht="15.5" x14ac:dyDescent="0.35">
      <c r="B722" s="853">
        <v>448655.62134389585</v>
      </c>
    </row>
    <row r="723" spans="2:2" ht="15.5" x14ac:dyDescent="0.35">
      <c r="B723" s="853">
        <v>470309.25927127741</v>
      </c>
    </row>
    <row r="724" spans="2:2" ht="15.5" x14ac:dyDescent="0.35">
      <c r="B724" s="853">
        <v>195753.91915341193</v>
      </c>
    </row>
    <row r="725" spans="2:2" ht="15.5" x14ac:dyDescent="0.35">
      <c r="B725" s="853">
        <v>634675.46593888674</v>
      </c>
    </row>
    <row r="726" spans="2:2" ht="15.5" x14ac:dyDescent="0.35">
      <c r="B726" s="853">
        <v>19681.585112252618</v>
      </c>
    </row>
    <row r="727" spans="2:2" ht="15.5" x14ac:dyDescent="0.35">
      <c r="B727" s="853">
        <v>379907.00240562059</v>
      </c>
    </row>
    <row r="728" spans="2:2" ht="15.5" x14ac:dyDescent="0.35">
      <c r="B728" s="853">
        <v>78158.140534995488</v>
      </c>
    </row>
    <row r="729" spans="2:2" ht="15.5" x14ac:dyDescent="0.35">
      <c r="B729" s="853">
        <v>207622.81713203396</v>
      </c>
    </row>
    <row r="730" spans="2:2" ht="15.5" x14ac:dyDescent="0.35">
      <c r="B730" s="853">
        <v>359121.83525483037</v>
      </c>
    </row>
    <row r="731" spans="2:2" ht="15.5" x14ac:dyDescent="0.35">
      <c r="B731" s="853">
        <v>620103.93402512011</v>
      </c>
    </row>
    <row r="732" spans="2:2" ht="15.5" x14ac:dyDescent="0.35">
      <c r="B732" s="853">
        <v>312229.19463098655</v>
      </c>
    </row>
    <row r="733" spans="2:2" ht="15.5" x14ac:dyDescent="0.35">
      <c r="B733" s="853">
        <v>559403.48195377132</v>
      </c>
    </row>
    <row r="734" spans="2:2" ht="15.5" x14ac:dyDescent="0.35">
      <c r="B734" s="853">
        <v>303639.65658528684</v>
      </c>
    </row>
    <row r="735" spans="2:2" ht="15.5" x14ac:dyDescent="0.35">
      <c r="B735" s="853">
        <v>596192.56100656185</v>
      </c>
    </row>
    <row r="736" spans="2:2" ht="15.5" x14ac:dyDescent="0.35">
      <c r="B736" s="853">
        <v>457468.60242071131</v>
      </c>
    </row>
    <row r="737" spans="2:2" ht="15.5" x14ac:dyDescent="0.35">
      <c r="B737" s="853">
        <v>557053.09930398245</v>
      </c>
    </row>
    <row r="738" spans="2:2" ht="15.5" x14ac:dyDescent="0.35">
      <c r="B738" s="853">
        <v>483018.90183910023</v>
      </c>
    </row>
    <row r="739" spans="2:2" ht="15.5" x14ac:dyDescent="0.35">
      <c r="B739" s="853">
        <v>288775.54445257236</v>
      </c>
    </row>
    <row r="740" spans="2:2" ht="15.5" x14ac:dyDescent="0.35">
      <c r="B740" s="853">
        <v>287583.0454460482</v>
      </c>
    </row>
    <row r="741" spans="2:2" ht="15.5" x14ac:dyDescent="0.35">
      <c r="B741" s="853">
        <v>280552.05896542798</v>
      </c>
    </row>
    <row r="742" spans="2:2" ht="15.5" x14ac:dyDescent="0.35">
      <c r="B742" s="853">
        <v>511395.60973762744</v>
      </c>
    </row>
    <row r="743" spans="2:2" ht="15.5" x14ac:dyDescent="0.35">
      <c r="B743" s="853">
        <v>439387.61494348111</v>
      </c>
    </row>
    <row r="744" spans="2:2" ht="15.5" x14ac:dyDescent="0.35">
      <c r="B744" s="853">
        <v>454180.46450302709</v>
      </c>
    </row>
    <row r="745" spans="2:2" ht="15.5" x14ac:dyDescent="0.35">
      <c r="B745" s="853">
        <v>226498.62822097904</v>
      </c>
    </row>
    <row r="746" spans="2:2" ht="15.5" x14ac:dyDescent="0.35">
      <c r="B746" s="853">
        <v>323793.4590968315</v>
      </c>
    </row>
    <row r="747" spans="2:2" ht="15.5" x14ac:dyDescent="0.35">
      <c r="B747" s="853">
        <v>544444.35890910425</v>
      </c>
    </row>
    <row r="748" spans="2:2" ht="15.5" x14ac:dyDescent="0.35">
      <c r="B748" s="853">
        <v>243803.91463051506</v>
      </c>
    </row>
    <row r="749" spans="2:2" ht="15.5" x14ac:dyDescent="0.35">
      <c r="B749" s="853">
        <v>146280.26654577907</v>
      </c>
    </row>
    <row r="750" spans="2:2" ht="15.5" x14ac:dyDescent="0.35">
      <c r="B750" s="853">
        <v>361484.0664894355</v>
      </c>
    </row>
    <row r="751" spans="2:2" ht="15.5" x14ac:dyDescent="0.35">
      <c r="B751" s="853">
        <v>389541.76259442797</v>
      </c>
    </row>
    <row r="752" spans="2:2" ht="15.5" x14ac:dyDescent="0.35">
      <c r="B752" s="853">
        <v>474468.81916190672</v>
      </c>
    </row>
    <row r="753" spans="2:2" ht="15.5" x14ac:dyDescent="0.35">
      <c r="B753" s="853">
        <v>331930.81203196407</v>
      </c>
    </row>
    <row r="754" spans="2:2" ht="15.5" x14ac:dyDescent="0.35">
      <c r="B754" s="853">
        <v>216383.83116431945</v>
      </c>
    </row>
    <row r="755" spans="2:2" ht="15.5" x14ac:dyDescent="0.35">
      <c r="B755" s="853">
        <v>251545.97607022346</v>
      </c>
    </row>
    <row r="756" spans="2:2" ht="15.5" x14ac:dyDescent="0.35">
      <c r="B756" s="853">
        <v>367065.36372437689</v>
      </c>
    </row>
    <row r="757" spans="2:2" ht="15.5" x14ac:dyDescent="0.35">
      <c r="B757" s="853">
        <v>30667.435165998202</v>
      </c>
    </row>
    <row r="758" spans="2:2" ht="15.5" x14ac:dyDescent="0.35">
      <c r="B758" s="853">
        <v>295108.84814607044</v>
      </c>
    </row>
    <row r="759" spans="2:2" ht="15.5" x14ac:dyDescent="0.35">
      <c r="B759" s="853">
        <v>200837.24501067746</v>
      </c>
    </row>
    <row r="760" spans="2:2" ht="15.5" x14ac:dyDescent="0.35">
      <c r="B760" s="853">
        <v>553403.71430110815</v>
      </c>
    </row>
    <row r="761" spans="2:2" ht="15.5" x14ac:dyDescent="0.35">
      <c r="B761" s="853">
        <v>334756.34537514526</v>
      </c>
    </row>
    <row r="762" spans="2:2" ht="15.5" x14ac:dyDescent="0.35">
      <c r="B762" s="853">
        <v>544668.48753405293</v>
      </c>
    </row>
    <row r="763" spans="2:2" ht="15.5" x14ac:dyDescent="0.35">
      <c r="B763" s="853">
        <v>258918.43040081975</v>
      </c>
    </row>
    <row r="764" spans="2:2" ht="15.5" x14ac:dyDescent="0.35">
      <c r="B764" s="853">
        <v>295367.49561239139</v>
      </c>
    </row>
    <row r="765" spans="2:2" ht="15.5" x14ac:dyDescent="0.35">
      <c r="B765" s="853">
        <v>624083.99760127743</v>
      </c>
    </row>
    <row r="766" spans="2:2" ht="15.5" x14ac:dyDescent="0.35">
      <c r="B766" s="853">
        <v>49375.424949144544</v>
      </c>
    </row>
    <row r="767" spans="2:2" ht="15.5" x14ac:dyDescent="0.35">
      <c r="B767" s="853">
        <v>241607.25607802076</v>
      </c>
    </row>
    <row r="768" spans="2:2" ht="15.5" x14ac:dyDescent="0.35">
      <c r="B768" s="853">
        <v>348937.44494015793</v>
      </c>
    </row>
    <row r="769" spans="2:2" ht="15.5" x14ac:dyDescent="0.35">
      <c r="B769" s="853">
        <v>219479.8142937856</v>
      </c>
    </row>
    <row r="770" spans="2:2" ht="15.5" x14ac:dyDescent="0.35">
      <c r="B770" s="853">
        <v>342901.77081272588</v>
      </c>
    </row>
    <row r="771" spans="2:2" ht="15.5" x14ac:dyDescent="0.35">
      <c r="B771" s="853">
        <v>344857.32505631266</v>
      </c>
    </row>
    <row r="772" spans="2:2" ht="15.5" x14ac:dyDescent="0.35">
      <c r="B772" s="853">
        <v>341001.990952519</v>
      </c>
    </row>
    <row r="773" spans="2:2" ht="15.5" x14ac:dyDescent="0.35">
      <c r="B773" s="853">
        <v>450050.80945560616</v>
      </c>
    </row>
    <row r="774" spans="2:2" ht="15.5" x14ac:dyDescent="0.35">
      <c r="B774" s="853">
        <v>206479.22274842954</v>
      </c>
    </row>
    <row r="775" spans="2:2" ht="15.5" x14ac:dyDescent="0.35">
      <c r="B775" s="853">
        <v>307052.9046285341</v>
      </c>
    </row>
    <row r="776" spans="2:2" ht="15.5" x14ac:dyDescent="0.35">
      <c r="B776" s="853">
        <v>333287.08952869847</v>
      </c>
    </row>
    <row r="777" spans="2:2" ht="15.5" x14ac:dyDescent="0.35">
      <c r="B777" s="853">
        <v>351290.50200963294</v>
      </c>
    </row>
    <row r="778" spans="2:2" ht="15.5" x14ac:dyDescent="0.35">
      <c r="B778" s="853">
        <v>381275.56205102516</v>
      </c>
    </row>
    <row r="779" spans="2:2" ht="15.5" x14ac:dyDescent="0.35">
      <c r="B779" s="853">
        <v>-5488.6797210797949</v>
      </c>
    </row>
    <row r="780" spans="2:2" ht="15.5" x14ac:dyDescent="0.35">
      <c r="B780" s="853">
        <v>105888.72400228417</v>
      </c>
    </row>
    <row r="781" spans="2:2" ht="15.5" x14ac:dyDescent="0.35">
      <c r="B781" s="853">
        <v>156243.89107510555</v>
      </c>
    </row>
    <row r="782" spans="2:2" ht="15.5" x14ac:dyDescent="0.35">
      <c r="B782" s="853">
        <v>309312.57561455597</v>
      </c>
    </row>
    <row r="783" spans="2:2" ht="15.5" x14ac:dyDescent="0.35">
      <c r="B783" s="853">
        <v>418232.64734403946</v>
      </c>
    </row>
    <row r="784" spans="2:2" ht="15.5" x14ac:dyDescent="0.35">
      <c r="B784" s="853">
        <v>112502.27291477604</v>
      </c>
    </row>
    <row r="785" spans="2:2" ht="15.5" x14ac:dyDescent="0.35">
      <c r="B785" s="853">
        <v>520169.02308405942</v>
      </c>
    </row>
    <row r="786" spans="2:2" ht="15.5" x14ac:dyDescent="0.35">
      <c r="B786" s="853">
        <v>260019.22958848623</v>
      </c>
    </row>
    <row r="787" spans="2:2" ht="15.5" x14ac:dyDescent="0.35">
      <c r="B787" s="853">
        <v>370736.29211989057</v>
      </c>
    </row>
    <row r="788" spans="2:2" ht="15.5" x14ac:dyDescent="0.35">
      <c r="B788" s="853">
        <v>304556.46079822542</v>
      </c>
    </row>
    <row r="789" spans="2:2" ht="15.5" x14ac:dyDescent="0.35">
      <c r="B789" s="853">
        <v>257958.88180558485</v>
      </c>
    </row>
    <row r="790" spans="2:2" ht="15.5" x14ac:dyDescent="0.35">
      <c r="B790" s="853">
        <v>165863.73641849577</v>
      </c>
    </row>
    <row r="791" spans="2:2" ht="15.5" x14ac:dyDescent="0.35">
      <c r="B791" s="853">
        <v>205033.35163053253</v>
      </c>
    </row>
    <row r="792" spans="2:2" ht="15.5" x14ac:dyDescent="0.35">
      <c r="B792" s="853">
        <v>261340.18605198749</v>
      </c>
    </row>
    <row r="793" spans="2:2" ht="15.5" x14ac:dyDescent="0.35">
      <c r="B793" s="853">
        <v>366631.33888091531</v>
      </c>
    </row>
    <row r="794" spans="2:2" ht="15.5" x14ac:dyDescent="0.35">
      <c r="B794" s="853">
        <v>78461.996981670323</v>
      </c>
    </row>
    <row r="795" spans="2:2" ht="15.5" x14ac:dyDescent="0.35">
      <c r="B795" s="853">
        <v>179511.50308252609</v>
      </c>
    </row>
    <row r="796" spans="2:2" ht="15.5" x14ac:dyDescent="0.35">
      <c r="B796" s="853">
        <v>160345.043026862</v>
      </c>
    </row>
    <row r="797" spans="2:2" ht="15.5" x14ac:dyDescent="0.35">
      <c r="B797" s="853">
        <v>211537.79983942476</v>
      </c>
    </row>
    <row r="798" spans="2:2" ht="15.5" x14ac:dyDescent="0.35">
      <c r="B798" s="853">
        <v>368470.76997799927</v>
      </c>
    </row>
    <row r="799" spans="2:2" ht="15.5" x14ac:dyDescent="0.35">
      <c r="B799" s="853">
        <v>341548.85905400832</v>
      </c>
    </row>
    <row r="800" spans="2:2" ht="15.5" x14ac:dyDescent="0.35">
      <c r="B800" s="853">
        <v>287005.17530099623</v>
      </c>
    </row>
    <row r="801" spans="2:2" ht="15.5" x14ac:dyDescent="0.35">
      <c r="B801" s="853">
        <v>463420.76587310631</v>
      </c>
    </row>
    <row r="802" spans="2:2" ht="15.5" x14ac:dyDescent="0.35">
      <c r="B802" s="853">
        <v>263878.69018745975</v>
      </c>
    </row>
    <row r="803" spans="2:2" ht="15.5" x14ac:dyDescent="0.35">
      <c r="B803" s="853">
        <v>408837.93988368014</v>
      </c>
    </row>
    <row r="804" spans="2:2" ht="15.5" x14ac:dyDescent="0.35">
      <c r="B804" s="853">
        <v>283979.72554536117</v>
      </c>
    </row>
    <row r="805" spans="2:2" ht="15.5" x14ac:dyDescent="0.35">
      <c r="B805" s="853">
        <v>555548.28877083806</v>
      </c>
    </row>
    <row r="806" spans="2:2" ht="15.5" x14ac:dyDescent="0.35">
      <c r="B806" s="853">
        <v>186273.25246735365</v>
      </c>
    </row>
    <row r="807" spans="2:2" ht="15.5" x14ac:dyDescent="0.35">
      <c r="B807" s="853">
        <v>377704.25234529458</v>
      </c>
    </row>
    <row r="808" spans="2:2" ht="15.5" x14ac:dyDescent="0.35">
      <c r="B808" s="853">
        <v>-50570.253166531431</v>
      </c>
    </row>
    <row r="809" spans="2:2" ht="15.5" x14ac:dyDescent="0.35">
      <c r="B809" s="853">
        <v>308092.27148071787</v>
      </c>
    </row>
    <row r="810" spans="2:2" ht="15.5" x14ac:dyDescent="0.35">
      <c r="B810" s="853">
        <v>593559.11391210591</v>
      </c>
    </row>
    <row r="811" spans="2:2" ht="15.5" x14ac:dyDescent="0.35">
      <c r="B811" s="853">
        <v>195438.85964250489</v>
      </c>
    </row>
    <row r="812" spans="2:2" ht="15.5" x14ac:dyDescent="0.35">
      <c r="B812" s="853">
        <v>498694.03613134421</v>
      </c>
    </row>
    <row r="813" spans="2:2" ht="15.5" x14ac:dyDescent="0.35">
      <c r="B813" s="853">
        <v>533920.22686562885</v>
      </c>
    </row>
    <row r="814" spans="2:2" ht="15.5" x14ac:dyDescent="0.35">
      <c r="B814" s="853">
        <v>258894.74176470388</v>
      </c>
    </row>
    <row r="815" spans="2:2" ht="15.5" x14ac:dyDescent="0.35">
      <c r="B815" s="853">
        <v>416526.57090611913</v>
      </c>
    </row>
    <row r="816" spans="2:2" ht="15.5" x14ac:dyDescent="0.35">
      <c r="B816" s="853">
        <v>441931.01631699916</v>
      </c>
    </row>
    <row r="817" spans="2:2" ht="15.5" x14ac:dyDescent="0.35">
      <c r="B817" s="853">
        <v>-64016.963882604599</v>
      </c>
    </row>
    <row r="818" spans="2:2" ht="15.5" x14ac:dyDescent="0.35">
      <c r="B818" s="853">
        <v>220105.92720948806</v>
      </c>
    </row>
    <row r="819" spans="2:2" ht="15.5" x14ac:dyDescent="0.35">
      <c r="B819" s="853">
        <v>285006.94129900058</v>
      </c>
    </row>
    <row r="820" spans="2:2" ht="15.5" x14ac:dyDescent="0.35">
      <c r="B820" s="853">
        <v>302403.91107570974</v>
      </c>
    </row>
    <row r="821" spans="2:2" ht="15.5" x14ac:dyDescent="0.35">
      <c r="B821" s="853">
        <v>547841.4556663587</v>
      </c>
    </row>
    <row r="822" spans="2:2" ht="15.5" x14ac:dyDescent="0.35">
      <c r="B822" s="853">
        <v>348593.2409358208</v>
      </c>
    </row>
    <row r="823" spans="2:2" ht="15.5" x14ac:dyDescent="0.35">
      <c r="B823" s="853">
        <v>265936.11662163131</v>
      </c>
    </row>
    <row r="824" spans="2:2" ht="15.5" x14ac:dyDescent="0.35">
      <c r="B824" s="853">
        <v>253737.48528392141</v>
      </c>
    </row>
    <row r="825" spans="2:2" ht="15.5" x14ac:dyDescent="0.35">
      <c r="B825" s="853">
        <v>517143.43507531565</v>
      </c>
    </row>
    <row r="826" spans="2:2" ht="15.5" x14ac:dyDescent="0.35">
      <c r="B826" s="853">
        <v>326567.0473761356</v>
      </c>
    </row>
    <row r="827" spans="2:2" ht="15.5" x14ac:dyDescent="0.35">
      <c r="B827" s="853">
        <v>165327.49024894478</v>
      </c>
    </row>
    <row r="828" spans="2:2" ht="15.5" x14ac:dyDescent="0.35">
      <c r="B828" s="853">
        <v>482446.54905053088</v>
      </c>
    </row>
    <row r="829" spans="2:2" ht="15.5" x14ac:dyDescent="0.35">
      <c r="B829" s="853">
        <v>317584.42661933566</v>
      </c>
    </row>
    <row r="830" spans="2:2" ht="15.5" x14ac:dyDescent="0.35">
      <c r="B830" s="853">
        <v>364508.88219782652</v>
      </c>
    </row>
    <row r="831" spans="2:2" ht="15.5" x14ac:dyDescent="0.35">
      <c r="B831" s="853">
        <v>501233.77638773021</v>
      </c>
    </row>
    <row r="832" spans="2:2" ht="15.5" x14ac:dyDescent="0.35">
      <c r="B832" s="853">
        <v>179471.98941792949</v>
      </c>
    </row>
    <row r="833" spans="2:2" ht="15.5" x14ac:dyDescent="0.35">
      <c r="B833" s="853">
        <v>250912.35562820142</v>
      </c>
    </row>
    <row r="834" spans="2:2" ht="15.5" x14ac:dyDescent="0.35">
      <c r="B834" s="853">
        <v>317511.46478002792</v>
      </c>
    </row>
    <row r="835" spans="2:2" ht="15.5" x14ac:dyDescent="0.35">
      <c r="B835" s="853">
        <v>73581.251278926487</v>
      </c>
    </row>
    <row r="836" spans="2:2" ht="15.5" x14ac:dyDescent="0.35">
      <c r="B836" s="853">
        <v>251743.84816140105</v>
      </c>
    </row>
    <row r="837" spans="2:2" ht="15.5" x14ac:dyDescent="0.35">
      <c r="B837" s="853">
        <v>198532.17938083052</v>
      </c>
    </row>
    <row r="838" spans="2:2" ht="15.5" x14ac:dyDescent="0.35">
      <c r="B838" s="853">
        <v>171539.65623450026</v>
      </c>
    </row>
    <row r="839" spans="2:2" ht="15.5" x14ac:dyDescent="0.35">
      <c r="B839" s="853">
        <v>315136.36949943664</v>
      </c>
    </row>
    <row r="840" spans="2:2" ht="15.5" x14ac:dyDescent="0.35">
      <c r="B840" s="853">
        <v>89973.656531490604</v>
      </c>
    </row>
    <row r="841" spans="2:2" ht="15.5" x14ac:dyDescent="0.35">
      <c r="B841" s="853">
        <v>328792.35184752656</v>
      </c>
    </row>
    <row r="842" spans="2:2" ht="15.5" x14ac:dyDescent="0.35">
      <c r="B842" s="853">
        <v>446723.08425918</v>
      </c>
    </row>
    <row r="843" spans="2:2" ht="15.5" x14ac:dyDescent="0.35">
      <c r="B843" s="853">
        <v>272171.29361730767</v>
      </c>
    </row>
    <row r="844" spans="2:2" ht="15.5" x14ac:dyDescent="0.35">
      <c r="B844" s="853">
        <v>171379.78180921244</v>
      </c>
    </row>
    <row r="845" spans="2:2" ht="15.5" x14ac:dyDescent="0.35">
      <c r="B845" s="853">
        <v>326302.83438963169</v>
      </c>
    </row>
    <row r="846" spans="2:2" ht="15.5" x14ac:dyDescent="0.35">
      <c r="B846" s="853">
        <v>194439.48247839138</v>
      </c>
    </row>
    <row r="847" spans="2:2" ht="15.5" x14ac:dyDescent="0.35">
      <c r="B847" s="853">
        <v>527491.17650559568</v>
      </c>
    </row>
    <row r="848" spans="2:2" ht="15.5" x14ac:dyDescent="0.35">
      <c r="B848" s="853">
        <v>151524.24289704987</v>
      </c>
    </row>
    <row r="849" spans="2:2" ht="15.5" x14ac:dyDescent="0.35">
      <c r="B849" s="853">
        <v>231785.82559347906</v>
      </c>
    </row>
    <row r="850" spans="2:2" ht="15.5" x14ac:dyDescent="0.35">
      <c r="B850" s="853">
        <v>198475.47218920858</v>
      </c>
    </row>
    <row r="851" spans="2:2" ht="15.5" x14ac:dyDescent="0.35">
      <c r="B851" s="853">
        <v>269752.42614197102</v>
      </c>
    </row>
    <row r="852" spans="2:2" ht="15.5" x14ac:dyDescent="0.35">
      <c r="B852" s="853">
        <v>315754.59146254853</v>
      </c>
    </row>
    <row r="853" spans="2:2" ht="15.5" x14ac:dyDescent="0.35">
      <c r="B853" s="853">
        <v>130378.10651919372</v>
      </c>
    </row>
    <row r="854" spans="2:2" ht="15.5" x14ac:dyDescent="0.35">
      <c r="B854" s="853">
        <v>624761.50349811453</v>
      </c>
    </row>
    <row r="855" spans="2:2" ht="15.5" x14ac:dyDescent="0.35">
      <c r="B855" s="853">
        <v>576584.29455720261</v>
      </c>
    </row>
    <row r="856" spans="2:2" ht="15.5" x14ac:dyDescent="0.35">
      <c r="B856" s="853">
        <v>165533.3591507138</v>
      </c>
    </row>
    <row r="857" spans="2:2" ht="15.5" x14ac:dyDescent="0.35">
      <c r="B857" s="853">
        <v>525142.70734600665</v>
      </c>
    </row>
    <row r="858" spans="2:2" ht="15.5" x14ac:dyDescent="0.35">
      <c r="B858" s="853">
        <v>478956.82390826114</v>
      </c>
    </row>
    <row r="859" spans="2:2" ht="15.5" x14ac:dyDescent="0.35">
      <c r="B859" s="853">
        <v>299891.83395232278</v>
      </c>
    </row>
    <row r="860" spans="2:2" ht="15.5" x14ac:dyDescent="0.35">
      <c r="B860" s="853">
        <v>333944.24704248534</v>
      </c>
    </row>
    <row r="861" spans="2:2" ht="15.5" x14ac:dyDescent="0.35">
      <c r="B861" s="853">
        <v>315324.5844441902</v>
      </c>
    </row>
    <row r="862" spans="2:2" ht="15.5" x14ac:dyDescent="0.35">
      <c r="B862" s="853">
        <v>336624.85166815267</v>
      </c>
    </row>
    <row r="863" spans="2:2" ht="15.5" x14ac:dyDescent="0.35">
      <c r="B863" s="853">
        <v>214657.35695869205</v>
      </c>
    </row>
    <row r="864" spans="2:2" ht="15.5" x14ac:dyDescent="0.35">
      <c r="B864" s="853">
        <v>180685.7502365119</v>
      </c>
    </row>
    <row r="865" spans="2:2" ht="15.5" x14ac:dyDescent="0.35">
      <c r="B865" s="853">
        <v>143358.63331344293</v>
      </c>
    </row>
    <row r="866" spans="2:2" ht="15.5" x14ac:dyDescent="0.35">
      <c r="B866" s="853">
        <v>563354.69236601854</v>
      </c>
    </row>
    <row r="867" spans="2:2" ht="15.5" x14ac:dyDescent="0.35">
      <c r="B867" s="853">
        <v>392761.85339998058</v>
      </c>
    </row>
    <row r="868" spans="2:2" ht="15.5" x14ac:dyDescent="0.35">
      <c r="B868" s="853">
        <v>516122.94545136072</v>
      </c>
    </row>
    <row r="869" spans="2:2" ht="15.5" x14ac:dyDescent="0.35">
      <c r="B869" s="853">
        <v>198737.78199400392</v>
      </c>
    </row>
    <row r="870" spans="2:2" ht="15.5" x14ac:dyDescent="0.35">
      <c r="B870" s="853">
        <v>278884.26854484674</v>
      </c>
    </row>
    <row r="871" spans="2:2" ht="15.5" x14ac:dyDescent="0.35">
      <c r="B871" s="853">
        <v>202496.01451968725</v>
      </c>
    </row>
    <row r="872" spans="2:2" ht="15.5" x14ac:dyDescent="0.35">
      <c r="B872" s="853">
        <v>485594.24048001284</v>
      </c>
    </row>
    <row r="873" spans="2:2" ht="15.5" x14ac:dyDescent="0.35">
      <c r="B873" s="853">
        <v>3534.95661452989</v>
      </c>
    </row>
    <row r="874" spans="2:2" ht="15.5" x14ac:dyDescent="0.35">
      <c r="B874" s="853">
        <v>355723.58905730624</v>
      </c>
    </row>
    <row r="875" spans="2:2" ht="15.5" x14ac:dyDescent="0.35">
      <c r="B875" s="853">
        <v>14180.409418924783</v>
      </c>
    </row>
    <row r="876" spans="2:2" ht="15.5" x14ac:dyDescent="0.35">
      <c r="B876" s="853">
        <v>251340.861674263</v>
      </c>
    </row>
    <row r="877" spans="2:2" ht="15.5" x14ac:dyDescent="0.35">
      <c r="B877" s="853">
        <v>251728.85488515245</v>
      </c>
    </row>
    <row r="878" spans="2:2" ht="15.5" x14ac:dyDescent="0.35">
      <c r="B878" s="853">
        <v>368544.61108695727</v>
      </c>
    </row>
    <row r="879" spans="2:2" ht="15.5" x14ac:dyDescent="0.35">
      <c r="B879" s="853">
        <v>328041.64323676471</v>
      </c>
    </row>
    <row r="880" spans="2:2" ht="15.5" x14ac:dyDescent="0.35">
      <c r="B880" s="853">
        <v>431305.5165067229</v>
      </c>
    </row>
    <row r="881" spans="2:2" ht="15.5" x14ac:dyDescent="0.35">
      <c r="B881" s="853">
        <v>192495.34943972778</v>
      </c>
    </row>
    <row r="882" spans="2:2" ht="15.5" x14ac:dyDescent="0.35">
      <c r="B882" s="853">
        <v>388543.7009135859</v>
      </c>
    </row>
    <row r="883" spans="2:2" ht="15.5" x14ac:dyDescent="0.35">
      <c r="B883" s="853">
        <v>264486.49742597662</v>
      </c>
    </row>
    <row r="884" spans="2:2" ht="15.5" x14ac:dyDescent="0.35">
      <c r="B884" s="853">
        <v>355997.34526241309</v>
      </c>
    </row>
    <row r="885" spans="2:2" ht="15.5" x14ac:dyDescent="0.35">
      <c r="B885" s="853">
        <v>243612.72648909944</v>
      </c>
    </row>
    <row r="886" spans="2:2" ht="15.5" x14ac:dyDescent="0.35">
      <c r="B886" s="853">
        <v>59699.413707250438</v>
      </c>
    </row>
    <row r="887" spans="2:2" ht="15.5" x14ac:dyDescent="0.35">
      <c r="B887" s="853">
        <v>40742.149542431696</v>
      </c>
    </row>
    <row r="888" spans="2:2" ht="15.5" x14ac:dyDescent="0.35">
      <c r="B888" s="853">
        <v>325631.99432617816</v>
      </c>
    </row>
    <row r="889" spans="2:2" ht="15.5" x14ac:dyDescent="0.35">
      <c r="B889" s="853">
        <v>64730.874278730837</v>
      </c>
    </row>
    <row r="890" spans="2:2" ht="15.5" x14ac:dyDescent="0.35">
      <c r="B890" s="853">
        <v>469945.43427306582</v>
      </c>
    </row>
    <row r="891" spans="2:2" ht="15.5" x14ac:dyDescent="0.35">
      <c r="B891" s="853">
        <v>374626.66014886741</v>
      </c>
    </row>
    <row r="892" spans="2:2" ht="15.5" x14ac:dyDescent="0.35">
      <c r="B892" s="853">
        <v>149225.02957566202</v>
      </c>
    </row>
    <row r="893" spans="2:2" ht="15.5" x14ac:dyDescent="0.35">
      <c r="B893" s="853">
        <v>435307.82707143389</v>
      </c>
    </row>
    <row r="894" spans="2:2" ht="15.5" x14ac:dyDescent="0.35">
      <c r="B894" s="853">
        <v>329449.29633987165</v>
      </c>
    </row>
    <row r="895" spans="2:2" ht="15.5" x14ac:dyDescent="0.35">
      <c r="B895" s="853">
        <v>453252.40698960051</v>
      </c>
    </row>
    <row r="896" spans="2:2" ht="15.5" x14ac:dyDescent="0.35">
      <c r="B896" s="853">
        <v>208137.46474049019</v>
      </c>
    </row>
    <row r="897" spans="2:2" ht="15.5" x14ac:dyDescent="0.35">
      <c r="B897" s="853">
        <v>277884.44697428518</v>
      </c>
    </row>
    <row r="898" spans="2:2" ht="15.5" x14ac:dyDescent="0.35">
      <c r="B898" s="853">
        <v>347966.88223106682</v>
      </c>
    </row>
    <row r="899" spans="2:2" ht="15.5" x14ac:dyDescent="0.35">
      <c r="B899" s="853">
        <v>305591.74180473201</v>
      </c>
    </row>
    <row r="900" spans="2:2" ht="15.5" x14ac:dyDescent="0.35">
      <c r="B900" s="853">
        <v>373628.00247388461</v>
      </c>
    </row>
    <row r="901" spans="2:2" ht="15.5" x14ac:dyDescent="0.35">
      <c r="B901" s="853">
        <v>247912.09687455845</v>
      </c>
    </row>
    <row r="902" spans="2:2" ht="15.5" x14ac:dyDescent="0.35">
      <c r="B902" s="853">
        <v>173613.13593035136</v>
      </c>
    </row>
    <row r="903" spans="2:2" ht="15.5" x14ac:dyDescent="0.35">
      <c r="B903" s="853">
        <v>10196.258011065702</v>
      </c>
    </row>
    <row r="904" spans="2:2" ht="15.5" x14ac:dyDescent="0.35">
      <c r="B904" s="853">
        <v>380551.02517592482</v>
      </c>
    </row>
    <row r="905" spans="2:2" ht="15.5" x14ac:dyDescent="0.35">
      <c r="B905" s="853">
        <v>289240.11625245918</v>
      </c>
    </row>
    <row r="906" spans="2:2" ht="15.5" x14ac:dyDescent="0.35">
      <c r="B906" s="853">
        <v>420572.39397766488</v>
      </c>
    </row>
    <row r="907" spans="2:2" ht="15.5" x14ac:dyDescent="0.35">
      <c r="B907" s="853">
        <v>362947.87937738339</v>
      </c>
    </row>
    <row r="908" spans="2:2" ht="15.5" x14ac:dyDescent="0.35">
      <c r="B908" s="853">
        <v>207532.78719101701</v>
      </c>
    </row>
    <row r="909" spans="2:2" ht="15.5" x14ac:dyDescent="0.35">
      <c r="B909" s="853">
        <v>374177.44641499082</v>
      </c>
    </row>
    <row r="910" spans="2:2" ht="15.5" x14ac:dyDescent="0.35">
      <c r="B910" s="853">
        <v>364449.44354648952</v>
      </c>
    </row>
    <row r="911" spans="2:2" ht="15.5" x14ac:dyDescent="0.35">
      <c r="B911" s="853">
        <v>333534.71636862919</v>
      </c>
    </row>
    <row r="912" spans="2:2" ht="15.5" x14ac:dyDescent="0.35">
      <c r="B912" s="853">
        <v>169254.61674159471</v>
      </c>
    </row>
    <row r="913" spans="2:2" ht="15.5" x14ac:dyDescent="0.35">
      <c r="B913" s="853">
        <v>440409.09343792876</v>
      </c>
    </row>
    <row r="914" spans="2:2" ht="15.5" x14ac:dyDescent="0.35">
      <c r="B914" s="853">
        <v>169382.73322540746</v>
      </c>
    </row>
    <row r="915" spans="2:2" ht="15.5" x14ac:dyDescent="0.35">
      <c r="B915" s="853">
        <v>278782.31165829871</v>
      </c>
    </row>
    <row r="916" spans="2:2" ht="15.5" x14ac:dyDescent="0.35">
      <c r="B916" s="853">
        <v>379594.11549198674</v>
      </c>
    </row>
    <row r="917" spans="2:2" ht="15.5" x14ac:dyDescent="0.35">
      <c r="B917" s="853">
        <v>545052.00720003573</v>
      </c>
    </row>
    <row r="918" spans="2:2" ht="15.5" x14ac:dyDescent="0.35">
      <c r="B918" s="853">
        <v>456357.08510830451</v>
      </c>
    </row>
    <row r="919" spans="2:2" ht="15.5" x14ac:dyDescent="0.35">
      <c r="B919" s="853">
        <v>363448.50267373363</v>
      </c>
    </row>
    <row r="920" spans="2:2" ht="15.5" x14ac:dyDescent="0.35">
      <c r="B920" s="853">
        <v>233700.9566104564</v>
      </c>
    </row>
    <row r="921" spans="2:2" ht="15.5" x14ac:dyDescent="0.35">
      <c r="B921" s="853">
        <v>214726.82770888836</v>
      </c>
    </row>
    <row r="922" spans="2:2" ht="15.5" x14ac:dyDescent="0.35">
      <c r="B922" s="853">
        <v>397272.55664543918</v>
      </c>
    </row>
    <row r="923" spans="2:2" ht="15.5" x14ac:dyDescent="0.35">
      <c r="B923" s="853">
        <v>121934.582434332</v>
      </c>
    </row>
    <row r="924" spans="2:2" ht="15.5" x14ac:dyDescent="0.35">
      <c r="B924" s="853">
        <v>428598.0910409019</v>
      </c>
    </row>
    <row r="925" spans="2:2" ht="15.5" x14ac:dyDescent="0.35">
      <c r="B925" s="853">
        <v>382075.86816220364</v>
      </c>
    </row>
    <row r="926" spans="2:2" ht="15.5" x14ac:dyDescent="0.35">
      <c r="B926" s="853">
        <v>312298.0156537657</v>
      </c>
    </row>
    <row r="927" spans="2:2" ht="15.5" x14ac:dyDescent="0.35">
      <c r="B927" s="853">
        <v>414672.73659482825</v>
      </c>
    </row>
    <row r="928" spans="2:2" ht="15.5" x14ac:dyDescent="0.35">
      <c r="B928" s="853">
        <v>311012.54431961401</v>
      </c>
    </row>
    <row r="929" spans="2:2" ht="15.5" x14ac:dyDescent="0.35">
      <c r="B929" s="853">
        <v>273816.29808818433</v>
      </c>
    </row>
    <row r="930" spans="2:2" ht="15.5" x14ac:dyDescent="0.35">
      <c r="B930" s="853">
        <v>288212.65559940686</v>
      </c>
    </row>
    <row r="931" spans="2:2" ht="15.5" x14ac:dyDescent="0.35">
      <c r="B931" s="853">
        <v>249519.43772691136</v>
      </c>
    </row>
    <row r="932" spans="2:2" ht="15.5" x14ac:dyDescent="0.35">
      <c r="B932" s="853">
        <v>378609.00882269879</v>
      </c>
    </row>
    <row r="933" spans="2:2" ht="15.5" x14ac:dyDescent="0.35">
      <c r="B933" s="853">
        <v>139982.04784616682</v>
      </c>
    </row>
    <row r="934" spans="2:2" ht="15.5" x14ac:dyDescent="0.35">
      <c r="B934" s="853">
        <v>358454.89467567595</v>
      </c>
    </row>
    <row r="935" spans="2:2" ht="15.5" x14ac:dyDescent="0.35">
      <c r="B935" s="853">
        <v>316192.84228461713</v>
      </c>
    </row>
    <row r="936" spans="2:2" ht="15.5" x14ac:dyDescent="0.35">
      <c r="B936" s="853">
        <v>250063.67069774552</v>
      </c>
    </row>
    <row r="937" spans="2:2" ht="15.5" x14ac:dyDescent="0.35">
      <c r="B937" s="853">
        <v>325344.99797077797</v>
      </c>
    </row>
    <row r="938" spans="2:2" ht="15.5" x14ac:dyDescent="0.35">
      <c r="B938" s="853">
        <v>214191.61258064644</v>
      </c>
    </row>
    <row r="939" spans="2:2" ht="15.5" x14ac:dyDescent="0.35">
      <c r="B939" s="853">
        <v>334163.80190758017</v>
      </c>
    </row>
    <row r="940" spans="2:2" ht="15.5" x14ac:dyDescent="0.35">
      <c r="B940" s="853">
        <v>232625.4600044218</v>
      </c>
    </row>
    <row r="941" spans="2:2" ht="15.5" x14ac:dyDescent="0.35">
      <c r="B941" s="853">
        <v>517230.62274445832</v>
      </c>
    </row>
    <row r="942" spans="2:2" ht="15.5" x14ac:dyDescent="0.35">
      <c r="B942" s="853">
        <v>313386.5369215426</v>
      </c>
    </row>
    <row r="943" spans="2:2" ht="15.5" x14ac:dyDescent="0.35">
      <c r="B943" s="853">
        <v>545920.43860280665</v>
      </c>
    </row>
    <row r="944" spans="2:2" ht="15.5" x14ac:dyDescent="0.35">
      <c r="B944" s="853">
        <v>444183.78013805102</v>
      </c>
    </row>
    <row r="945" spans="2:2" ht="15.5" x14ac:dyDescent="0.35">
      <c r="B945" s="853">
        <v>185785.30799005399</v>
      </c>
    </row>
    <row r="946" spans="2:2" ht="15.5" x14ac:dyDescent="0.35">
      <c r="B946" s="853">
        <v>318881.27304203791</v>
      </c>
    </row>
    <row r="947" spans="2:2" ht="15.5" x14ac:dyDescent="0.35">
      <c r="B947" s="853">
        <v>390258.28754279669</v>
      </c>
    </row>
    <row r="948" spans="2:2" ht="15.5" x14ac:dyDescent="0.35">
      <c r="B948" s="853">
        <v>281902.73724880646</v>
      </c>
    </row>
    <row r="949" spans="2:2" ht="15.5" x14ac:dyDescent="0.35">
      <c r="B949" s="853">
        <v>221957.13889367625</v>
      </c>
    </row>
    <row r="950" spans="2:2" ht="15.5" x14ac:dyDescent="0.35">
      <c r="B950" s="853">
        <v>30174.461923833183</v>
      </c>
    </row>
    <row r="951" spans="2:2" ht="15.5" x14ac:dyDescent="0.35">
      <c r="B951" s="853">
        <v>231446.52780261639</v>
      </c>
    </row>
    <row r="952" spans="2:2" ht="15.5" x14ac:dyDescent="0.35">
      <c r="B952" s="853">
        <v>189640.60859443664</v>
      </c>
    </row>
    <row r="953" spans="2:2" ht="15.5" x14ac:dyDescent="0.35">
      <c r="B953" s="853">
        <v>417754.34629521851</v>
      </c>
    </row>
    <row r="954" spans="2:2" ht="15.5" x14ac:dyDescent="0.35">
      <c r="B954" s="853">
        <v>399559.17836155847</v>
      </c>
    </row>
    <row r="955" spans="2:2" ht="15.5" x14ac:dyDescent="0.35">
      <c r="B955" s="853">
        <v>286853.31886930706</v>
      </c>
    </row>
    <row r="956" spans="2:2" ht="15.5" x14ac:dyDescent="0.35">
      <c r="B956" s="853">
        <v>301419.34353285632</v>
      </c>
    </row>
    <row r="957" spans="2:2" ht="15.5" x14ac:dyDescent="0.35">
      <c r="B957" s="853">
        <v>322356.26405220787</v>
      </c>
    </row>
    <row r="958" spans="2:2" ht="15.5" x14ac:dyDescent="0.35">
      <c r="B958" s="853">
        <v>162994.89245685999</v>
      </c>
    </row>
    <row r="959" spans="2:2" ht="15.5" x14ac:dyDescent="0.35">
      <c r="B959" s="853">
        <v>185733.02466179451</v>
      </c>
    </row>
    <row r="960" spans="2:2" ht="15.5" x14ac:dyDescent="0.35">
      <c r="B960" s="853">
        <v>465157.04803739878</v>
      </c>
    </row>
    <row r="961" spans="2:2" ht="15.5" x14ac:dyDescent="0.35">
      <c r="B961" s="853">
        <v>455031.96041030233</v>
      </c>
    </row>
    <row r="962" spans="2:2" ht="15.5" x14ac:dyDescent="0.35">
      <c r="B962" s="853">
        <v>495150.80846223264</v>
      </c>
    </row>
    <row r="963" spans="2:2" ht="15.5" x14ac:dyDescent="0.35">
      <c r="B963" s="853">
        <v>347100.63539276645</v>
      </c>
    </row>
    <row r="964" spans="2:2" ht="15.5" x14ac:dyDescent="0.35">
      <c r="B964" s="853">
        <v>222335.72180028947</v>
      </c>
    </row>
    <row r="965" spans="2:2" ht="15.5" x14ac:dyDescent="0.35">
      <c r="B965" s="853">
        <v>81315.508534773631</v>
      </c>
    </row>
    <row r="966" spans="2:2" ht="15.5" x14ac:dyDescent="0.35">
      <c r="B966" s="853">
        <v>100745.87924811429</v>
      </c>
    </row>
    <row r="967" spans="2:2" ht="15.5" x14ac:dyDescent="0.35">
      <c r="B967" s="853">
        <v>185323.54432026352</v>
      </c>
    </row>
    <row r="968" spans="2:2" ht="15.5" x14ac:dyDescent="0.35">
      <c r="B968" s="853">
        <v>165240.00982949117</v>
      </c>
    </row>
    <row r="969" spans="2:2" ht="15.5" x14ac:dyDescent="0.35">
      <c r="B969" s="853">
        <v>-137120.7644111579</v>
      </c>
    </row>
    <row r="970" spans="2:2" ht="15.5" x14ac:dyDescent="0.35">
      <c r="B970" s="853">
        <v>214888.84423575079</v>
      </c>
    </row>
    <row r="971" spans="2:2" ht="15.5" x14ac:dyDescent="0.35">
      <c r="B971" s="853">
        <v>182772.35906069295</v>
      </c>
    </row>
    <row r="972" spans="2:2" ht="15.5" x14ac:dyDescent="0.35">
      <c r="B972" s="853">
        <v>291878.96855275717</v>
      </c>
    </row>
    <row r="973" spans="2:2" ht="15.5" x14ac:dyDescent="0.35">
      <c r="B973" s="853">
        <v>300195.73883805593</v>
      </c>
    </row>
    <row r="974" spans="2:2" ht="15.5" x14ac:dyDescent="0.35">
      <c r="B974" s="853">
        <v>589537.13889707706</v>
      </c>
    </row>
    <row r="975" spans="2:2" ht="15.5" x14ac:dyDescent="0.35">
      <c r="B975" s="853">
        <v>175383.54436030943</v>
      </c>
    </row>
    <row r="976" spans="2:2" ht="15.5" x14ac:dyDescent="0.35">
      <c r="B976" s="853">
        <v>266663.33023670985</v>
      </c>
    </row>
    <row r="977" spans="2:2" ht="15.5" x14ac:dyDescent="0.35">
      <c r="B977" s="853">
        <v>175982.70274868092</v>
      </c>
    </row>
    <row r="978" spans="2:2" ht="15.5" x14ac:dyDescent="0.35">
      <c r="B978" s="853">
        <v>698424.77273135039</v>
      </c>
    </row>
    <row r="979" spans="2:2" ht="15.5" x14ac:dyDescent="0.35">
      <c r="B979" s="853">
        <v>220596.99885296708</v>
      </c>
    </row>
    <row r="980" spans="2:2" ht="15.5" x14ac:dyDescent="0.35">
      <c r="B980" s="853">
        <v>235606.38263346063</v>
      </c>
    </row>
    <row r="981" spans="2:2" ht="15.5" x14ac:dyDescent="0.35">
      <c r="B981" s="853">
        <v>555074.49186761444</v>
      </c>
    </row>
    <row r="982" spans="2:2" ht="15.5" x14ac:dyDescent="0.35">
      <c r="B982" s="853">
        <v>344705.97360228072</v>
      </c>
    </row>
    <row r="983" spans="2:2" ht="15.5" x14ac:dyDescent="0.35">
      <c r="B983" s="853">
        <v>135877.9662347167</v>
      </c>
    </row>
    <row r="984" spans="2:2" ht="15.5" x14ac:dyDescent="0.35">
      <c r="B984" s="853">
        <v>176057.46146791187</v>
      </c>
    </row>
    <row r="985" spans="2:2" ht="15.5" x14ac:dyDescent="0.35">
      <c r="B985" s="853">
        <v>394123.08025458566</v>
      </c>
    </row>
    <row r="986" spans="2:2" ht="15.5" x14ac:dyDescent="0.35">
      <c r="B986" s="853">
        <v>244917.79900646582</v>
      </c>
    </row>
    <row r="987" spans="2:2" ht="15.5" x14ac:dyDescent="0.35">
      <c r="B987" s="853">
        <v>165548.37459789909</v>
      </c>
    </row>
    <row r="988" spans="2:2" ht="15.5" x14ac:dyDescent="0.35">
      <c r="B988" s="853">
        <v>215618.42409797688</v>
      </c>
    </row>
    <row r="989" spans="2:2" ht="15.5" x14ac:dyDescent="0.35">
      <c r="B989" s="853">
        <v>238312.57551315927</v>
      </c>
    </row>
    <row r="990" spans="2:2" ht="15.5" x14ac:dyDescent="0.35">
      <c r="B990" s="853">
        <v>58681.327145862597</v>
      </c>
    </row>
    <row r="991" spans="2:2" ht="15.5" x14ac:dyDescent="0.35">
      <c r="B991" s="853">
        <v>347349.16285450978</v>
      </c>
    </row>
    <row r="992" spans="2:2" ht="15.5" x14ac:dyDescent="0.35">
      <c r="B992" s="853">
        <v>124469.14358778972</v>
      </c>
    </row>
    <row r="993" spans="2:2" ht="15.5" x14ac:dyDescent="0.35">
      <c r="B993" s="853">
        <v>270491.56292733346</v>
      </c>
    </row>
    <row r="994" spans="2:2" ht="15.5" x14ac:dyDescent="0.35">
      <c r="B994" s="853">
        <v>531923.65928282368</v>
      </c>
    </row>
    <row r="995" spans="2:2" ht="15.5" x14ac:dyDescent="0.35">
      <c r="B995" s="853">
        <v>263202.20268655458</v>
      </c>
    </row>
    <row r="996" spans="2:2" ht="15.5" x14ac:dyDescent="0.35">
      <c r="B996" s="853">
        <v>108931.49158774133</v>
      </c>
    </row>
    <row r="997" spans="2:2" ht="15.5" x14ac:dyDescent="0.35">
      <c r="B997" s="853">
        <v>396875.61796637409</v>
      </c>
    </row>
    <row r="998" spans="2:2" ht="15.5" x14ac:dyDescent="0.35">
      <c r="B998" s="853">
        <v>371459.44782492978</v>
      </c>
    </row>
    <row r="999" spans="2:2" ht="15.5" x14ac:dyDescent="0.35">
      <c r="B999" s="853">
        <v>442725.70016305539</v>
      </c>
    </row>
    <row r="1000" spans="2:2" ht="15.5" x14ac:dyDescent="0.35">
      <c r="B1000" s="853">
        <v>192169.18690574972</v>
      </c>
    </row>
    <row r="1001" spans="2:2" ht="15.5" x14ac:dyDescent="0.35">
      <c r="B1001" s="853">
        <v>276332.89692561951</v>
      </c>
    </row>
    <row r="1002" spans="2:2" ht="15.5" x14ac:dyDescent="0.35">
      <c r="B1002" s="853">
        <v>266568.94488257659</v>
      </c>
    </row>
    <row r="1003" spans="2:2" ht="15.5" x14ac:dyDescent="0.35">
      <c r="B1003" s="853">
        <v>298225.08746371721</v>
      </c>
    </row>
    <row r="1004" spans="2:2" ht="15.5" x14ac:dyDescent="0.35">
      <c r="B1004" s="853">
        <v>204258.28861622835</v>
      </c>
    </row>
    <row r="1005" spans="2:2" ht="15.5" x14ac:dyDescent="0.35">
      <c r="B1005" s="853">
        <v>311745.6281929409</v>
      </c>
    </row>
    <row r="1006" spans="2:2" ht="15.5" x14ac:dyDescent="0.35">
      <c r="B1006" s="853">
        <v>13077.021450743998</v>
      </c>
    </row>
    <row r="1007" spans="2:2" ht="15.5" x14ac:dyDescent="0.35">
      <c r="B1007" s="853">
        <v>211236.91282058883</v>
      </c>
    </row>
    <row r="1008" spans="2:2" ht="15.5" x14ac:dyDescent="0.35">
      <c r="B1008" s="853">
        <v>402786.65865504544</v>
      </c>
    </row>
    <row r="1009" spans="2:2" ht="15.5" x14ac:dyDescent="0.35">
      <c r="B1009" s="853">
        <v>390955.91201542277</v>
      </c>
    </row>
    <row r="1010" spans="2:2" ht="15.5" x14ac:dyDescent="0.35">
      <c r="B1010" s="853">
        <v>375591.98060781538</v>
      </c>
    </row>
    <row r="1011" spans="2:2" ht="15.5" x14ac:dyDescent="0.35">
      <c r="B1011" s="853">
        <v>346046.56478339602</v>
      </c>
    </row>
    <row r="1012" spans="2:2" ht="15.5" x14ac:dyDescent="0.35">
      <c r="B1012" s="853">
        <v>161055.92371153802</v>
      </c>
    </row>
    <row r="1013" spans="2:2" ht="15.5" x14ac:dyDescent="0.35">
      <c r="B1013" s="853">
        <v>380055.39886920725</v>
      </c>
    </row>
    <row r="1014" spans="2:2" ht="15.5" x14ac:dyDescent="0.35">
      <c r="B1014" s="853">
        <v>259775.90406982743</v>
      </c>
    </row>
    <row r="1015" spans="2:2" ht="15.5" x14ac:dyDescent="0.35">
      <c r="B1015" s="853">
        <v>308016.79204442294</v>
      </c>
    </row>
    <row r="1016" spans="2:2" ht="15.5" x14ac:dyDescent="0.35">
      <c r="B1016" s="853">
        <v>381447.66613717441</v>
      </c>
    </row>
    <row r="1017" spans="2:2" ht="15.5" x14ac:dyDescent="0.35">
      <c r="B1017" s="853">
        <v>132697.9902209139</v>
      </c>
    </row>
    <row r="1018" spans="2:2" ht="15.5" x14ac:dyDescent="0.35">
      <c r="B1018" s="853">
        <v>71259.002243263298</v>
      </c>
    </row>
    <row r="1019" spans="2:2" ht="15.5" x14ac:dyDescent="0.35">
      <c r="B1019" s="853">
        <v>168847.48288490594</v>
      </c>
    </row>
    <row r="1020" spans="2:2" ht="15.5" x14ac:dyDescent="0.35">
      <c r="B1020" s="853">
        <v>454875.34244490199</v>
      </c>
    </row>
    <row r="1021" spans="2:2" ht="15.5" x14ac:dyDescent="0.35">
      <c r="B1021" s="853">
        <v>195140.3277195883</v>
      </c>
    </row>
    <row r="1022" spans="2:2" ht="15.5" x14ac:dyDescent="0.35">
      <c r="B1022" s="853">
        <v>-37502.733740350988</v>
      </c>
    </row>
    <row r="1023" spans="2:2" ht="15.5" x14ac:dyDescent="0.35">
      <c r="B1023" s="853">
        <v>674316.72334109352</v>
      </c>
    </row>
    <row r="1024" spans="2:2" ht="15.5" x14ac:dyDescent="0.35">
      <c r="B1024" s="853">
        <v>386197.72810190683</v>
      </c>
    </row>
    <row r="1025" spans="2:2" ht="15.5" x14ac:dyDescent="0.35">
      <c r="B1025" s="853">
        <v>222453.49046784575</v>
      </c>
    </row>
    <row r="1026" spans="2:2" ht="15.5" x14ac:dyDescent="0.35">
      <c r="B1026" s="853">
        <v>250054.75722941745</v>
      </c>
    </row>
    <row r="1027" spans="2:2" ht="15.5" x14ac:dyDescent="0.35">
      <c r="B1027" s="853">
        <v>168869.42665890371</v>
      </c>
    </row>
    <row r="1028" spans="2:2" ht="15.5" x14ac:dyDescent="0.35">
      <c r="B1028" s="853">
        <v>208605.18245073565</v>
      </c>
    </row>
    <row r="1029" spans="2:2" ht="15.5" x14ac:dyDescent="0.35">
      <c r="B1029" s="853">
        <v>289895.13059408218</v>
      </c>
    </row>
    <row r="1030" spans="2:2" ht="15.5" x14ac:dyDescent="0.35">
      <c r="B1030" s="853">
        <v>443835.41157184436</v>
      </c>
    </row>
    <row r="1031" spans="2:2" ht="15.5" x14ac:dyDescent="0.35">
      <c r="B1031" s="853">
        <v>257698.3765560406</v>
      </c>
    </row>
    <row r="1032" spans="2:2" ht="15.5" x14ac:dyDescent="0.35">
      <c r="B1032" s="853">
        <v>509460.6102566676</v>
      </c>
    </row>
    <row r="1033" spans="2:2" ht="15.5" x14ac:dyDescent="0.35">
      <c r="B1033" s="853">
        <v>441613.63915647892</v>
      </c>
    </row>
    <row r="1034" spans="2:2" ht="15.5" x14ac:dyDescent="0.35">
      <c r="B1034" s="853">
        <v>270699.10458233778</v>
      </c>
    </row>
    <row r="1035" spans="2:2" ht="15.5" x14ac:dyDescent="0.35">
      <c r="B1035" s="853">
        <v>451243.9458558631</v>
      </c>
    </row>
    <row r="1036" spans="2:2" ht="15.5" x14ac:dyDescent="0.35">
      <c r="B1036" s="853">
        <v>445151.4800601005</v>
      </c>
    </row>
    <row r="1037" spans="2:2" ht="15.5" x14ac:dyDescent="0.35">
      <c r="B1037" s="853">
        <v>543079.58037166682</v>
      </c>
    </row>
    <row r="1038" spans="2:2" ht="15.5" x14ac:dyDescent="0.35">
      <c r="B1038" s="853">
        <v>372440.3355493453</v>
      </c>
    </row>
    <row r="1039" spans="2:2" ht="15.5" x14ac:dyDescent="0.35">
      <c r="B1039" s="853">
        <v>153855.11152186067</v>
      </c>
    </row>
    <row r="1040" spans="2:2" ht="15.5" x14ac:dyDescent="0.35">
      <c r="B1040" s="853">
        <v>412602.39694587275</v>
      </c>
    </row>
    <row r="1041" spans="2:2" ht="15.5" x14ac:dyDescent="0.35">
      <c r="B1041" s="853">
        <v>230125.35109893882</v>
      </c>
    </row>
    <row r="1042" spans="2:2" ht="15.5" x14ac:dyDescent="0.35">
      <c r="B1042" s="853">
        <v>109652.5995100791</v>
      </c>
    </row>
    <row r="1043" spans="2:2" ht="15.5" x14ac:dyDescent="0.35">
      <c r="B1043" s="853">
        <v>369333.92696965864</v>
      </c>
    </row>
    <row r="1044" spans="2:2" ht="15.5" x14ac:dyDescent="0.35">
      <c r="B1044" s="853">
        <v>97010.100463201583</v>
      </c>
    </row>
    <row r="1045" spans="2:2" ht="15.5" x14ac:dyDescent="0.35">
      <c r="B1045" s="853">
        <v>323821.34344775032</v>
      </c>
    </row>
    <row r="1046" spans="2:2" ht="15.5" x14ac:dyDescent="0.35">
      <c r="B1046" s="853">
        <v>461687.7050185785</v>
      </c>
    </row>
    <row r="1047" spans="2:2" ht="15.5" x14ac:dyDescent="0.35">
      <c r="B1047" s="853">
        <v>170981.35585661614</v>
      </c>
    </row>
    <row r="1048" spans="2:2" ht="15.5" x14ac:dyDescent="0.35">
      <c r="B1048" s="853">
        <v>-73341.315258823568</v>
      </c>
    </row>
    <row r="1049" spans="2:2" ht="15.5" x14ac:dyDescent="0.35">
      <c r="B1049" s="853">
        <v>97552.960461777635</v>
      </c>
    </row>
    <row r="1050" spans="2:2" ht="15.5" x14ac:dyDescent="0.35">
      <c r="B1050" s="853">
        <v>228873.91447616572</v>
      </c>
    </row>
    <row r="1051" spans="2:2" ht="15.5" x14ac:dyDescent="0.35">
      <c r="B1051" s="853">
        <v>153746.62766316533</v>
      </c>
    </row>
    <row r="1052" spans="2:2" ht="15.5" x14ac:dyDescent="0.35">
      <c r="B1052" s="853">
        <v>322259.44415903999</v>
      </c>
    </row>
    <row r="1053" spans="2:2" ht="15.5" x14ac:dyDescent="0.35">
      <c r="B1053" s="853">
        <v>484295.0833148415</v>
      </c>
    </row>
    <row r="1054" spans="2:2" ht="15.5" x14ac:dyDescent="0.35">
      <c r="B1054" s="853">
        <v>210210.30163610907</v>
      </c>
    </row>
    <row r="1055" spans="2:2" ht="15.5" x14ac:dyDescent="0.35">
      <c r="B1055" s="853">
        <v>317953.87636994151</v>
      </c>
    </row>
    <row r="1056" spans="2:2" ht="15.5" x14ac:dyDescent="0.35">
      <c r="B1056" s="853">
        <v>199572.48965691929</v>
      </c>
    </row>
    <row r="1057" spans="2:2" ht="15.5" x14ac:dyDescent="0.35">
      <c r="B1057" s="853">
        <v>361337.15125875251</v>
      </c>
    </row>
    <row r="1058" spans="2:2" ht="15.5" x14ac:dyDescent="0.35">
      <c r="B1058" s="853">
        <v>309800.883644188</v>
      </c>
    </row>
    <row r="1059" spans="2:2" ht="15.5" x14ac:dyDescent="0.35">
      <c r="B1059" s="853">
        <v>329023.08951856173</v>
      </c>
    </row>
    <row r="1060" spans="2:2" ht="15.5" x14ac:dyDescent="0.35">
      <c r="B1060" s="853">
        <v>-30737.790879474062</v>
      </c>
    </row>
    <row r="1061" spans="2:2" ht="15.5" x14ac:dyDescent="0.35">
      <c r="B1061" s="853">
        <v>305092.34046753915</v>
      </c>
    </row>
    <row r="1062" spans="2:2" ht="15.5" x14ac:dyDescent="0.35">
      <c r="B1062" s="853">
        <v>643717.17910160881</v>
      </c>
    </row>
    <row r="1063" spans="2:2" ht="15.5" x14ac:dyDescent="0.35">
      <c r="B1063" s="853">
        <v>416297.03551067965</v>
      </c>
    </row>
    <row r="1064" spans="2:2" ht="15.5" x14ac:dyDescent="0.35">
      <c r="B1064" s="853">
        <v>373588.51877100306</v>
      </c>
    </row>
    <row r="1065" spans="2:2" ht="15.5" x14ac:dyDescent="0.35">
      <c r="B1065" s="853">
        <v>317981.94904587517</v>
      </c>
    </row>
    <row r="1066" spans="2:2" ht="15.5" x14ac:dyDescent="0.35">
      <c r="B1066" s="853">
        <v>377591.41853574297</v>
      </c>
    </row>
    <row r="1067" spans="2:2" ht="15.5" x14ac:dyDescent="0.35">
      <c r="B1067" s="853">
        <v>157473.96614255116</v>
      </c>
    </row>
    <row r="1068" spans="2:2" ht="15.5" x14ac:dyDescent="0.35">
      <c r="B1068" s="853">
        <v>-93143.216081207196</v>
      </c>
    </row>
    <row r="1069" spans="2:2" ht="15.5" x14ac:dyDescent="0.35">
      <c r="B1069" s="853">
        <v>274506.35456109024</v>
      </c>
    </row>
    <row r="1070" spans="2:2" ht="15.5" x14ac:dyDescent="0.35">
      <c r="B1070" s="853">
        <v>387997.13087057025</v>
      </c>
    </row>
    <row r="1071" spans="2:2" ht="15.5" x14ac:dyDescent="0.35">
      <c r="B1071" s="853">
        <v>30098.263159529288</v>
      </c>
    </row>
    <row r="1072" spans="2:2" ht="15.5" x14ac:dyDescent="0.35">
      <c r="B1072" s="853">
        <v>55921.387458098943</v>
      </c>
    </row>
    <row r="1073" spans="2:2" ht="15.5" x14ac:dyDescent="0.35">
      <c r="B1073" s="853">
        <v>260545.22967331429</v>
      </c>
    </row>
    <row r="1074" spans="2:2" ht="15.5" x14ac:dyDescent="0.35">
      <c r="B1074" s="853">
        <v>287236.94544778648</v>
      </c>
    </row>
    <row r="1075" spans="2:2" ht="15.5" x14ac:dyDescent="0.35">
      <c r="B1075" s="853">
        <v>170559.22243844823</v>
      </c>
    </row>
    <row r="1076" spans="2:2" ht="15.5" x14ac:dyDescent="0.35">
      <c r="B1076" s="853">
        <v>245521.90964794243</v>
      </c>
    </row>
    <row r="1077" spans="2:2" ht="15.5" x14ac:dyDescent="0.35">
      <c r="B1077" s="853">
        <v>483776.06546530838</v>
      </c>
    </row>
    <row r="1078" spans="2:2" ht="15.5" x14ac:dyDescent="0.35">
      <c r="B1078" s="853">
        <v>361817.00142245361</v>
      </c>
    </row>
    <row r="1079" spans="2:2" ht="15.5" x14ac:dyDescent="0.35">
      <c r="B1079" s="853">
        <v>203007.05189630509</v>
      </c>
    </row>
    <row r="1080" spans="2:2" ht="15.5" x14ac:dyDescent="0.35">
      <c r="B1080" s="853">
        <v>547894.13299466972</v>
      </c>
    </row>
    <row r="1081" spans="2:2" ht="15.5" x14ac:dyDescent="0.35">
      <c r="B1081" s="853">
        <v>276425.50551000237</v>
      </c>
    </row>
    <row r="1082" spans="2:2" ht="15.5" x14ac:dyDescent="0.35">
      <c r="B1082" s="853">
        <v>244125.98004162323</v>
      </c>
    </row>
    <row r="1083" spans="2:2" ht="15.5" x14ac:dyDescent="0.35">
      <c r="B1083" s="853">
        <v>420605.19623491965</v>
      </c>
    </row>
    <row r="1084" spans="2:2" ht="15.5" x14ac:dyDescent="0.35">
      <c r="B1084" s="853">
        <v>111072.33166901703</v>
      </c>
    </row>
    <row r="1085" spans="2:2" ht="15.5" x14ac:dyDescent="0.35">
      <c r="B1085" s="853">
        <v>70520.753086596174</v>
      </c>
    </row>
    <row r="1086" spans="2:2" ht="15.5" x14ac:dyDescent="0.35">
      <c r="B1086" s="853">
        <v>171818.17862663418</v>
      </c>
    </row>
    <row r="1087" spans="2:2" ht="15.5" x14ac:dyDescent="0.35">
      <c r="B1087" s="853">
        <v>331575.81598560122</v>
      </c>
    </row>
    <row r="1088" spans="2:2" ht="15.5" x14ac:dyDescent="0.35">
      <c r="B1088" s="853">
        <v>471730.30372395529</v>
      </c>
    </row>
    <row r="1089" spans="2:2" ht="15.5" x14ac:dyDescent="0.35">
      <c r="B1089" s="853">
        <v>204556.40030423237</v>
      </c>
    </row>
    <row r="1090" spans="2:2" ht="15.5" x14ac:dyDescent="0.35">
      <c r="B1090" s="853">
        <v>107404.4874846419</v>
      </c>
    </row>
    <row r="1091" spans="2:2" ht="15.5" x14ac:dyDescent="0.35">
      <c r="B1091" s="853">
        <v>380298.80545163172</v>
      </c>
    </row>
    <row r="1092" spans="2:2" ht="15.5" x14ac:dyDescent="0.35">
      <c r="B1092" s="853">
        <v>220959.20599644605</v>
      </c>
    </row>
    <row r="1093" spans="2:2" ht="15.5" x14ac:dyDescent="0.35">
      <c r="B1093" s="853">
        <v>218758.51208825063</v>
      </c>
    </row>
    <row r="1094" spans="2:2" ht="15.5" x14ac:dyDescent="0.35">
      <c r="B1094" s="853">
        <v>316797.5720645106</v>
      </c>
    </row>
    <row r="1095" spans="2:2" ht="15.5" x14ac:dyDescent="0.35">
      <c r="B1095" s="853">
        <v>323433.09699424385</v>
      </c>
    </row>
    <row r="1096" spans="2:2" ht="15.5" x14ac:dyDescent="0.35">
      <c r="B1096" s="853">
        <v>130106.28480745357</v>
      </c>
    </row>
    <row r="1097" spans="2:2" ht="15.5" x14ac:dyDescent="0.35">
      <c r="B1097" s="853">
        <v>278048.97100298374</v>
      </c>
    </row>
    <row r="1098" spans="2:2" ht="15.5" x14ac:dyDescent="0.35">
      <c r="B1098" s="853">
        <v>355770.11618548149</v>
      </c>
    </row>
    <row r="1099" spans="2:2" ht="15.5" x14ac:dyDescent="0.35">
      <c r="B1099" s="853">
        <v>599112.09785028326</v>
      </c>
    </row>
    <row r="1100" spans="2:2" ht="15.5" x14ac:dyDescent="0.35">
      <c r="B1100" s="853">
        <v>236259.69025293499</v>
      </c>
    </row>
    <row r="1101" spans="2:2" ht="15.5" x14ac:dyDescent="0.35">
      <c r="B1101" s="853">
        <v>-43251.523889685806</v>
      </c>
    </row>
    <row r="1102" spans="2:2" ht="15.5" x14ac:dyDescent="0.35">
      <c r="B1102" s="853">
        <v>438889.20922526671</v>
      </c>
    </row>
    <row r="1103" spans="2:2" ht="15.5" x14ac:dyDescent="0.35">
      <c r="B1103" s="853">
        <v>220780.6695199369</v>
      </c>
    </row>
    <row r="1104" spans="2:2" ht="15.5" x14ac:dyDescent="0.35">
      <c r="B1104" s="853">
        <v>235360.07390413751</v>
      </c>
    </row>
    <row r="1105" spans="2:2" ht="15.5" x14ac:dyDescent="0.35">
      <c r="B1105" s="853">
        <v>447731.70039675571</v>
      </c>
    </row>
    <row r="1106" spans="2:2" ht="15.5" x14ac:dyDescent="0.35">
      <c r="B1106" s="853">
        <v>490623.28064125445</v>
      </c>
    </row>
    <row r="1107" spans="2:2" ht="15.5" x14ac:dyDescent="0.35">
      <c r="B1107" s="853">
        <v>415216.73488308175</v>
      </c>
    </row>
    <row r="1108" spans="2:2" ht="15.5" x14ac:dyDescent="0.35">
      <c r="B1108" s="853">
        <v>501815.40324831882</v>
      </c>
    </row>
    <row r="1109" spans="2:2" ht="15.5" x14ac:dyDescent="0.35">
      <c r="B1109" s="853">
        <v>404968.29313156358</v>
      </c>
    </row>
    <row r="1110" spans="2:2" ht="15.5" x14ac:dyDescent="0.35">
      <c r="B1110" s="853">
        <v>668637.22900090669</v>
      </c>
    </row>
    <row r="1111" spans="2:2" ht="15.5" x14ac:dyDescent="0.35">
      <c r="B1111" s="853">
        <v>140398.2893101646</v>
      </c>
    </row>
    <row r="1112" spans="2:2" ht="15.5" x14ac:dyDescent="0.35">
      <c r="B1112" s="853">
        <v>383207.37428722193</v>
      </c>
    </row>
    <row r="1113" spans="2:2" ht="15.5" x14ac:dyDescent="0.35">
      <c r="B1113" s="853">
        <v>609089.19055056921</v>
      </c>
    </row>
    <row r="1114" spans="2:2" ht="15.5" x14ac:dyDescent="0.35">
      <c r="B1114" s="853">
        <v>334445.99876420287</v>
      </c>
    </row>
    <row r="1115" spans="2:2" ht="15.5" x14ac:dyDescent="0.35">
      <c r="B1115" s="853">
        <v>531144.89311566006</v>
      </c>
    </row>
    <row r="1116" spans="2:2" ht="15.5" x14ac:dyDescent="0.35">
      <c r="B1116" s="853">
        <v>592080.30444764358</v>
      </c>
    </row>
    <row r="1117" spans="2:2" ht="15.5" x14ac:dyDescent="0.35">
      <c r="B1117" s="853">
        <v>437070.10067370511</v>
      </c>
    </row>
    <row r="1118" spans="2:2" ht="15.5" x14ac:dyDescent="0.35">
      <c r="B1118" s="853">
        <v>410118.73925614887</v>
      </c>
    </row>
    <row r="1119" spans="2:2" ht="15.5" x14ac:dyDescent="0.35">
      <c r="B1119" s="853">
        <v>481428.57628538919</v>
      </c>
    </row>
    <row r="1120" spans="2:2" ht="15.5" x14ac:dyDescent="0.35">
      <c r="B1120" s="853">
        <v>407156.76735852874</v>
      </c>
    </row>
    <row r="1121" spans="2:2" ht="15.5" x14ac:dyDescent="0.35">
      <c r="B1121" s="853">
        <v>300840.21420443943</v>
      </c>
    </row>
    <row r="1122" spans="2:2" ht="15.5" x14ac:dyDescent="0.35">
      <c r="B1122" s="853">
        <v>365682.04732766945</v>
      </c>
    </row>
    <row r="1123" spans="2:2" ht="15.5" x14ac:dyDescent="0.35">
      <c r="B1123" s="853">
        <v>507082.62817983091</v>
      </c>
    </row>
    <row r="1124" spans="2:2" ht="15.5" x14ac:dyDescent="0.35">
      <c r="B1124" s="853">
        <v>293351.14564575127</v>
      </c>
    </row>
    <row r="1125" spans="2:2" ht="15.5" x14ac:dyDescent="0.35">
      <c r="B1125" s="853">
        <v>591422.33593410417</v>
      </c>
    </row>
    <row r="1126" spans="2:2" ht="15.5" x14ac:dyDescent="0.35">
      <c r="B1126" s="853">
        <v>335224.60035934282</v>
      </c>
    </row>
    <row r="1127" spans="2:2" ht="15.5" x14ac:dyDescent="0.35">
      <c r="B1127" s="853">
        <v>235295.59473765493</v>
      </c>
    </row>
    <row r="1128" spans="2:2" ht="15.5" x14ac:dyDescent="0.35">
      <c r="B1128" s="853">
        <v>181728.61323384265</v>
      </c>
    </row>
    <row r="1129" spans="2:2" ht="15.5" x14ac:dyDescent="0.35">
      <c r="B1129" s="853">
        <v>240183.6179762939</v>
      </c>
    </row>
    <row r="1130" spans="2:2" ht="15.5" x14ac:dyDescent="0.35">
      <c r="B1130" s="853">
        <v>376389.0652087683</v>
      </c>
    </row>
    <row r="1131" spans="2:2" ht="15.5" x14ac:dyDescent="0.35">
      <c r="B1131" s="853">
        <v>373190.08776769717</v>
      </c>
    </row>
    <row r="1132" spans="2:2" ht="15.5" x14ac:dyDescent="0.35">
      <c r="B1132" s="853">
        <v>562120.36510156794</v>
      </c>
    </row>
    <row r="1133" spans="2:2" ht="15.5" x14ac:dyDescent="0.35">
      <c r="B1133" s="853">
        <v>215688.50967983899</v>
      </c>
    </row>
    <row r="1134" spans="2:2" ht="15.5" x14ac:dyDescent="0.35">
      <c r="B1134" s="853">
        <v>247412.85976947733</v>
      </c>
    </row>
    <row r="1135" spans="2:2" ht="15.5" x14ac:dyDescent="0.35">
      <c r="B1135" s="853">
        <v>326551.91669867339</v>
      </c>
    </row>
    <row r="1136" spans="2:2" ht="15.5" x14ac:dyDescent="0.35">
      <c r="B1136" s="853">
        <v>254576.92691404207</v>
      </c>
    </row>
    <row r="1137" spans="2:2" ht="15.5" x14ac:dyDescent="0.35">
      <c r="B1137" s="853">
        <v>199210.7765648831</v>
      </c>
    </row>
    <row r="1138" spans="2:2" ht="15.5" x14ac:dyDescent="0.35">
      <c r="B1138" s="853">
        <v>269103.23963045038</v>
      </c>
    </row>
    <row r="1139" spans="2:2" ht="15.5" x14ac:dyDescent="0.35">
      <c r="B1139" s="853">
        <v>279399.80033854669</v>
      </c>
    </row>
    <row r="1140" spans="2:2" ht="15.5" x14ac:dyDescent="0.35">
      <c r="B1140" s="853">
        <v>126807.27342319851</v>
      </c>
    </row>
    <row r="1141" spans="2:2" ht="15.5" x14ac:dyDescent="0.35">
      <c r="B1141" s="853">
        <v>640330.79686969006</v>
      </c>
    </row>
    <row r="1142" spans="2:2" ht="15.5" x14ac:dyDescent="0.35">
      <c r="B1142" s="853">
        <v>411117.72826042149</v>
      </c>
    </row>
    <row r="1143" spans="2:2" ht="15.5" x14ac:dyDescent="0.35">
      <c r="B1143" s="853">
        <v>277683.40661197546</v>
      </c>
    </row>
    <row r="1144" spans="2:2" ht="15.5" x14ac:dyDescent="0.35">
      <c r="B1144" s="853">
        <v>165562.65031377101</v>
      </c>
    </row>
    <row r="1145" spans="2:2" ht="15.5" x14ac:dyDescent="0.35">
      <c r="B1145" s="853">
        <v>353087.92253785487</v>
      </c>
    </row>
    <row r="1146" spans="2:2" ht="15.5" x14ac:dyDescent="0.35">
      <c r="B1146" s="853">
        <v>345063.30395318003</v>
      </c>
    </row>
    <row r="1147" spans="2:2" ht="15.5" x14ac:dyDescent="0.35">
      <c r="B1147" s="853">
        <v>288818.6804806047</v>
      </c>
    </row>
    <row r="1148" spans="2:2" ht="15.5" x14ac:dyDescent="0.35">
      <c r="B1148" s="853">
        <v>9698.6665192549517</v>
      </c>
    </row>
    <row r="1149" spans="2:2" ht="15.5" x14ac:dyDescent="0.35">
      <c r="B1149" s="853">
        <v>252032.24108254985</v>
      </c>
    </row>
    <row r="1150" spans="2:2" ht="15.5" x14ac:dyDescent="0.35">
      <c r="B1150" s="853">
        <v>428858.59368961176</v>
      </c>
    </row>
    <row r="1151" spans="2:2" ht="15.5" x14ac:dyDescent="0.35">
      <c r="B1151" s="853">
        <v>297666.99974317045</v>
      </c>
    </row>
    <row r="1152" spans="2:2" ht="15.5" x14ac:dyDescent="0.35">
      <c r="B1152" s="853">
        <v>77640.067425216548</v>
      </c>
    </row>
    <row r="1153" spans="2:2" ht="15.5" x14ac:dyDescent="0.35">
      <c r="B1153" s="853">
        <v>181327.84087810892</v>
      </c>
    </row>
    <row r="1154" spans="2:2" ht="15.5" x14ac:dyDescent="0.35">
      <c r="B1154" s="853">
        <v>230902.94550045618</v>
      </c>
    </row>
    <row r="1155" spans="2:2" ht="15.5" x14ac:dyDescent="0.35">
      <c r="B1155" s="853">
        <v>388589.2134817398</v>
      </c>
    </row>
    <row r="1156" spans="2:2" ht="15.5" x14ac:dyDescent="0.35">
      <c r="B1156" s="853">
        <v>401785.54609591648</v>
      </c>
    </row>
    <row r="1157" spans="2:2" ht="15.5" x14ac:dyDescent="0.35">
      <c r="B1157" s="853">
        <v>101210.89156129821</v>
      </c>
    </row>
    <row r="1158" spans="2:2" ht="15.5" x14ac:dyDescent="0.35">
      <c r="B1158" s="853">
        <v>394600.56818740669</v>
      </c>
    </row>
    <row r="1159" spans="2:2" ht="15.5" x14ac:dyDescent="0.35">
      <c r="B1159" s="853">
        <v>373867.95297745569</v>
      </c>
    </row>
    <row r="1160" spans="2:2" ht="15.5" x14ac:dyDescent="0.35">
      <c r="B1160" s="853">
        <v>191729.18396956677</v>
      </c>
    </row>
    <row r="1161" spans="2:2" ht="15.5" x14ac:dyDescent="0.35">
      <c r="B1161" s="853">
        <v>303119.64910294255</v>
      </c>
    </row>
    <row r="1162" spans="2:2" ht="15.5" x14ac:dyDescent="0.35">
      <c r="B1162" s="853">
        <v>539251.93234411941</v>
      </c>
    </row>
    <row r="1163" spans="2:2" ht="15.5" x14ac:dyDescent="0.35">
      <c r="B1163" s="853">
        <v>296820.040058435</v>
      </c>
    </row>
    <row r="1164" spans="2:2" ht="15.5" x14ac:dyDescent="0.35">
      <c r="B1164" s="853">
        <v>285893.8339253561</v>
      </c>
    </row>
    <row r="1165" spans="2:2" ht="15.5" x14ac:dyDescent="0.35">
      <c r="B1165" s="853">
        <v>297926.198351709</v>
      </c>
    </row>
    <row r="1166" spans="2:2" ht="15.5" x14ac:dyDescent="0.35">
      <c r="B1166" s="853">
        <v>407905.74674104544</v>
      </c>
    </row>
    <row r="1167" spans="2:2" ht="15.5" x14ac:dyDescent="0.35">
      <c r="B1167" s="853">
        <v>85217.869945721512</v>
      </c>
    </row>
    <row r="1168" spans="2:2" ht="15.5" x14ac:dyDescent="0.35">
      <c r="B1168" s="853">
        <v>180739.5660181905</v>
      </c>
    </row>
    <row r="1169" spans="2:2" ht="15.5" x14ac:dyDescent="0.35">
      <c r="B1169" s="853">
        <v>237585.72661014751</v>
      </c>
    </row>
    <row r="1170" spans="2:2" ht="15.5" x14ac:dyDescent="0.35">
      <c r="B1170" s="853">
        <v>540579.10631509614</v>
      </c>
    </row>
    <row r="1171" spans="2:2" ht="15.5" x14ac:dyDescent="0.35">
      <c r="B1171" s="853">
        <v>233464.88341828733</v>
      </c>
    </row>
    <row r="1172" spans="2:2" ht="15.5" x14ac:dyDescent="0.35">
      <c r="B1172" s="853">
        <v>342648.54440763022</v>
      </c>
    </row>
    <row r="1173" spans="2:2" ht="15.5" x14ac:dyDescent="0.35">
      <c r="B1173" s="853">
        <v>297323.57174997556</v>
      </c>
    </row>
    <row r="1174" spans="2:2" ht="15.5" x14ac:dyDescent="0.35">
      <c r="B1174" s="853">
        <v>559825.75825609697</v>
      </c>
    </row>
    <row r="1175" spans="2:2" ht="15.5" x14ac:dyDescent="0.35">
      <c r="B1175" s="853">
        <v>542415.19035602419</v>
      </c>
    </row>
    <row r="1176" spans="2:2" ht="15.5" x14ac:dyDescent="0.35">
      <c r="B1176" s="853">
        <v>359709.47564910474</v>
      </c>
    </row>
    <row r="1177" spans="2:2" ht="15.5" x14ac:dyDescent="0.35">
      <c r="B1177" s="853">
        <v>337152.11038511439</v>
      </c>
    </row>
    <row r="1178" spans="2:2" ht="15.5" x14ac:dyDescent="0.35">
      <c r="B1178" s="853">
        <v>275989.37682126544</v>
      </c>
    </row>
    <row r="1179" spans="2:2" ht="15.5" x14ac:dyDescent="0.35">
      <c r="B1179" s="853">
        <v>211022.31696862867</v>
      </c>
    </row>
    <row r="1180" spans="2:2" ht="15.5" x14ac:dyDescent="0.35">
      <c r="B1180" s="853">
        <v>-96250.077886651823</v>
      </c>
    </row>
    <row r="1181" spans="2:2" ht="15.5" x14ac:dyDescent="0.35">
      <c r="B1181" s="853">
        <v>153447.20299277845</v>
      </c>
    </row>
    <row r="1182" spans="2:2" ht="15.5" x14ac:dyDescent="0.35">
      <c r="B1182" s="853">
        <v>468450.5490871481</v>
      </c>
    </row>
    <row r="1183" spans="2:2" ht="15.5" x14ac:dyDescent="0.35">
      <c r="B1183" s="853">
        <v>434254.0428902008</v>
      </c>
    </row>
    <row r="1184" spans="2:2" ht="15.5" x14ac:dyDescent="0.35">
      <c r="B1184" s="853">
        <v>266346.51430872752</v>
      </c>
    </row>
    <row r="1185" spans="2:2" ht="15.5" x14ac:dyDescent="0.35">
      <c r="B1185" s="853">
        <v>234387.38421941607</v>
      </c>
    </row>
    <row r="1186" spans="2:2" ht="15.5" x14ac:dyDescent="0.35">
      <c r="B1186" s="853">
        <v>378950.98461058759</v>
      </c>
    </row>
    <row r="1187" spans="2:2" ht="15.5" x14ac:dyDescent="0.35">
      <c r="B1187" s="853">
        <v>205525.93599137155</v>
      </c>
    </row>
    <row r="1188" spans="2:2" ht="15.5" x14ac:dyDescent="0.35">
      <c r="B1188" s="853">
        <v>381185.59790194093</v>
      </c>
    </row>
    <row r="1189" spans="2:2" ht="15.5" x14ac:dyDescent="0.35">
      <c r="B1189" s="853">
        <v>472293.43427408603</v>
      </c>
    </row>
    <row r="1190" spans="2:2" ht="15.5" x14ac:dyDescent="0.35">
      <c r="B1190" s="853">
        <v>583472.11344642192</v>
      </c>
    </row>
    <row r="1191" spans="2:2" ht="15.5" x14ac:dyDescent="0.35">
      <c r="B1191" s="853">
        <v>242880.78240283675</v>
      </c>
    </row>
    <row r="1192" spans="2:2" ht="15.5" x14ac:dyDescent="0.35">
      <c r="B1192" s="853">
        <v>354413.16997268202</v>
      </c>
    </row>
    <row r="1193" spans="2:2" ht="15.5" x14ac:dyDescent="0.35">
      <c r="B1193" s="853">
        <v>263957.75712694798</v>
      </c>
    </row>
    <row r="1194" spans="2:2" ht="15.5" x14ac:dyDescent="0.35">
      <c r="B1194" s="853">
        <v>198926.96878353081</v>
      </c>
    </row>
    <row r="1195" spans="2:2" ht="15.5" x14ac:dyDescent="0.35">
      <c r="B1195" s="853">
        <v>62759.915903280962</v>
      </c>
    </row>
    <row r="1196" spans="2:2" ht="15.5" x14ac:dyDescent="0.35">
      <c r="B1196" s="853">
        <v>298371.25520444458</v>
      </c>
    </row>
    <row r="1197" spans="2:2" ht="15.5" x14ac:dyDescent="0.35">
      <c r="B1197" s="853">
        <v>241438.43339023241</v>
      </c>
    </row>
    <row r="1198" spans="2:2" ht="15.5" x14ac:dyDescent="0.35">
      <c r="B1198" s="853">
        <v>139122.23167208358</v>
      </c>
    </row>
    <row r="1199" spans="2:2" ht="15.5" x14ac:dyDescent="0.35">
      <c r="B1199" s="853">
        <v>478278.39361290779</v>
      </c>
    </row>
    <row r="1200" spans="2:2" ht="15.5" x14ac:dyDescent="0.35">
      <c r="B1200" s="853">
        <v>431062.63542796153</v>
      </c>
    </row>
    <row r="1201" spans="2:2" ht="15.5" x14ac:dyDescent="0.35">
      <c r="B1201" s="853">
        <v>531329.61167369492</v>
      </c>
    </row>
    <row r="1202" spans="2:2" ht="15.5" x14ac:dyDescent="0.35">
      <c r="B1202" s="853">
        <v>294664.05307302251</v>
      </c>
    </row>
    <row r="1203" spans="2:2" ht="15.5" x14ac:dyDescent="0.35">
      <c r="B1203" s="853">
        <v>565391.20185735822</v>
      </c>
    </row>
    <row r="1204" spans="2:2" ht="15.5" x14ac:dyDescent="0.35">
      <c r="B1204" s="853">
        <v>419805.85019116278</v>
      </c>
    </row>
    <row r="1205" spans="2:2" ht="15.5" x14ac:dyDescent="0.35">
      <c r="B1205" s="853">
        <v>252565.84245766854</v>
      </c>
    </row>
    <row r="1206" spans="2:2" ht="15.5" x14ac:dyDescent="0.35">
      <c r="B1206" s="853">
        <v>139067.14502357005</v>
      </c>
    </row>
    <row r="1207" spans="2:2" ht="15.5" x14ac:dyDescent="0.35">
      <c r="B1207" s="853">
        <v>-13308.642541234301</v>
      </c>
    </row>
    <row r="1208" spans="2:2" ht="15.5" x14ac:dyDescent="0.35">
      <c r="B1208" s="853">
        <v>194690.47935491629</v>
      </c>
    </row>
    <row r="1209" spans="2:2" ht="15.5" x14ac:dyDescent="0.35">
      <c r="B1209" s="853">
        <v>520308.44372255541</v>
      </c>
    </row>
    <row r="1210" spans="2:2" ht="15.5" x14ac:dyDescent="0.35">
      <c r="B1210" s="853">
        <v>401846.25448690809</v>
      </c>
    </row>
    <row r="1211" spans="2:2" ht="15.5" x14ac:dyDescent="0.35">
      <c r="B1211" s="853">
        <v>379223.9676872447</v>
      </c>
    </row>
    <row r="1212" spans="2:2" ht="15.5" x14ac:dyDescent="0.35">
      <c r="B1212" s="853">
        <v>275391.26824883354</v>
      </c>
    </row>
    <row r="1213" spans="2:2" ht="15.5" x14ac:dyDescent="0.35">
      <c r="B1213" s="853">
        <v>194747.49585106378</v>
      </c>
    </row>
    <row r="1214" spans="2:2" ht="15.5" x14ac:dyDescent="0.35">
      <c r="B1214" s="853">
        <v>340014.01700971433</v>
      </c>
    </row>
    <row r="1215" spans="2:2" ht="15.5" x14ac:dyDescent="0.35">
      <c r="B1215" s="853">
        <v>246574.11051093365</v>
      </c>
    </row>
    <row r="1216" spans="2:2" ht="15.5" x14ac:dyDescent="0.35">
      <c r="B1216" s="853">
        <v>276346.6961979167</v>
      </c>
    </row>
    <row r="1217" spans="2:2" ht="15.5" x14ac:dyDescent="0.35">
      <c r="B1217" s="853">
        <v>324170.62798527442</v>
      </c>
    </row>
    <row r="1218" spans="2:2" ht="15.5" x14ac:dyDescent="0.35">
      <c r="B1218" s="853">
        <v>655445.8801384893</v>
      </c>
    </row>
    <row r="1219" spans="2:2" ht="15.5" x14ac:dyDescent="0.35">
      <c r="B1219" s="853">
        <v>155621.09717497803</v>
      </c>
    </row>
    <row r="1220" spans="2:2" ht="15.5" x14ac:dyDescent="0.35">
      <c r="B1220" s="853">
        <v>286410.75713847089</v>
      </c>
    </row>
    <row r="1221" spans="2:2" ht="15.5" x14ac:dyDescent="0.35">
      <c r="B1221" s="853">
        <v>228067.68658335114</v>
      </c>
    </row>
    <row r="1222" spans="2:2" ht="15.5" x14ac:dyDescent="0.35">
      <c r="B1222" s="853">
        <v>293931.35619218356</v>
      </c>
    </row>
    <row r="1223" spans="2:2" ht="15.5" x14ac:dyDescent="0.35">
      <c r="B1223" s="853">
        <v>63206.40750331257</v>
      </c>
    </row>
    <row r="1224" spans="2:2" ht="15.5" x14ac:dyDescent="0.35">
      <c r="B1224" s="853">
        <v>65412.584398716055</v>
      </c>
    </row>
    <row r="1225" spans="2:2" ht="15.5" x14ac:dyDescent="0.35">
      <c r="B1225" s="853">
        <v>52233.682997517564</v>
      </c>
    </row>
    <row r="1226" spans="2:2" ht="15.5" x14ac:dyDescent="0.35">
      <c r="B1226" s="853">
        <v>531912.00125980645</v>
      </c>
    </row>
    <row r="1227" spans="2:2" ht="15.5" x14ac:dyDescent="0.35">
      <c r="B1227" s="853">
        <v>-34455.248635445729</v>
      </c>
    </row>
    <row r="1228" spans="2:2" ht="15.5" x14ac:dyDescent="0.35">
      <c r="B1228" s="853">
        <v>117952.06699474719</v>
      </c>
    </row>
    <row r="1229" spans="2:2" ht="15.5" x14ac:dyDescent="0.35">
      <c r="B1229" s="853">
        <v>256785.65496382504</v>
      </c>
    </row>
    <row r="1230" spans="2:2" ht="15.5" x14ac:dyDescent="0.35">
      <c r="B1230" s="853">
        <v>127944.12035350141</v>
      </c>
    </row>
    <row r="1231" spans="2:2" ht="15.5" x14ac:dyDescent="0.35">
      <c r="B1231" s="853">
        <v>199628.32558790257</v>
      </c>
    </row>
    <row r="1232" spans="2:2" ht="15.5" x14ac:dyDescent="0.35">
      <c r="B1232" s="853">
        <v>494842.38404380431</v>
      </c>
    </row>
    <row r="1233" spans="2:2" ht="15.5" x14ac:dyDescent="0.35">
      <c r="B1233" s="853">
        <v>411999.84457262437</v>
      </c>
    </row>
    <row r="1234" spans="2:2" ht="15.5" x14ac:dyDescent="0.35">
      <c r="B1234" s="853">
        <v>363027.49094835948</v>
      </c>
    </row>
    <row r="1235" spans="2:2" ht="15.5" x14ac:dyDescent="0.35">
      <c r="B1235" s="853">
        <v>45762.430706560532</v>
      </c>
    </row>
    <row r="1236" spans="2:2" ht="15.5" x14ac:dyDescent="0.35">
      <c r="B1236" s="853">
        <v>300033.65231838665</v>
      </c>
    </row>
    <row r="1237" spans="2:2" ht="15.5" x14ac:dyDescent="0.35">
      <c r="B1237" s="853">
        <v>331037.38538987731</v>
      </c>
    </row>
    <row r="1238" spans="2:2" ht="15.5" x14ac:dyDescent="0.35">
      <c r="B1238" s="853">
        <v>503782.90189934825</v>
      </c>
    </row>
    <row r="1239" spans="2:2" ht="15.5" x14ac:dyDescent="0.35">
      <c r="B1239" s="853">
        <v>275742.78660771769</v>
      </c>
    </row>
    <row r="1240" spans="2:2" ht="15.5" x14ac:dyDescent="0.35">
      <c r="B1240" s="853">
        <v>180714.71768620174</v>
      </c>
    </row>
    <row r="1241" spans="2:2" ht="15.5" x14ac:dyDescent="0.35">
      <c r="B1241" s="853">
        <v>492938.92128036602</v>
      </c>
    </row>
    <row r="1242" spans="2:2" ht="15.5" x14ac:dyDescent="0.35">
      <c r="B1242" s="853">
        <v>245657.48183706685</v>
      </c>
    </row>
    <row r="1243" spans="2:2" ht="15.5" x14ac:dyDescent="0.35">
      <c r="B1243" s="853">
        <v>412129.25082354044</v>
      </c>
    </row>
    <row r="1244" spans="2:2" ht="15.5" x14ac:dyDescent="0.35">
      <c r="B1244" s="853">
        <v>415272.22763745335</v>
      </c>
    </row>
    <row r="1245" spans="2:2" ht="15.5" x14ac:dyDescent="0.35">
      <c r="B1245" s="853">
        <v>271402.73255988338</v>
      </c>
    </row>
    <row r="1246" spans="2:2" ht="15.5" x14ac:dyDescent="0.35">
      <c r="B1246" s="853">
        <v>293212.13447386306</v>
      </c>
    </row>
    <row r="1247" spans="2:2" ht="15.5" x14ac:dyDescent="0.35">
      <c r="B1247" s="853">
        <v>570655.07155960263</v>
      </c>
    </row>
    <row r="1248" spans="2:2" ht="15.5" x14ac:dyDescent="0.35">
      <c r="B1248" s="853">
        <v>434076.11718270776</v>
      </c>
    </row>
    <row r="1249" spans="2:2" ht="15.5" x14ac:dyDescent="0.35">
      <c r="B1249" s="853">
        <v>172001.16762803137</v>
      </c>
    </row>
    <row r="1250" spans="2:2" ht="15.5" x14ac:dyDescent="0.35">
      <c r="B1250" s="853">
        <v>606939.39296393504</v>
      </c>
    </row>
    <row r="1251" spans="2:2" ht="15.5" x14ac:dyDescent="0.35">
      <c r="B1251" s="853">
        <v>229550.83054840766</v>
      </c>
    </row>
    <row r="1252" spans="2:2" ht="15.5" x14ac:dyDescent="0.35">
      <c r="B1252" s="853">
        <v>504658.35465412989</v>
      </c>
    </row>
    <row r="1253" spans="2:2" ht="15.5" x14ac:dyDescent="0.35">
      <c r="B1253" s="853">
        <v>164303.6236371116</v>
      </c>
    </row>
    <row r="1254" spans="2:2" ht="15.5" x14ac:dyDescent="0.35">
      <c r="B1254" s="853">
        <v>273773.23376167048</v>
      </c>
    </row>
    <row r="1255" spans="2:2" ht="15.5" x14ac:dyDescent="0.35">
      <c r="B1255" s="853">
        <v>110036.2907501462</v>
      </c>
    </row>
    <row r="1256" spans="2:2" ht="15.5" x14ac:dyDescent="0.35">
      <c r="B1256" s="853">
        <v>446625.30713522946</v>
      </c>
    </row>
    <row r="1257" spans="2:2" ht="15.5" x14ac:dyDescent="0.35">
      <c r="B1257" s="853">
        <v>292443.65124136239</v>
      </c>
    </row>
    <row r="1258" spans="2:2" ht="15.5" x14ac:dyDescent="0.35">
      <c r="B1258" s="853">
        <v>246455.32286935949</v>
      </c>
    </row>
    <row r="1259" spans="2:2" ht="15.5" x14ac:dyDescent="0.35">
      <c r="B1259" s="853">
        <v>351378.17957259389</v>
      </c>
    </row>
    <row r="1260" spans="2:2" ht="15.5" x14ac:dyDescent="0.35">
      <c r="B1260" s="853">
        <v>261283.80192988098</v>
      </c>
    </row>
    <row r="1261" spans="2:2" ht="15.5" x14ac:dyDescent="0.35">
      <c r="B1261" s="853">
        <v>86930.396670124479</v>
      </c>
    </row>
    <row r="1262" spans="2:2" ht="15.5" x14ac:dyDescent="0.35">
      <c r="B1262" s="853">
        <v>140307.63728138519</v>
      </c>
    </row>
    <row r="1263" spans="2:2" ht="15.5" x14ac:dyDescent="0.35">
      <c r="B1263" s="853">
        <v>218761.85193864797</v>
      </c>
    </row>
    <row r="1264" spans="2:2" ht="15.5" x14ac:dyDescent="0.35">
      <c r="B1264" s="853">
        <v>365611.60673761403</v>
      </c>
    </row>
    <row r="1265" spans="2:2" ht="15.5" x14ac:dyDescent="0.35">
      <c r="B1265" s="853">
        <v>139438.78792485173</v>
      </c>
    </row>
    <row r="1266" spans="2:2" ht="15.5" x14ac:dyDescent="0.35">
      <c r="B1266" s="853">
        <v>31454.105807414711</v>
      </c>
    </row>
    <row r="1267" spans="2:2" ht="15.5" x14ac:dyDescent="0.35">
      <c r="B1267" s="853">
        <v>359338.9208208471</v>
      </c>
    </row>
    <row r="1268" spans="2:2" ht="15.5" x14ac:dyDescent="0.35">
      <c r="B1268" s="853">
        <v>333333.11025493033</v>
      </c>
    </row>
    <row r="1269" spans="2:2" ht="15.5" x14ac:dyDescent="0.35">
      <c r="B1269" s="853">
        <v>52927.214873564088</v>
      </c>
    </row>
    <row r="1270" spans="2:2" ht="15.5" x14ac:dyDescent="0.35">
      <c r="B1270" s="853">
        <v>154387.12852418047</v>
      </c>
    </row>
    <row r="1271" spans="2:2" ht="15.5" x14ac:dyDescent="0.35">
      <c r="B1271" s="853">
        <v>194783.03089174911</v>
      </c>
    </row>
    <row r="1272" spans="2:2" ht="15.5" x14ac:dyDescent="0.35">
      <c r="B1272" s="853">
        <v>300635.83404827333</v>
      </c>
    </row>
    <row r="1273" spans="2:2" ht="15.5" x14ac:dyDescent="0.35">
      <c r="B1273" s="853">
        <v>226847.1894626974</v>
      </c>
    </row>
    <row r="1274" spans="2:2" ht="15.5" x14ac:dyDescent="0.35">
      <c r="B1274" s="853">
        <v>552874.12772904686</v>
      </c>
    </row>
    <row r="1275" spans="2:2" ht="15.5" x14ac:dyDescent="0.35">
      <c r="B1275" s="853">
        <v>360802.09502587758</v>
      </c>
    </row>
    <row r="1276" spans="2:2" ht="15.5" x14ac:dyDescent="0.35">
      <c r="B1276" s="853">
        <v>282552.62753058737</v>
      </c>
    </row>
    <row r="1277" spans="2:2" ht="15.5" x14ac:dyDescent="0.35">
      <c r="B1277" s="853">
        <v>410024.41485110502</v>
      </c>
    </row>
    <row r="1278" spans="2:2" ht="15.5" x14ac:dyDescent="0.35">
      <c r="B1278" s="853">
        <v>242411.70604644736</v>
      </c>
    </row>
    <row r="1279" spans="2:2" ht="15.5" x14ac:dyDescent="0.35">
      <c r="B1279" s="853">
        <v>68861.407088581138</v>
      </c>
    </row>
    <row r="1280" spans="2:2" ht="15.5" x14ac:dyDescent="0.35">
      <c r="B1280" s="853">
        <v>208919.54747368171</v>
      </c>
    </row>
    <row r="1281" spans="2:2" ht="15.5" x14ac:dyDescent="0.35">
      <c r="B1281" s="853">
        <v>58832.420905157938</v>
      </c>
    </row>
    <row r="1282" spans="2:2" ht="15.5" x14ac:dyDescent="0.35">
      <c r="B1282" s="853">
        <v>344593.38893139287</v>
      </c>
    </row>
    <row r="1283" spans="2:2" ht="15.5" x14ac:dyDescent="0.35">
      <c r="B1283" s="853">
        <v>335093.6500036752</v>
      </c>
    </row>
    <row r="1284" spans="2:2" ht="15.5" x14ac:dyDescent="0.35">
      <c r="B1284" s="853">
        <v>127139.43274290672</v>
      </c>
    </row>
    <row r="1285" spans="2:2" ht="15.5" x14ac:dyDescent="0.35">
      <c r="B1285" s="853">
        <v>306880.92885505012</v>
      </c>
    </row>
    <row r="1286" spans="2:2" ht="15.5" x14ac:dyDescent="0.35">
      <c r="B1286" s="853">
        <v>257132.57307421655</v>
      </c>
    </row>
    <row r="1287" spans="2:2" ht="15.5" x14ac:dyDescent="0.35">
      <c r="B1287" s="853">
        <v>857913.17293032806</v>
      </c>
    </row>
    <row r="1288" spans="2:2" ht="15.5" x14ac:dyDescent="0.35">
      <c r="B1288" s="853">
        <v>538154.98975989805</v>
      </c>
    </row>
    <row r="1289" spans="2:2" ht="15.5" x14ac:dyDescent="0.35">
      <c r="B1289" s="853">
        <v>302684.53062480263</v>
      </c>
    </row>
    <row r="1290" spans="2:2" ht="15.5" x14ac:dyDescent="0.35">
      <c r="B1290" s="853">
        <v>256965.20742566587</v>
      </c>
    </row>
    <row r="1291" spans="2:2" ht="15.5" x14ac:dyDescent="0.35">
      <c r="B1291" s="853">
        <v>394323.6316902251</v>
      </c>
    </row>
    <row r="1292" spans="2:2" ht="15.5" x14ac:dyDescent="0.35">
      <c r="B1292" s="853">
        <v>79129.996484861971</v>
      </c>
    </row>
    <row r="1293" spans="2:2" ht="15.5" x14ac:dyDescent="0.35">
      <c r="B1293" s="853">
        <v>361924.1592198984</v>
      </c>
    </row>
    <row r="1294" spans="2:2" ht="15.5" x14ac:dyDescent="0.35">
      <c r="B1294" s="853">
        <v>438805.35374931071</v>
      </c>
    </row>
    <row r="1295" spans="2:2" ht="15.5" x14ac:dyDescent="0.35">
      <c r="B1295" s="853">
        <v>291714.78199483699</v>
      </c>
    </row>
    <row r="1296" spans="2:2" ht="15.5" x14ac:dyDescent="0.35">
      <c r="B1296" s="853">
        <v>685083.51172614039</v>
      </c>
    </row>
    <row r="1297" spans="2:2" ht="15.5" x14ac:dyDescent="0.35">
      <c r="B1297" s="853">
        <v>602641.43560031184</v>
      </c>
    </row>
    <row r="1298" spans="2:2" ht="15.5" x14ac:dyDescent="0.35">
      <c r="B1298" s="853">
        <v>391915.6812020099</v>
      </c>
    </row>
    <row r="1299" spans="2:2" ht="15.5" x14ac:dyDescent="0.35">
      <c r="B1299" s="853">
        <v>425933.45344595856</v>
      </c>
    </row>
    <row r="1300" spans="2:2" ht="15.5" x14ac:dyDescent="0.35">
      <c r="B1300" s="853">
        <v>220169.40667323422</v>
      </c>
    </row>
    <row r="1301" spans="2:2" ht="15.5" x14ac:dyDescent="0.35">
      <c r="B1301" s="853">
        <v>559391.96183027909</v>
      </c>
    </row>
    <row r="1302" spans="2:2" ht="15.5" x14ac:dyDescent="0.35">
      <c r="B1302" s="853">
        <v>464226.15206660307</v>
      </c>
    </row>
    <row r="1303" spans="2:2" ht="15.5" x14ac:dyDescent="0.35">
      <c r="B1303" s="853">
        <v>186754.66242493188</v>
      </c>
    </row>
    <row r="1304" spans="2:2" ht="15.5" x14ac:dyDescent="0.35">
      <c r="B1304" s="853">
        <v>532127.35787268821</v>
      </c>
    </row>
    <row r="1305" spans="2:2" ht="15.5" x14ac:dyDescent="0.35">
      <c r="B1305" s="853">
        <v>507359.88197253947</v>
      </c>
    </row>
    <row r="1306" spans="2:2" ht="15.5" x14ac:dyDescent="0.35">
      <c r="B1306" s="853">
        <v>48516.922221770197</v>
      </c>
    </row>
    <row r="1307" spans="2:2" ht="15.5" x14ac:dyDescent="0.35">
      <c r="B1307" s="853">
        <v>309435.66495167569</v>
      </c>
    </row>
    <row r="1308" spans="2:2" ht="15.5" x14ac:dyDescent="0.35">
      <c r="B1308" s="853">
        <v>218188.4259487667</v>
      </c>
    </row>
    <row r="1309" spans="2:2" ht="15.5" x14ac:dyDescent="0.35">
      <c r="B1309" s="853">
        <v>146471.29826735158</v>
      </c>
    </row>
    <row r="1310" spans="2:2" ht="15.5" x14ac:dyDescent="0.35">
      <c r="B1310" s="853">
        <v>424122.74664242461</v>
      </c>
    </row>
    <row r="1311" spans="2:2" ht="15.5" x14ac:dyDescent="0.35">
      <c r="B1311" s="853">
        <v>433498.68263842067</v>
      </c>
    </row>
    <row r="1312" spans="2:2" ht="15.5" x14ac:dyDescent="0.35">
      <c r="B1312" s="853">
        <v>181682.29313651886</v>
      </c>
    </row>
    <row r="1313" spans="2:2" ht="15.5" x14ac:dyDescent="0.35">
      <c r="B1313" s="853">
        <v>184801.75533644689</v>
      </c>
    </row>
    <row r="1314" spans="2:2" ht="15.5" x14ac:dyDescent="0.35">
      <c r="B1314" s="853">
        <v>313222.0398229658</v>
      </c>
    </row>
    <row r="1315" spans="2:2" ht="15.5" x14ac:dyDescent="0.35">
      <c r="B1315" s="853">
        <v>387918.33971594315</v>
      </c>
    </row>
    <row r="1316" spans="2:2" ht="15.5" x14ac:dyDescent="0.35">
      <c r="B1316" s="853">
        <v>552997.01752992894</v>
      </c>
    </row>
    <row r="1317" spans="2:2" ht="15.5" x14ac:dyDescent="0.35">
      <c r="B1317" s="853">
        <v>178816.75795068781</v>
      </c>
    </row>
    <row r="1318" spans="2:2" ht="15.5" x14ac:dyDescent="0.35">
      <c r="B1318" s="853">
        <v>-46882.980251872345</v>
      </c>
    </row>
    <row r="1319" spans="2:2" ht="15.5" x14ac:dyDescent="0.35">
      <c r="B1319" s="853">
        <v>364959.05850594916</v>
      </c>
    </row>
    <row r="1320" spans="2:2" ht="15.5" x14ac:dyDescent="0.35">
      <c r="B1320" s="853">
        <v>506865.82826125645</v>
      </c>
    </row>
    <row r="1321" spans="2:2" ht="15.5" x14ac:dyDescent="0.35">
      <c r="B1321" s="853">
        <v>-51895.288888835283</v>
      </c>
    </row>
    <row r="1322" spans="2:2" ht="15.5" x14ac:dyDescent="0.35">
      <c r="B1322" s="853">
        <v>385293.06216608261</v>
      </c>
    </row>
    <row r="1323" spans="2:2" ht="15.5" x14ac:dyDescent="0.35">
      <c r="B1323" s="853">
        <v>232600.14931787227</v>
      </c>
    </row>
    <row r="1324" spans="2:2" ht="15.5" x14ac:dyDescent="0.35">
      <c r="B1324" s="853">
        <v>183335.60208550512</v>
      </c>
    </row>
    <row r="1325" spans="2:2" ht="15.5" x14ac:dyDescent="0.35">
      <c r="B1325" s="853">
        <v>128886.94503546969</v>
      </c>
    </row>
    <row r="1326" spans="2:2" ht="15.5" x14ac:dyDescent="0.35">
      <c r="B1326" s="853">
        <v>348260.29228998168</v>
      </c>
    </row>
    <row r="1327" spans="2:2" ht="15.5" x14ac:dyDescent="0.35">
      <c r="B1327" s="853">
        <v>353750.59277526953</v>
      </c>
    </row>
    <row r="1328" spans="2:2" ht="15.5" x14ac:dyDescent="0.35">
      <c r="B1328" s="853">
        <v>292857.93951288256</v>
      </c>
    </row>
    <row r="1329" spans="2:2" ht="15.5" x14ac:dyDescent="0.35">
      <c r="B1329" s="853">
        <v>57780.603126133385</v>
      </c>
    </row>
    <row r="1330" spans="2:2" ht="15.5" x14ac:dyDescent="0.35">
      <c r="B1330" s="853">
        <v>543705.59909744468</v>
      </c>
    </row>
    <row r="1331" spans="2:2" ht="15.5" x14ac:dyDescent="0.35">
      <c r="B1331" s="853">
        <v>360506.77536651236</v>
      </c>
    </row>
    <row r="1332" spans="2:2" ht="15.5" x14ac:dyDescent="0.35">
      <c r="B1332" s="853">
        <v>434552.69474044227</v>
      </c>
    </row>
    <row r="1333" spans="2:2" ht="15.5" x14ac:dyDescent="0.35">
      <c r="B1333" s="853">
        <v>426118.44938921742</v>
      </c>
    </row>
    <row r="1334" spans="2:2" ht="15.5" x14ac:dyDescent="0.35">
      <c r="B1334" s="853">
        <v>233913.10598587332</v>
      </c>
    </row>
    <row r="1335" spans="2:2" ht="15.5" x14ac:dyDescent="0.35">
      <c r="B1335" s="853">
        <v>182600.03206478077</v>
      </c>
    </row>
    <row r="1336" spans="2:2" ht="15.5" x14ac:dyDescent="0.35">
      <c r="B1336" s="853">
        <v>229264.72003732089</v>
      </c>
    </row>
    <row r="1337" spans="2:2" ht="15.5" x14ac:dyDescent="0.35">
      <c r="B1337" s="853">
        <v>526287.55452151271</v>
      </c>
    </row>
    <row r="1338" spans="2:2" ht="15.5" x14ac:dyDescent="0.35">
      <c r="B1338" s="853">
        <v>286214.1541737236</v>
      </c>
    </row>
    <row r="1339" spans="2:2" ht="15.5" x14ac:dyDescent="0.35">
      <c r="B1339" s="853">
        <v>551229.6576634096</v>
      </c>
    </row>
    <row r="1340" spans="2:2" ht="15.5" x14ac:dyDescent="0.35">
      <c r="B1340" s="853">
        <v>422330.66226917866</v>
      </c>
    </row>
    <row r="1341" spans="2:2" ht="15.5" x14ac:dyDescent="0.35">
      <c r="B1341" s="853">
        <v>372658.82669127395</v>
      </c>
    </row>
    <row r="1342" spans="2:2" ht="15.5" x14ac:dyDescent="0.35">
      <c r="B1342" s="853">
        <v>326420.67392464128</v>
      </c>
    </row>
    <row r="1343" spans="2:2" ht="15.5" x14ac:dyDescent="0.35">
      <c r="B1343" s="853">
        <v>254988.17701021579</v>
      </c>
    </row>
    <row r="1344" spans="2:2" ht="15.5" x14ac:dyDescent="0.35">
      <c r="B1344" s="853">
        <v>510934.20339225885</v>
      </c>
    </row>
    <row r="1345" spans="2:2" ht="15.5" x14ac:dyDescent="0.35">
      <c r="B1345" s="853">
        <v>280599.55807426892</v>
      </c>
    </row>
    <row r="1346" spans="2:2" ht="15.5" x14ac:dyDescent="0.35">
      <c r="B1346" s="853">
        <v>501489.51931063173</v>
      </c>
    </row>
    <row r="1347" spans="2:2" ht="15.5" x14ac:dyDescent="0.35">
      <c r="B1347" s="853">
        <v>211937.24983228568</v>
      </c>
    </row>
    <row r="1348" spans="2:2" ht="15.5" x14ac:dyDescent="0.35">
      <c r="B1348" s="853">
        <v>177129.74873300889</v>
      </c>
    </row>
    <row r="1349" spans="2:2" ht="15.5" x14ac:dyDescent="0.35">
      <c r="B1349" s="853">
        <v>381500.49090479343</v>
      </c>
    </row>
    <row r="1350" spans="2:2" ht="15.5" x14ac:dyDescent="0.35">
      <c r="B1350" s="853">
        <v>511301.23174618703</v>
      </c>
    </row>
    <row r="1351" spans="2:2" ht="15.5" x14ac:dyDescent="0.35">
      <c r="B1351" s="853">
        <v>460620.50940609426</v>
      </c>
    </row>
    <row r="1352" spans="2:2" ht="15.5" x14ac:dyDescent="0.35">
      <c r="B1352" s="853">
        <v>548455.54218111932</v>
      </c>
    </row>
    <row r="1353" spans="2:2" ht="15.5" x14ac:dyDescent="0.35">
      <c r="B1353" s="853">
        <v>70089.718622050161</v>
      </c>
    </row>
    <row r="1354" spans="2:2" ht="15.5" x14ac:dyDescent="0.35">
      <c r="B1354" s="853">
        <v>533941.15739654261</v>
      </c>
    </row>
    <row r="1355" spans="2:2" ht="15.5" x14ac:dyDescent="0.35">
      <c r="B1355" s="853">
        <v>418902.93405378528</v>
      </c>
    </row>
    <row r="1356" spans="2:2" ht="15.5" x14ac:dyDescent="0.35">
      <c r="B1356" s="853">
        <v>181906.46041110004</v>
      </c>
    </row>
    <row r="1357" spans="2:2" ht="15.5" x14ac:dyDescent="0.35">
      <c r="B1357" s="853">
        <v>380758.77892576356</v>
      </c>
    </row>
    <row r="1358" spans="2:2" ht="15.5" x14ac:dyDescent="0.35">
      <c r="B1358" s="853">
        <v>271515.97313856904</v>
      </c>
    </row>
    <row r="1359" spans="2:2" ht="15.5" x14ac:dyDescent="0.35">
      <c r="B1359" s="853">
        <v>303191.67462057847</v>
      </c>
    </row>
    <row r="1360" spans="2:2" ht="15.5" x14ac:dyDescent="0.35">
      <c r="B1360" s="853">
        <v>268242.84979546705</v>
      </c>
    </row>
    <row r="1361" spans="2:2" ht="15.5" x14ac:dyDescent="0.35">
      <c r="B1361" s="853">
        <v>433753.29617145337</v>
      </c>
    </row>
    <row r="1362" spans="2:2" ht="15.5" x14ac:dyDescent="0.35">
      <c r="B1362" s="853">
        <v>13663.030850606732</v>
      </c>
    </row>
    <row r="1363" spans="2:2" ht="15.5" x14ac:dyDescent="0.35">
      <c r="B1363" s="853">
        <v>48462.75406949121</v>
      </c>
    </row>
    <row r="1364" spans="2:2" ht="15.5" x14ac:dyDescent="0.35">
      <c r="B1364" s="853">
        <v>76759.981505671982</v>
      </c>
    </row>
    <row r="1365" spans="2:2" ht="15.5" x14ac:dyDescent="0.35">
      <c r="B1365" s="853">
        <v>270260.6315652756</v>
      </c>
    </row>
    <row r="1366" spans="2:2" ht="15.5" x14ac:dyDescent="0.35">
      <c r="B1366" s="853">
        <v>372102.33755184646</v>
      </c>
    </row>
    <row r="1367" spans="2:2" ht="15.5" x14ac:dyDescent="0.35">
      <c r="B1367" s="853">
        <v>250552.75429201702</v>
      </c>
    </row>
    <row r="1368" spans="2:2" ht="15.5" x14ac:dyDescent="0.35">
      <c r="B1368" s="853">
        <v>204346.16821919498</v>
      </c>
    </row>
    <row r="1369" spans="2:2" ht="15.5" x14ac:dyDescent="0.35">
      <c r="B1369" s="853">
        <v>209973.97607719846</v>
      </c>
    </row>
    <row r="1370" spans="2:2" ht="15.5" x14ac:dyDescent="0.35">
      <c r="B1370" s="853">
        <v>405038.74597284955</v>
      </c>
    </row>
    <row r="1371" spans="2:2" ht="15.5" x14ac:dyDescent="0.35">
      <c r="B1371" s="853">
        <v>315072.22268897231</v>
      </c>
    </row>
    <row r="1372" spans="2:2" ht="15.5" x14ac:dyDescent="0.35">
      <c r="B1372" s="853">
        <v>245209.44777661344</v>
      </c>
    </row>
    <row r="1373" spans="2:2" ht="15.5" x14ac:dyDescent="0.35">
      <c r="B1373" s="853">
        <v>208747.25884916651</v>
      </c>
    </row>
    <row r="1374" spans="2:2" ht="15.5" x14ac:dyDescent="0.35">
      <c r="B1374" s="853">
        <v>247866.12058351396</v>
      </c>
    </row>
    <row r="1375" spans="2:2" ht="15.5" x14ac:dyDescent="0.35">
      <c r="B1375" s="853">
        <v>469083.36943053652</v>
      </c>
    </row>
    <row r="1376" spans="2:2" ht="15.5" x14ac:dyDescent="0.35">
      <c r="B1376" s="853">
        <v>421104.24785852648</v>
      </c>
    </row>
    <row r="1377" spans="2:2" ht="15.5" x14ac:dyDescent="0.35">
      <c r="B1377" s="853">
        <v>371333.38443185383</v>
      </c>
    </row>
    <row r="1378" spans="2:2" ht="15.5" x14ac:dyDescent="0.35">
      <c r="B1378" s="853">
        <v>122276.63176065014</v>
      </c>
    </row>
    <row r="1379" spans="2:2" ht="15.5" x14ac:dyDescent="0.35">
      <c r="B1379" s="853">
        <v>198103.72857673554</v>
      </c>
    </row>
    <row r="1380" spans="2:2" ht="15.5" x14ac:dyDescent="0.35">
      <c r="B1380" s="853">
        <v>52324.199148583364</v>
      </c>
    </row>
    <row r="1381" spans="2:2" ht="15.5" x14ac:dyDescent="0.35">
      <c r="B1381" s="853">
        <v>333367.73708547535</v>
      </c>
    </row>
    <row r="1382" spans="2:2" ht="15.5" x14ac:dyDescent="0.35">
      <c r="B1382" s="853">
        <v>157575.58249620162</v>
      </c>
    </row>
    <row r="1383" spans="2:2" ht="15.5" x14ac:dyDescent="0.35">
      <c r="B1383" s="853">
        <v>307669.14169831789</v>
      </c>
    </row>
    <row r="1384" spans="2:2" ht="15.5" x14ac:dyDescent="0.35">
      <c r="B1384" s="853">
        <v>333754.25561902364</v>
      </c>
    </row>
    <row r="1385" spans="2:2" ht="15.5" x14ac:dyDescent="0.35">
      <c r="B1385" s="853">
        <v>369366.51245838049</v>
      </c>
    </row>
    <row r="1386" spans="2:2" ht="15.5" x14ac:dyDescent="0.35">
      <c r="B1386" s="853">
        <v>514262.48855961097</v>
      </c>
    </row>
    <row r="1387" spans="2:2" ht="15.5" x14ac:dyDescent="0.35">
      <c r="B1387" s="853">
        <v>173355.63342996128</v>
      </c>
    </row>
    <row r="1388" spans="2:2" ht="15.5" x14ac:dyDescent="0.35">
      <c r="B1388" s="853">
        <v>315631.95055080246</v>
      </c>
    </row>
    <row r="1389" spans="2:2" ht="15.5" x14ac:dyDescent="0.35">
      <c r="B1389" s="853">
        <v>195304.93525749134</v>
      </c>
    </row>
    <row r="1390" spans="2:2" ht="15.5" x14ac:dyDescent="0.35">
      <c r="B1390" s="853">
        <v>447905.65406892571</v>
      </c>
    </row>
    <row r="1391" spans="2:2" ht="15.5" x14ac:dyDescent="0.35">
      <c r="B1391" s="853">
        <v>-12190.608764202199</v>
      </c>
    </row>
    <row r="1392" spans="2:2" ht="15.5" x14ac:dyDescent="0.35">
      <c r="B1392" s="853">
        <v>166105.13430111168</v>
      </c>
    </row>
    <row r="1393" spans="2:2" ht="15.5" x14ac:dyDescent="0.35">
      <c r="B1393" s="853">
        <v>159344.59959147486</v>
      </c>
    </row>
    <row r="1394" spans="2:2" ht="15.5" x14ac:dyDescent="0.35">
      <c r="B1394" s="853">
        <v>108250.85961813865</v>
      </c>
    </row>
    <row r="1395" spans="2:2" ht="15.5" x14ac:dyDescent="0.35">
      <c r="B1395" s="853">
        <v>237636.46846531637</v>
      </c>
    </row>
    <row r="1396" spans="2:2" ht="15.5" x14ac:dyDescent="0.35">
      <c r="B1396" s="853">
        <v>483804.14585086127</v>
      </c>
    </row>
    <row r="1397" spans="2:2" ht="15.5" x14ac:dyDescent="0.35">
      <c r="B1397" s="853">
        <v>156342.18795178033</v>
      </c>
    </row>
    <row r="1398" spans="2:2" ht="15.5" x14ac:dyDescent="0.35">
      <c r="B1398" s="853">
        <v>342195.88828626199</v>
      </c>
    </row>
    <row r="1399" spans="2:2" ht="15.5" x14ac:dyDescent="0.35">
      <c r="B1399" s="853">
        <v>185271.41874640615</v>
      </c>
    </row>
    <row r="1400" spans="2:2" ht="15.5" x14ac:dyDescent="0.35">
      <c r="B1400" s="853">
        <v>242511.6881465406</v>
      </c>
    </row>
    <row r="1401" spans="2:2" ht="15.5" x14ac:dyDescent="0.35">
      <c r="B1401" s="853">
        <v>198688.67968260683</v>
      </c>
    </row>
    <row r="1402" spans="2:2" ht="15.5" x14ac:dyDescent="0.35">
      <c r="B1402" s="853">
        <v>162266.7783394354</v>
      </c>
    </row>
    <row r="1403" spans="2:2" ht="15.5" x14ac:dyDescent="0.35">
      <c r="B1403" s="853">
        <v>244201.31945697937</v>
      </c>
    </row>
    <row r="1404" spans="2:2" ht="15.5" x14ac:dyDescent="0.35">
      <c r="B1404" s="853">
        <v>171172.67719084024</v>
      </c>
    </row>
    <row r="1405" spans="2:2" ht="15.5" x14ac:dyDescent="0.35">
      <c r="B1405" s="853">
        <v>96180.75961855166</v>
      </c>
    </row>
    <row r="1406" spans="2:2" ht="15.5" x14ac:dyDescent="0.35">
      <c r="B1406" s="853">
        <v>476641.39644024929</v>
      </c>
    </row>
    <row r="1407" spans="2:2" ht="15.5" x14ac:dyDescent="0.35">
      <c r="B1407" s="853">
        <v>433567.74408049608</v>
      </c>
    </row>
    <row r="1408" spans="2:2" ht="15.5" x14ac:dyDescent="0.35">
      <c r="B1408" s="853">
        <v>546734.26918970956</v>
      </c>
    </row>
    <row r="1409" spans="2:2" ht="15.5" x14ac:dyDescent="0.35">
      <c r="B1409" s="853">
        <v>525398.46823694324</v>
      </c>
    </row>
    <row r="1410" spans="2:2" ht="15.5" x14ac:dyDescent="0.35">
      <c r="B1410" s="853">
        <v>142175.92389500359</v>
      </c>
    </row>
    <row r="1411" spans="2:2" ht="15.5" x14ac:dyDescent="0.35">
      <c r="B1411" s="853">
        <v>578479.50398397725</v>
      </c>
    </row>
    <row r="1412" spans="2:2" ht="15.5" x14ac:dyDescent="0.35">
      <c r="B1412" s="853">
        <v>345045.14590954507</v>
      </c>
    </row>
    <row r="1413" spans="2:2" ht="15.5" x14ac:dyDescent="0.35">
      <c r="B1413" s="853">
        <v>342448.36851845914</v>
      </c>
    </row>
    <row r="1414" spans="2:2" ht="15.5" x14ac:dyDescent="0.35">
      <c r="B1414" s="853">
        <v>418526.09628406173</v>
      </c>
    </row>
    <row r="1415" spans="2:2" ht="15.5" x14ac:dyDescent="0.35">
      <c r="B1415" s="853">
        <v>378991.74956627237</v>
      </c>
    </row>
    <row r="1416" spans="2:2" ht="15.5" x14ac:dyDescent="0.35">
      <c r="B1416" s="853">
        <v>99589.728914040345</v>
      </c>
    </row>
    <row r="1417" spans="2:2" ht="15.5" x14ac:dyDescent="0.35">
      <c r="B1417" s="853">
        <v>128685.86975243205</v>
      </c>
    </row>
    <row r="1418" spans="2:2" ht="15.5" x14ac:dyDescent="0.35">
      <c r="B1418" s="853">
        <v>106473.10306910178</v>
      </c>
    </row>
    <row r="1419" spans="2:2" ht="15.5" x14ac:dyDescent="0.35">
      <c r="B1419" s="853">
        <v>166579.73590925889</v>
      </c>
    </row>
    <row r="1420" spans="2:2" ht="15.5" x14ac:dyDescent="0.35">
      <c r="B1420" s="853">
        <v>380842.05441603769</v>
      </c>
    </row>
    <row r="1421" spans="2:2" ht="15.5" x14ac:dyDescent="0.35">
      <c r="B1421" s="853">
        <v>348683.30589611805</v>
      </c>
    </row>
    <row r="1422" spans="2:2" ht="15.5" x14ac:dyDescent="0.35">
      <c r="B1422" s="853">
        <v>541303.61643288156</v>
      </c>
    </row>
    <row r="1423" spans="2:2" ht="15.5" x14ac:dyDescent="0.35">
      <c r="B1423" s="853">
        <v>317232.10070323257</v>
      </c>
    </row>
    <row r="1424" spans="2:2" ht="15.5" x14ac:dyDescent="0.35">
      <c r="B1424" s="853">
        <v>258992.48878690755</v>
      </c>
    </row>
    <row r="1425" spans="2:2" ht="15.5" x14ac:dyDescent="0.35">
      <c r="B1425" s="853">
        <v>252256.00585494412</v>
      </c>
    </row>
    <row r="1426" spans="2:2" ht="15.5" x14ac:dyDescent="0.35">
      <c r="B1426" s="853">
        <v>201674.06577150419</v>
      </c>
    </row>
    <row r="1427" spans="2:2" ht="15.5" x14ac:dyDescent="0.35">
      <c r="B1427" s="853">
        <v>296095.26950052433</v>
      </c>
    </row>
    <row r="1428" spans="2:2" ht="15.5" x14ac:dyDescent="0.35">
      <c r="B1428" s="853">
        <v>380124.35648532672</v>
      </c>
    </row>
    <row r="1429" spans="2:2" ht="15.5" x14ac:dyDescent="0.35">
      <c r="B1429" s="853">
        <v>536872.48051713523</v>
      </c>
    </row>
    <row r="1430" spans="2:2" ht="15.5" x14ac:dyDescent="0.35">
      <c r="B1430" s="853">
        <v>106885.25685402426</v>
      </c>
    </row>
    <row r="1431" spans="2:2" ht="15.5" x14ac:dyDescent="0.35">
      <c r="B1431" s="853">
        <v>434891.97336925345</v>
      </c>
    </row>
    <row r="1432" spans="2:2" ht="15.5" x14ac:dyDescent="0.35">
      <c r="B1432" s="853">
        <v>147672.17136409067</v>
      </c>
    </row>
    <row r="1433" spans="2:2" ht="15.5" x14ac:dyDescent="0.35">
      <c r="B1433" s="853">
        <v>650500.2659885881</v>
      </c>
    </row>
    <row r="1434" spans="2:2" ht="15.5" x14ac:dyDescent="0.35">
      <c r="B1434" s="853">
        <v>160413.46396648229</v>
      </c>
    </row>
    <row r="1435" spans="2:2" ht="15.5" x14ac:dyDescent="0.35">
      <c r="B1435" s="853">
        <v>281706.71161650668</v>
      </c>
    </row>
    <row r="1436" spans="2:2" ht="15.5" x14ac:dyDescent="0.35">
      <c r="B1436" s="853">
        <v>721156.11518988106</v>
      </c>
    </row>
    <row r="1437" spans="2:2" ht="15.5" x14ac:dyDescent="0.35">
      <c r="B1437" s="853">
        <v>349609.96460607788</v>
      </c>
    </row>
    <row r="1438" spans="2:2" ht="15.5" x14ac:dyDescent="0.35">
      <c r="B1438" s="853">
        <v>197957.24281447477</v>
      </c>
    </row>
    <row r="1439" spans="2:2" ht="15.5" x14ac:dyDescent="0.35">
      <c r="B1439" s="853">
        <v>284007.55821570754</v>
      </c>
    </row>
    <row r="1440" spans="2:2" ht="15.5" x14ac:dyDescent="0.35">
      <c r="B1440" s="853">
        <v>362645.17079776869</v>
      </c>
    </row>
    <row r="1441" spans="2:2" ht="15.5" x14ac:dyDescent="0.35">
      <c r="B1441" s="853">
        <v>229244.11230482982</v>
      </c>
    </row>
    <row r="1442" spans="2:2" ht="15.5" x14ac:dyDescent="0.35">
      <c r="B1442" s="853">
        <v>117544.83754021784</v>
      </c>
    </row>
    <row r="1443" spans="2:2" ht="15.5" x14ac:dyDescent="0.35">
      <c r="B1443" s="853">
        <v>169875.81191982428</v>
      </c>
    </row>
    <row r="1444" spans="2:2" ht="15.5" x14ac:dyDescent="0.35">
      <c r="B1444" s="853">
        <v>219665.87689825383</v>
      </c>
    </row>
    <row r="1445" spans="2:2" ht="15.5" x14ac:dyDescent="0.35">
      <c r="B1445" s="853">
        <v>26134.967859320259</v>
      </c>
    </row>
    <row r="1446" spans="2:2" ht="15.5" x14ac:dyDescent="0.35">
      <c r="B1446" s="853">
        <v>336257.07033833617</v>
      </c>
    </row>
    <row r="1447" spans="2:2" ht="15.5" x14ac:dyDescent="0.35">
      <c r="B1447" s="853">
        <v>337533.04916042805</v>
      </c>
    </row>
    <row r="1448" spans="2:2" ht="15.5" x14ac:dyDescent="0.35">
      <c r="B1448" s="853">
        <v>511277.92197670898</v>
      </c>
    </row>
    <row r="1449" spans="2:2" ht="15.5" x14ac:dyDescent="0.35">
      <c r="B1449" s="853">
        <v>247492.63364248438</v>
      </c>
    </row>
    <row r="1450" spans="2:2" ht="15.5" x14ac:dyDescent="0.35">
      <c r="B1450" s="853">
        <v>573170.63569364487</v>
      </c>
    </row>
    <row r="1451" spans="2:2" ht="15.5" x14ac:dyDescent="0.35">
      <c r="B1451" s="853">
        <v>198631.69857415921</v>
      </c>
    </row>
    <row r="1452" spans="2:2" ht="15.5" x14ac:dyDescent="0.35">
      <c r="B1452" s="853">
        <v>320644.88857190887</v>
      </c>
    </row>
    <row r="1453" spans="2:2" ht="15.5" x14ac:dyDescent="0.35">
      <c r="B1453" s="853">
        <v>446751.22320735268</v>
      </c>
    </row>
    <row r="1454" spans="2:2" ht="15.5" x14ac:dyDescent="0.35">
      <c r="B1454" s="853">
        <v>318868.49346758798</v>
      </c>
    </row>
    <row r="1455" spans="2:2" ht="15.5" x14ac:dyDescent="0.35">
      <c r="B1455" s="853">
        <v>299858.68314136373</v>
      </c>
    </row>
    <row r="1456" spans="2:2" ht="15.5" x14ac:dyDescent="0.35">
      <c r="B1456" s="853">
        <v>314439.97338988207</v>
      </c>
    </row>
    <row r="1457" spans="2:2" ht="15.5" x14ac:dyDescent="0.35">
      <c r="B1457" s="853">
        <v>371578.67037949641</v>
      </c>
    </row>
    <row r="1458" spans="2:2" ht="15.5" x14ac:dyDescent="0.35">
      <c r="B1458" s="853">
        <v>322462.77589470666</v>
      </c>
    </row>
    <row r="1459" spans="2:2" ht="15.5" x14ac:dyDescent="0.35">
      <c r="B1459" s="853">
        <v>266859.86426452594</v>
      </c>
    </row>
    <row r="1460" spans="2:2" ht="15.5" x14ac:dyDescent="0.35">
      <c r="B1460" s="853">
        <v>408063.41461965756</v>
      </c>
    </row>
    <row r="1461" spans="2:2" ht="15.5" x14ac:dyDescent="0.35">
      <c r="B1461" s="853">
        <v>201408.6837784407</v>
      </c>
    </row>
    <row r="1462" spans="2:2" ht="15.5" x14ac:dyDescent="0.35">
      <c r="B1462" s="853">
        <v>112743.56387711884</v>
      </c>
    </row>
    <row r="1463" spans="2:2" ht="15.5" x14ac:dyDescent="0.35">
      <c r="B1463" s="853">
        <v>181746.70124075556</v>
      </c>
    </row>
    <row r="1464" spans="2:2" ht="15.5" x14ac:dyDescent="0.35">
      <c r="B1464" s="853">
        <v>120643.22616273514</v>
      </c>
    </row>
    <row r="1465" spans="2:2" ht="15.5" x14ac:dyDescent="0.35">
      <c r="B1465" s="853">
        <v>-14157.668555390403</v>
      </c>
    </row>
    <row r="1466" spans="2:2" ht="15.5" x14ac:dyDescent="0.35">
      <c r="B1466" s="853">
        <v>425375.63354525145</v>
      </c>
    </row>
    <row r="1467" spans="2:2" ht="15.5" x14ac:dyDescent="0.35">
      <c r="B1467" s="853">
        <v>467575.73604755005</v>
      </c>
    </row>
    <row r="1468" spans="2:2" ht="15.5" x14ac:dyDescent="0.35">
      <c r="B1468" s="853">
        <v>56853.011613402567</v>
      </c>
    </row>
    <row r="1469" spans="2:2" ht="15.5" x14ac:dyDescent="0.35">
      <c r="B1469" s="853">
        <v>164566.55685921441</v>
      </c>
    </row>
    <row r="1470" spans="2:2" ht="15.5" x14ac:dyDescent="0.35">
      <c r="B1470" s="853">
        <v>422929.08367340488</v>
      </c>
    </row>
    <row r="1471" spans="2:2" ht="15.5" x14ac:dyDescent="0.35">
      <c r="B1471" s="853">
        <v>363005.0083039017</v>
      </c>
    </row>
    <row r="1472" spans="2:2" ht="15.5" x14ac:dyDescent="0.35">
      <c r="B1472" s="853">
        <v>298047.50887145707</v>
      </c>
    </row>
    <row r="1473" spans="2:2" ht="15.5" x14ac:dyDescent="0.35">
      <c r="B1473" s="853">
        <v>291326.2592767647</v>
      </c>
    </row>
    <row r="1474" spans="2:2" ht="15.5" x14ac:dyDescent="0.35">
      <c r="B1474" s="853">
        <v>367418.16140276002</v>
      </c>
    </row>
    <row r="1475" spans="2:2" ht="15.5" x14ac:dyDescent="0.35">
      <c r="B1475" s="853">
        <v>469811.4274955907</v>
      </c>
    </row>
    <row r="1476" spans="2:2" ht="15.5" x14ac:dyDescent="0.35">
      <c r="B1476" s="853">
        <v>398087.73281173978</v>
      </c>
    </row>
    <row r="1477" spans="2:2" ht="15.5" x14ac:dyDescent="0.35">
      <c r="B1477" s="853">
        <v>235564.06957843504</v>
      </c>
    </row>
    <row r="1478" spans="2:2" ht="15.5" x14ac:dyDescent="0.35">
      <c r="B1478" s="853">
        <v>108303.72668274745</v>
      </c>
    </row>
    <row r="1479" spans="2:2" ht="15.5" x14ac:dyDescent="0.35">
      <c r="B1479" s="853">
        <v>291813.91099352174</v>
      </c>
    </row>
    <row r="1480" spans="2:2" ht="15.5" x14ac:dyDescent="0.35">
      <c r="B1480" s="853">
        <v>749223.04645615455</v>
      </c>
    </row>
    <row r="1481" spans="2:2" ht="15.5" x14ac:dyDescent="0.35">
      <c r="B1481" s="853">
        <v>266208.36613977863</v>
      </c>
    </row>
    <row r="1482" spans="2:2" ht="15.5" x14ac:dyDescent="0.35">
      <c r="B1482" s="853">
        <v>485649.81487183511</v>
      </c>
    </row>
    <row r="1483" spans="2:2" ht="15.5" x14ac:dyDescent="0.35">
      <c r="B1483" s="853">
        <v>291860.67806949961</v>
      </c>
    </row>
    <row r="1484" spans="2:2" ht="15.5" x14ac:dyDescent="0.35">
      <c r="B1484" s="853">
        <v>172407.09577914258</v>
      </c>
    </row>
    <row r="1485" spans="2:2" ht="15.5" x14ac:dyDescent="0.35">
      <c r="B1485" s="853">
        <v>213803.66900760453</v>
      </c>
    </row>
    <row r="1486" spans="2:2" ht="15.5" x14ac:dyDescent="0.35">
      <c r="B1486" s="853">
        <v>362167.6797518704</v>
      </c>
    </row>
    <row r="1487" spans="2:2" ht="15.5" x14ac:dyDescent="0.35">
      <c r="B1487" s="853">
        <v>469648.39129964402</v>
      </c>
    </row>
    <row r="1488" spans="2:2" ht="15.5" x14ac:dyDescent="0.35">
      <c r="B1488" s="853">
        <v>85453.905827757408</v>
      </c>
    </row>
    <row r="1489" spans="2:2" ht="15.5" x14ac:dyDescent="0.35">
      <c r="B1489" s="853">
        <v>445949.04323001415</v>
      </c>
    </row>
    <row r="1490" spans="2:2" ht="15.5" x14ac:dyDescent="0.35">
      <c r="B1490" s="853">
        <v>382968.1684457974</v>
      </c>
    </row>
    <row r="1491" spans="2:2" ht="15.5" x14ac:dyDescent="0.35">
      <c r="B1491" s="853">
        <v>24729.493946684786</v>
      </c>
    </row>
    <row r="1492" spans="2:2" ht="15.5" x14ac:dyDescent="0.35">
      <c r="B1492" s="853">
        <v>327205.21200861421</v>
      </c>
    </row>
    <row r="1493" spans="2:2" ht="15.5" x14ac:dyDescent="0.35">
      <c r="B1493" s="853">
        <v>536119.35962243902</v>
      </c>
    </row>
    <row r="1494" spans="2:2" ht="15.5" x14ac:dyDescent="0.35">
      <c r="B1494" s="853">
        <v>223575.89867757855</v>
      </c>
    </row>
    <row r="1495" spans="2:2" ht="15.5" x14ac:dyDescent="0.35">
      <c r="B1495" s="853">
        <v>354381.61113620037</v>
      </c>
    </row>
    <row r="1496" spans="2:2" ht="15.5" x14ac:dyDescent="0.35">
      <c r="B1496" s="853">
        <v>285480.54432269168</v>
      </c>
    </row>
    <row r="1497" spans="2:2" ht="15.5" x14ac:dyDescent="0.35">
      <c r="B1497" s="853">
        <v>358038.01985596196</v>
      </c>
    </row>
    <row r="1498" spans="2:2" ht="15.5" x14ac:dyDescent="0.35">
      <c r="B1498" s="853">
        <v>286236.65543603856</v>
      </c>
    </row>
    <row r="1499" spans="2:2" ht="15.5" x14ac:dyDescent="0.35">
      <c r="B1499" s="853">
        <v>275290.75042949984</v>
      </c>
    </row>
    <row r="1500" spans="2:2" ht="15.5" x14ac:dyDescent="0.35">
      <c r="B1500" s="853">
        <v>285789.90247690398</v>
      </c>
    </row>
    <row r="1501" spans="2:2" ht="15.5" x14ac:dyDescent="0.35">
      <c r="B1501" s="853">
        <v>201821.61238498287</v>
      </c>
    </row>
    <row r="1502" spans="2:2" ht="15.5" x14ac:dyDescent="0.35">
      <c r="B1502" s="853">
        <v>92443.842301238314</v>
      </c>
    </row>
    <row r="1503" spans="2:2" ht="15.5" x14ac:dyDescent="0.35">
      <c r="B1503" s="853">
        <v>84026.727312996431</v>
      </c>
    </row>
    <row r="1504" spans="2:2" ht="15.5" x14ac:dyDescent="0.35">
      <c r="B1504" s="853">
        <v>232480.76246442785</v>
      </c>
    </row>
    <row r="1505" spans="2:2" ht="15.5" x14ac:dyDescent="0.35">
      <c r="B1505" s="853">
        <v>163238.38952428004</v>
      </c>
    </row>
    <row r="1506" spans="2:2" ht="15.5" x14ac:dyDescent="0.35">
      <c r="B1506" s="853">
        <v>203938.56433361466</v>
      </c>
    </row>
    <row r="1507" spans="2:2" ht="15.5" x14ac:dyDescent="0.35">
      <c r="B1507" s="853">
        <v>559226.35699632252</v>
      </c>
    </row>
    <row r="1508" spans="2:2" ht="15.5" x14ac:dyDescent="0.35">
      <c r="B1508" s="853">
        <v>298911.26747780089</v>
      </c>
    </row>
    <row r="1509" spans="2:2" ht="15.5" x14ac:dyDescent="0.35">
      <c r="B1509" s="853">
        <v>269240.69491239946</v>
      </c>
    </row>
    <row r="1510" spans="2:2" ht="15.5" x14ac:dyDescent="0.35">
      <c r="B1510" s="853">
        <v>314702.23029336869</v>
      </c>
    </row>
    <row r="1511" spans="2:2" ht="15.5" x14ac:dyDescent="0.35">
      <c r="B1511" s="853">
        <v>-21346.611111011316</v>
      </c>
    </row>
    <row r="1512" spans="2:2" ht="15.5" x14ac:dyDescent="0.35">
      <c r="B1512" s="853">
        <v>304368.90869252861</v>
      </c>
    </row>
    <row r="1513" spans="2:2" ht="15.5" x14ac:dyDescent="0.35">
      <c r="B1513" s="853">
        <v>433020.5592511663</v>
      </c>
    </row>
    <row r="1514" spans="2:2" ht="15.5" x14ac:dyDescent="0.35">
      <c r="B1514" s="853">
        <v>421659.65969879547</v>
      </c>
    </row>
    <row r="1515" spans="2:2" ht="15.5" x14ac:dyDescent="0.35">
      <c r="B1515" s="853">
        <v>218183.20768357924</v>
      </c>
    </row>
    <row r="1516" spans="2:2" ht="15.5" x14ac:dyDescent="0.35">
      <c r="B1516" s="853">
        <v>186863.4341364034</v>
      </c>
    </row>
    <row r="1517" spans="2:2" ht="15.5" x14ac:dyDescent="0.35">
      <c r="B1517" s="853">
        <v>341364.43007681915</v>
      </c>
    </row>
    <row r="1518" spans="2:2" ht="15.5" x14ac:dyDescent="0.35">
      <c r="B1518" s="853">
        <v>196936.31204403038</v>
      </c>
    </row>
    <row r="1519" spans="2:2" ht="15.5" x14ac:dyDescent="0.35">
      <c r="B1519" s="853">
        <v>299557.10554260993</v>
      </c>
    </row>
    <row r="1520" spans="2:2" ht="15.5" x14ac:dyDescent="0.35">
      <c r="B1520" s="853">
        <v>364878.9695364022</v>
      </c>
    </row>
    <row r="1521" spans="2:2" ht="15.5" x14ac:dyDescent="0.35">
      <c r="B1521" s="853">
        <v>276008.80083692214</v>
      </c>
    </row>
    <row r="1522" spans="2:2" ht="15.5" x14ac:dyDescent="0.35">
      <c r="B1522" s="853">
        <v>444482.35353675531</v>
      </c>
    </row>
    <row r="1523" spans="2:2" ht="15.5" x14ac:dyDescent="0.35">
      <c r="B1523" s="853">
        <v>147050.77165801771</v>
      </c>
    </row>
    <row r="1524" spans="2:2" ht="15.5" x14ac:dyDescent="0.35">
      <c r="B1524" s="853">
        <v>420601.78077413142</v>
      </c>
    </row>
    <row r="1525" spans="2:2" ht="15.5" x14ac:dyDescent="0.35">
      <c r="B1525" s="853">
        <v>416917.52100846986</v>
      </c>
    </row>
    <row r="1526" spans="2:2" ht="15.5" x14ac:dyDescent="0.35">
      <c r="B1526" s="853">
        <v>334505.77331037406</v>
      </c>
    </row>
    <row r="1527" spans="2:2" ht="15.5" x14ac:dyDescent="0.35">
      <c r="B1527" s="853">
        <v>550230.81140885153</v>
      </c>
    </row>
    <row r="1528" spans="2:2" ht="15.5" x14ac:dyDescent="0.35">
      <c r="B1528" s="853">
        <v>207510.73904591985</v>
      </c>
    </row>
    <row r="1529" spans="2:2" ht="15.5" x14ac:dyDescent="0.35">
      <c r="B1529" s="853">
        <v>255838.46551296057</v>
      </c>
    </row>
    <row r="1530" spans="2:2" ht="15.5" x14ac:dyDescent="0.35">
      <c r="B1530" s="853">
        <v>111764.68374556863</v>
      </c>
    </row>
    <row r="1531" spans="2:2" ht="15.5" x14ac:dyDescent="0.35">
      <c r="B1531" s="853">
        <v>212298.11147277823</v>
      </c>
    </row>
    <row r="1532" spans="2:2" ht="15.5" x14ac:dyDescent="0.35">
      <c r="B1532" s="853">
        <v>180676.51343305144</v>
      </c>
    </row>
    <row r="1533" spans="2:2" ht="15.5" x14ac:dyDescent="0.35">
      <c r="B1533" s="853">
        <v>300191.42910071398</v>
      </c>
    </row>
    <row r="1534" spans="2:2" ht="15.5" x14ac:dyDescent="0.35">
      <c r="B1534" s="853">
        <v>-53278.685887657324</v>
      </c>
    </row>
    <row r="1535" spans="2:2" ht="15.5" x14ac:dyDescent="0.35">
      <c r="B1535" s="853">
        <v>154863.06803033256</v>
      </c>
    </row>
    <row r="1536" spans="2:2" ht="15.5" x14ac:dyDescent="0.35">
      <c r="B1536" s="853">
        <v>621638.54733142094</v>
      </c>
    </row>
    <row r="1537" spans="2:2" ht="15.5" x14ac:dyDescent="0.35">
      <c r="B1537" s="853">
        <v>75611.383626025112</v>
      </c>
    </row>
    <row r="1538" spans="2:2" ht="15.5" x14ac:dyDescent="0.35">
      <c r="B1538" s="853">
        <v>307044.45523854456</v>
      </c>
    </row>
    <row r="1539" spans="2:2" ht="15.5" x14ac:dyDescent="0.35">
      <c r="B1539" s="853">
        <v>518595.23710475746</v>
      </c>
    </row>
    <row r="1540" spans="2:2" ht="15.5" x14ac:dyDescent="0.35">
      <c r="B1540" s="853">
        <v>371369.41802187072</v>
      </c>
    </row>
    <row r="1541" spans="2:2" ht="15.5" x14ac:dyDescent="0.35">
      <c r="B1541" s="853">
        <v>431110.92896949692</v>
      </c>
    </row>
    <row r="1542" spans="2:2" ht="15.5" x14ac:dyDescent="0.35">
      <c r="B1542" s="853">
        <v>467569.09641484945</v>
      </c>
    </row>
    <row r="1543" spans="2:2" ht="15.5" x14ac:dyDescent="0.35">
      <c r="B1543" s="853">
        <v>304496.12017612567</v>
      </c>
    </row>
    <row r="1544" spans="2:2" ht="15.5" x14ac:dyDescent="0.35">
      <c r="B1544" s="853">
        <v>77917.486991053796</v>
      </c>
    </row>
    <row r="1545" spans="2:2" ht="15.5" x14ac:dyDescent="0.35">
      <c r="B1545" s="853">
        <v>98378.566282500076</v>
      </c>
    </row>
    <row r="1546" spans="2:2" ht="15.5" x14ac:dyDescent="0.35">
      <c r="B1546" s="853">
        <v>321619.39000561135</v>
      </c>
    </row>
    <row r="1547" spans="2:2" ht="15.5" x14ac:dyDescent="0.35">
      <c r="B1547" s="853">
        <v>257910.72123826138</v>
      </c>
    </row>
    <row r="1548" spans="2:2" ht="15.5" x14ac:dyDescent="0.35">
      <c r="B1548" s="853">
        <v>158893.53254892217</v>
      </c>
    </row>
    <row r="1549" spans="2:2" ht="15.5" x14ac:dyDescent="0.35">
      <c r="B1549" s="853">
        <v>459843.53126458661</v>
      </c>
    </row>
    <row r="1550" spans="2:2" ht="15.5" x14ac:dyDescent="0.35">
      <c r="B1550" s="853">
        <v>436478.95553621824</v>
      </c>
    </row>
    <row r="1551" spans="2:2" ht="15.5" x14ac:dyDescent="0.35">
      <c r="B1551" s="853">
        <v>276721.49474028545</v>
      </c>
    </row>
    <row r="1552" spans="2:2" ht="15.5" x14ac:dyDescent="0.35">
      <c r="B1552" s="853">
        <v>203825.61456730569</v>
      </c>
    </row>
    <row r="1553" spans="2:2" ht="15.5" x14ac:dyDescent="0.35">
      <c r="B1553" s="853">
        <v>189940.74364148872</v>
      </c>
    </row>
    <row r="1554" spans="2:2" ht="15.5" x14ac:dyDescent="0.35">
      <c r="B1554" s="853">
        <v>459096.33118898928</v>
      </c>
    </row>
    <row r="1555" spans="2:2" ht="15.5" x14ac:dyDescent="0.35">
      <c r="B1555" s="853">
        <v>422953.75463695248</v>
      </c>
    </row>
    <row r="1556" spans="2:2" ht="15.5" x14ac:dyDescent="0.35">
      <c r="B1556" s="853">
        <v>296315.5048516934</v>
      </c>
    </row>
    <row r="1557" spans="2:2" ht="15.5" x14ac:dyDescent="0.35">
      <c r="B1557" s="853">
        <v>394538.75360995007</v>
      </c>
    </row>
    <row r="1558" spans="2:2" ht="15.5" x14ac:dyDescent="0.35">
      <c r="B1558" s="853">
        <v>272034.87328702613</v>
      </c>
    </row>
    <row r="1559" spans="2:2" ht="15.5" x14ac:dyDescent="0.35">
      <c r="B1559" s="853">
        <v>160328.89656253086</v>
      </c>
    </row>
    <row r="1560" spans="2:2" ht="15.5" x14ac:dyDescent="0.35">
      <c r="B1560" s="853">
        <v>707698.55511563574</v>
      </c>
    </row>
    <row r="1561" spans="2:2" ht="15.5" x14ac:dyDescent="0.35">
      <c r="B1561" s="853">
        <v>188358.26002350575</v>
      </c>
    </row>
    <row r="1562" spans="2:2" ht="15.5" x14ac:dyDescent="0.35">
      <c r="B1562" s="853">
        <v>345438.56506007881</v>
      </c>
    </row>
    <row r="1563" spans="2:2" ht="15.5" x14ac:dyDescent="0.35">
      <c r="B1563" s="853">
        <v>315278.93661138311</v>
      </c>
    </row>
    <row r="1564" spans="2:2" ht="15.5" x14ac:dyDescent="0.35">
      <c r="B1564" s="853">
        <v>173462.14678161911</v>
      </c>
    </row>
    <row r="1565" spans="2:2" ht="15.5" x14ac:dyDescent="0.35">
      <c r="B1565" s="853">
        <v>300520.53893430921</v>
      </c>
    </row>
    <row r="1566" spans="2:2" ht="15.5" x14ac:dyDescent="0.35">
      <c r="B1566" s="853">
        <v>627434.74575461913</v>
      </c>
    </row>
    <row r="1567" spans="2:2" ht="15.5" x14ac:dyDescent="0.35">
      <c r="B1567" s="853">
        <v>348983.78164564312</v>
      </c>
    </row>
    <row r="1568" spans="2:2" ht="15.5" x14ac:dyDescent="0.35">
      <c r="B1568" s="853">
        <v>76204.365184756069</v>
      </c>
    </row>
    <row r="1569" spans="2:2" ht="15.5" x14ac:dyDescent="0.35">
      <c r="B1569" s="853">
        <v>460517.39009997848</v>
      </c>
    </row>
    <row r="1570" spans="2:2" ht="15.5" x14ac:dyDescent="0.35">
      <c r="B1570" s="853">
        <v>209093.33421212816</v>
      </c>
    </row>
    <row r="1571" spans="2:2" ht="15.5" x14ac:dyDescent="0.35">
      <c r="B1571" s="853">
        <v>414645.51017420634</v>
      </c>
    </row>
    <row r="1572" spans="2:2" ht="15.5" x14ac:dyDescent="0.35">
      <c r="B1572" s="853">
        <v>252310.69310755373</v>
      </c>
    </row>
    <row r="1573" spans="2:2" ht="15.5" x14ac:dyDescent="0.35">
      <c r="B1573" s="853">
        <v>585987.03479027271</v>
      </c>
    </row>
    <row r="1574" spans="2:2" ht="15.5" x14ac:dyDescent="0.35">
      <c r="B1574" s="853">
        <v>386612.46805773705</v>
      </c>
    </row>
    <row r="1575" spans="2:2" ht="15.5" x14ac:dyDescent="0.35">
      <c r="B1575" s="853">
        <v>309742.97195051069</v>
      </c>
    </row>
    <row r="1576" spans="2:2" ht="15.5" x14ac:dyDescent="0.35">
      <c r="B1576" s="853">
        <v>354004.69155297067</v>
      </c>
    </row>
    <row r="1577" spans="2:2" ht="15.5" x14ac:dyDescent="0.35">
      <c r="B1577" s="853">
        <v>130266.65547883773</v>
      </c>
    </row>
    <row r="1578" spans="2:2" ht="15.5" x14ac:dyDescent="0.35">
      <c r="B1578" s="853">
        <v>221777.4758404046</v>
      </c>
    </row>
    <row r="1579" spans="2:2" ht="15.5" x14ac:dyDescent="0.35">
      <c r="B1579" s="853">
        <v>133161.30310071071</v>
      </c>
    </row>
    <row r="1580" spans="2:2" ht="15.5" x14ac:dyDescent="0.35">
      <c r="B1580" s="853">
        <v>115064.35339998863</v>
      </c>
    </row>
    <row r="1581" spans="2:2" ht="15.5" x14ac:dyDescent="0.35">
      <c r="B1581" s="853">
        <v>51828.005330810112</v>
      </c>
    </row>
    <row r="1582" spans="2:2" ht="15.5" x14ac:dyDescent="0.35">
      <c r="B1582" s="853">
        <v>362965.42319044843</v>
      </c>
    </row>
    <row r="1583" spans="2:2" ht="15.5" x14ac:dyDescent="0.35">
      <c r="B1583" s="853">
        <v>397036.07849162008</v>
      </c>
    </row>
    <row r="1584" spans="2:2" ht="15.5" x14ac:dyDescent="0.35">
      <c r="B1584" s="853">
        <v>431786.76914125565</v>
      </c>
    </row>
    <row r="1585" spans="2:2" ht="15.5" x14ac:dyDescent="0.35">
      <c r="B1585" s="853">
        <v>479039.20373924903</v>
      </c>
    </row>
    <row r="1586" spans="2:2" ht="15.5" x14ac:dyDescent="0.35">
      <c r="B1586" s="853">
        <v>206023.26253194676</v>
      </c>
    </row>
    <row r="1587" spans="2:2" ht="15.5" x14ac:dyDescent="0.35">
      <c r="B1587" s="853">
        <v>78919.488019629876</v>
      </c>
    </row>
    <row r="1588" spans="2:2" ht="15.5" x14ac:dyDescent="0.35">
      <c r="B1588" s="853">
        <v>166389.04015760618</v>
      </c>
    </row>
    <row r="1589" spans="2:2" ht="15.5" x14ac:dyDescent="0.35">
      <c r="B1589" s="853">
        <v>-9709.6226725686975</v>
      </c>
    </row>
    <row r="1590" spans="2:2" ht="15.5" x14ac:dyDescent="0.35">
      <c r="B1590" s="853">
        <v>145477.03200811427</v>
      </c>
    </row>
    <row r="1591" spans="2:2" ht="15.5" x14ac:dyDescent="0.35">
      <c r="B1591" s="853">
        <v>299711.73097467818</v>
      </c>
    </row>
    <row r="1592" spans="2:2" ht="15.5" x14ac:dyDescent="0.35">
      <c r="B1592" s="853">
        <v>-15888.0539715906</v>
      </c>
    </row>
    <row r="1593" spans="2:2" ht="15.5" x14ac:dyDescent="0.35">
      <c r="B1593" s="853">
        <v>469819.27518794849</v>
      </c>
    </row>
    <row r="1594" spans="2:2" ht="15.5" x14ac:dyDescent="0.35">
      <c r="B1594" s="853">
        <v>220933.00762936636</v>
      </c>
    </row>
    <row r="1595" spans="2:2" ht="15.5" x14ac:dyDescent="0.35">
      <c r="B1595" s="853">
        <v>305817.34029075323</v>
      </c>
    </row>
    <row r="1596" spans="2:2" ht="15.5" x14ac:dyDescent="0.35">
      <c r="B1596" s="853">
        <v>616948.84791762778</v>
      </c>
    </row>
    <row r="1597" spans="2:2" ht="15.5" x14ac:dyDescent="0.35">
      <c r="B1597" s="853">
        <v>534579.52936971921</v>
      </c>
    </row>
    <row r="1598" spans="2:2" ht="15.5" x14ac:dyDescent="0.35">
      <c r="B1598" s="853">
        <v>405203.54976754246</v>
      </c>
    </row>
    <row r="1599" spans="2:2" ht="15.5" x14ac:dyDescent="0.35">
      <c r="B1599" s="853">
        <v>200964.06661385897</v>
      </c>
    </row>
    <row r="1600" spans="2:2" ht="15.5" x14ac:dyDescent="0.35">
      <c r="B1600" s="853">
        <v>104454.32203022832</v>
      </c>
    </row>
    <row r="1601" spans="2:2" ht="15.5" x14ac:dyDescent="0.35">
      <c r="B1601" s="853">
        <v>368099.97458109283</v>
      </c>
    </row>
    <row r="1602" spans="2:2" ht="15.5" x14ac:dyDescent="0.35">
      <c r="B1602" s="853">
        <v>176514.7985459296</v>
      </c>
    </row>
    <row r="1603" spans="2:2" ht="15.5" x14ac:dyDescent="0.35">
      <c r="B1603" s="853">
        <v>360762.21532515314</v>
      </c>
    </row>
    <row r="1604" spans="2:2" ht="15.5" x14ac:dyDescent="0.35">
      <c r="B1604" s="853">
        <v>430151.63231620158</v>
      </c>
    </row>
    <row r="1605" spans="2:2" ht="15.5" x14ac:dyDescent="0.35">
      <c r="B1605" s="853">
        <v>475812.97744102241</v>
      </c>
    </row>
    <row r="1606" spans="2:2" ht="15.5" x14ac:dyDescent="0.35">
      <c r="B1606" s="853">
        <v>164489.82731552966</v>
      </c>
    </row>
    <row r="1607" spans="2:2" ht="15.5" x14ac:dyDescent="0.35">
      <c r="B1607" s="853">
        <v>246558.41263432158</v>
      </c>
    </row>
    <row r="1608" spans="2:2" ht="15.5" x14ac:dyDescent="0.35">
      <c r="B1608" s="853">
        <v>424726.76555084653</v>
      </c>
    </row>
    <row r="1609" spans="2:2" ht="15.5" x14ac:dyDescent="0.35">
      <c r="B1609" s="853">
        <v>179640.0105994659</v>
      </c>
    </row>
    <row r="1610" spans="2:2" ht="15.5" x14ac:dyDescent="0.35">
      <c r="B1610" s="853">
        <v>222410.64350417262</v>
      </c>
    </row>
    <row r="1611" spans="2:2" ht="15.5" x14ac:dyDescent="0.35">
      <c r="B1611" s="853">
        <v>230924.16361407912</v>
      </c>
    </row>
    <row r="1612" spans="2:2" ht="15.5" x14ac:dyDescent="0.35">
      <c r="B1612" s="853">
        <v>331192.9588600244</v>
      </c>
    </row>
    <row r="1613" spans="2:2" ht="15.5" x14ac:dyDescent="0.35">
      <c r="B1613" s="853">
        <v>284052.77732522442</v>
      </c>
    </row>
    <row r="1614" spans="2:2" ht="15.5" x14ac:dyDescent="0.35">
      <c r="B1614" s="853">
        <v>461176.24017742061</v>
      </c>
    </row>
    <row r="1615" spans="2:2" ht="15.5" x14ac:dyDescent="0.35">
      <c r="B1615" s="853">
        <v>224550.48610965221</v>
      </c>
    </row>
    <row r="1616" spans="2:2" ht="15.5" x14ac:dyDescent="0.35">
      <c r="B1616" s="853">
        <v>295223.3145691469</v>
      </c>
    </row>
    <row r="1617" spans="2:2" ht="15.5" x14ac:dyDescent="0.35">
      <c r="B1617" s="853">
        <v>175854.16156147936</v>
      </c>
    </row>
    <row r="1618" spans="2:2" ht="15.5" x14ac:dyDescent="0.35">
      <c r="B1618" s="853">
        <v>362923.2616201177</v>
      </c>
    </row>
    <row r="1619" spans="2:2" ht="15.5" x14ac:dyDescent="0.35">
      <c r="B1619" s="853">
        <v>253639.49228703615</v>
      </c>
    </row>
    <row r="1620" spans="2:2" ht="15.5" x14ac:dyDescent="0.35">
      <c r="B1620" s="853">
        <v>246242.28076840387</v>
      </c>
    </row>
    <row r="1621" spans="2:2" ht="15.5" x14ac:dyDescent="0.35">
      <c r="B1621" s="853">
        <v>149919.25088042862</v>
      </c>
    </row>
    <row r="1622" spans="2:2" ht="15.5" x14ac:dyDescent="0.35">
      <c r="B1622" s="853">
        <v>417176.72542370623</v>
      </c>
    </row>
    <row r="1623" spans="2:2" ht="15.5" x14ac:dyDescent="0.35">
      <c r="B1623" s="853">
        <v>201249.49157152625</v>
      </c>
    </row>
    <row r="1624" spans="2:2" ht="15.5" x14ac:dyDescent="0.35">
      <c r="B1624" s="853">
        <v>475809.69892756228</v>
      </c>
    </row>
    <row r="1625" spans="2:2" ht="15.5" x14ac:dyDescent="0.35">
      <c r="B1625" s="853">
        <v>89460.870339740955</v>
      </c>
    </row>
    <row r="1626" spans="2:2" ht="15.5" x14ac:dyDescent="0.35">
      <c r="B1626" s="853">
        <v>229903.21088611905</v>
      </c>
    </row>
    <row r="1627" spans="2:2" ht="15.5" x14ac:dyDescent="0.35">
      <c r="B1627" s="853">
        <v>7961.1869237035744</v>
      </c>
    </row>
    <row r="1628" spans="2:2" ht="15.5" x14ac:dyDescent="0.35">
      <c r="B1628" s="853">
        <v>295167.7680126013</v>
      </c>
    </row>
    <row r="1629" spans="2:2" ht="15.5" x14ac:dyDescent="0.35">
      <c r="B1629" s="853">
        <v>592629.34447959834</v>
      </c>
    </row>
    <row r="1630" spans="2:2" ht="15.5" x14ac:dyDescent="0.35">
      <c r="B1630" s="853">
        <v>569798.69829732319</v>
      </c>
    </row>
    <row r="1631" spans="2:2" ht="15.5" x14ac:dyDescent="0.35">
      <c r="B1631" s="853">
        <v>372572.52166596486</v>
      </c>
    </row>
    <row r="1632" spans="2:2" ht="15.5" x14ac:dyDescent="0.35">
      <c r="B1632" s="853">
        <v>383596.85820281232</v>
      </c>
    </row>
    <row r="1633" spans="2:2" ht="15.5" x14ac:dyDescent="0.35">
      <c r="B1633" s="853">
        <v>121569.67732827368</v>
      </c>
    </row>
    <row r="1634" spans="2:2" ht="15.5" x14ac:dyDescent="0.35">
      <c r="B1634" s="853">
        <v>376437.86374901171</v>
      </c>
    </row>
    <row r="1635" spans="2:2" ht="15.5" x14ac:dyDescent="0.35">
      <c r="B1635" s="853">
        <v>312236.01425368502</v>
      </c>
    </row>
    <row r="1636" spans="2:2" ht="15.5" x14ac:dyDescent="0.35">
      <c r="B1636" s="853">
        <v>127062.26924026234</v>
      </c>
    </row>
    <row r="1637" spans="2:2" ht="15.5" x14ac:dyDescent="0.35">
      <c r="B1637" s="853">
        <v>131372.8159832042</v>
      </c>
    </row>
    <row r="1638" spans="2:2" ht="15.5" x14ac:dyDescent="0.35">
      <c r="B1638" s="853">
        <v>592434.21991327382</v>
      </c>
    </row>
    <row r="1639" spans="2:2" ht="15.5" x14ac:dyDescent="0.35">
      <c r="B1639" s="853">
        <v>123075.42750116719</v>
      </c>
    </row>
    <row r="1640" spans="2:2" ht="15.5" x14ac:dyDescent="0.35">
      <c r="B1640" s="853">
        <v>173686.43789484788</v>
      </c>
    </row>
    <row r="1641" spans="2:2" ht="15.5" x14ac:dyDescent="0.35">
      <c r="B1641" s="853">
        <v>471980.90737814474</v>
      </c>
    </row>
    <row r="1642" spans="2:2" ht="15.5" x14ac:dyDescent="0.35">
      <c r="B1642" s="853">
        <v>347851.2101722802</v>
      </c>
    </row>
    <row r="1643" spans="2:2" ht="15.5" x14ac:dyDescent="0.35">
      <c r="B1643" s="853">
        <v>495786.48594591534</v>
      </c>
    </row>
    <row r="1644" spans="2:2" ht="15.5" x14ac:dyDescent="0.35">
      <c r="B1644" s="853">
        <v>253129.79805851259</v>
      </c>
    </row>
    <row r="1645" spans="2:2" ht="15.5" x14ac:dyDescent="0.35">
      <c r="B1645" s="853">
        <v>277012.29395692138</v>
      </c>
    </row>
    <row r="1646" spans="2:2" ht="15.5" x14ac:dyDescent="0.35">
      <c r="B1646" s="853">
        <v>179353.82823025272</v>
      </c>
    </row>
    <row r="1647" spans="2:2" ht="15.5" x14ac:dyDescent="0.35">
      <c r="B1647" s="853">
        <v>228471.153323829</v>
      </c>
    </row>
    <row r="1648" spans="2:2" ht="15.5" x14ac:dyDescent="0.35">
      <c r="B1648" s="853">
        <v>205914.9250475367</v>
      </c>
    </row>
    <row r="1649" spans="2:2" ht="15.5" x14ac:dyDescent="0.35">
      <c r="B1649" s="853">
        <v>328555.21693514579</v>
      </c>
    </row>
    <row r="1650" spans="2:2" ht="15.5" x14ac:dyDescent="0.35">
      <c r="B1650" s="853">
        <v>59805.578934298021</v>
      </c>
    </row>
    <row r="1651" spans="2:2" ht="15.5" x14ac:dyDescent="0.35">
      <c r="B1651" s="853">
        <v>173303.9132542946</v>
      </c>
    </row>
    <row r="1652" spans="2:2" ht="15.5" x14ac:dyDescent="0.35">
      <c r="B1652" s="853">
        <v>623267.84974746418</v>
      </c>
    </row>
    <row r="1653" spans="2:2" ht="15.5" x14ac:dyDescent="0.35">
      <c r="B1653" s="853">
        <v>314165.87906802393</v>
      </c>
    </row>
    <row r="1654" spans="2:2" ht="15.5" x14ac:dyDescent="0.35">
      <c r="B1654" s="853">
        <v>434236.68096364988</v>
      </c>
    </row>
    <row r="1655" spans="2:2" ht="15.5" x14ac:dyDescent="0.35">
      <c r="B1655" s="853">
        <v>306500.0305578261</v>
      </c>
    </row>
    <row r="1656" spans="2:2" ht="15.5" x14ac:dyDescent="0.35">
      <c r="B1656" s="853">
        <v>309575.9914207884</v>
      </c>
    </row>
    <row r="1657" spans="2:2" ht="15.5" x14ac:dyDescent="0.35">
      <c r="B1657" s="853">
        <v>504987.53155662044</v>
      </c>
    </row>
    <row r="1658" spans="2:2" ht="15.5" x14ac:dyDescent="0.35">
      <c r="B1658" s="853">
        <v>244446.08590163168</v>
      </c>
    </row>
    <row r="1659" spans="2:2" ht="15.5" x14ac:dyDescent="0.35">
      <c r="B1659" s="853">
        <v>333848.1482544074</v>
      </c>
    </row>
    <row r="1660" spans="2:2" ht="15.5" x14ac:dyDescent="0.35">
      <c r="B1660" s="853">
        <v>196459.67912963958</v>
      </c>
    </row>
    <row r="1661" spans="2:2" ht="15.5" x14ac:dyDescent="0.35">
      <c r="B1661" s="853">
        <v>411412.39546115929</v>
      </c>
    </row>
    <row r="1662" spans="2:2" ht="15.5" x14ac:dyDescent="0.35">
      <c r="B1662" s="853">
        <v>444049.23271961237</v>
      </c>
    </row>
    <row r="1663" spans="2:2" ht="15.5" x14ac:dyDescent="0.35">
      <c r="B1663" s="853">
        <v>254558.96997384247</v>
      </c>
    </row>
    <row r="1664" spans="2:2" ht="15.5" x14ac:dyDescent="0.35">
      <c r="B1664" s="853">
        <v>579121.70183612837</v>
      </c>
    </row>
    <row r="1665" spans="2:2" ht="15.5" x14ac:dyDescent="0.35">
      <c r="B1665" s="853">
        <v>154459.28470174706</v>
      </c>
    </row>
    <row r="1666" spans="2:2" ht="15.5" x14ac:dyDescent="0.35">
      <c r="B1666" s="853">
        <v>349553.05267726543</v>
      </c>
    </row>
    <row r="1667" spans="2:2" ht="15.5" x14ac:dyDescent="0.35">
      <c r="B1667" s="853">
        <v>416403.25820227846</v>
      </c>
    </row>
    <row r="1668" spans="2:2" ht="15.5" x14ac:dyDescent="0.35">
      <c r="B1668" s="853">
        <v>302155.5315187776</v>
      </c>
    </row>
    <row r="1669" spans="2:2" ht="15.5" x14ac:dyDescent="0.35">
      <c r="B1669" s="853">
        <v>262853.78190768167</v>
      </c>
    </row>
    <row r="1670" spans="2:2" ht="15.5" x14ac:dyDescent="0.35">
      <c r="B1670" s="853">
        <v>195135.51621540842</v>
      </c>
    </row>
    <row r="1671" spans="2:2" ht="15.5" x14ac:dyDescent="0.35">
      <c r="B1671" s="853">
        <v>114362.42332213458</v>
      </c>
    </row>
    <row r="1672" spans="2:2" ht="15.5" x14ac:dyDescent="0.35">
      <c r="B1672" s="853">
        <v>-10637.637674536398</v>
      </c>
    </row>
    <row r="1673" spans="2:2" ht="15.5" x14ac:dyDescent="0.35">
      <c r="B1673" s="853">
        <v>114332.05782078707</v>
      </c>
    </row>
    <row r="1674" spans="2:2" ht="15.5" x14ac:dyDescent="0.35">
      <c r="B1674" s="853">
        <v>301343.05980007659</v>
      </c>
    </row>
    <row r="1675" spans="2:2" ht="15.5" x14ac:dyDescent="0.35">
      <c r="B1675" s="853">
        <v>114161.00711797171</v>
      </c>
    </row>
    <row r="1676" spans="2:2" ht="15.5" x14ac:dyDescent="0.35">
      <c r="B1676" s="853">
        <v>418751.79216678638</v>
      </c>
    </row>
    <row r="1677" spans="2:2" ht="15.5" x14ac:dyDescent="0.35">
      <c r="B1677" s="853">
        <v>235999.23721263747</v>
      </c>
    </row>
    <row r="1678" spans="2:2" ht="15.5" x14ac:dyDescent="0.35">
      <c r="B1678" s="853">
        <v>225787.00543808989</v>
      </c>
    </row>
    <row r="1679" spans="2:2" ht="15.5" x14ac:dyDescent="0.35">
      <c r="B1679" s="853">
        <v>344583.95784226607</v>
      </c>
    </row>
    <row r="1680" spans="2:2" ht="15.5" x14ac:dyDescent="0.35">
      <c r="B1680" s="853">
        <v>339355.27971805289</v>
      </c>
    </row>
    <row r="1681" spans="2:2" ht="15.5" x14ac:dyDescent="0.35">
      <c r="B1681" s="853">
        <v>307031.95989654632</v>
      </c>
    </row>
    <row r="1682" spans="2:2" ht="15.5" x14ac:dyDescent="0.35">
      <c r="B1682" s="853">
        <v>316035.0160039941</v>
      </c>
    </row>
    <row r="1683" spans="2:2" ht="15.5" x14ac:dyDescent="0.35">
      <c r="B1683" s="853">
        <v>220606.82852178643</v>
      </c>
    </row>
    <row r="1684" spans="2:2" ht="15.5" x14ac:dyDescent="0.35">
      <c r="B1684" s="853">
        <v>216160.57279439137</v>
      </c>
    </row>
    <row r="1685" spans="2:2" ht="15.5" x14ac:dyDescent="0.35">
      <c r="B1685" s="853">
        <v>-6712.7880415003519</v>
      </c>
    </row>
    <row r="1686" spans="2:2" ht="15.5" x14ac:dyDescent="0.35">
      <c r="B1686" s="853">
        <v>405661.13339770527</v>
      </c>
    </row>
    <row r="1687" spans="2:2" ht="15.5" x14ac:dyDescent="0.35">
      <c r="B1687" s="853">
        <v>16838.040814420427</v>
      </c>
    </row>
    <row r="1688" spans="2:2" ht="15.5" x14ac:dyDescent="0.35">
      <c r="B1688" s="853">
        <v>411433.92579587782</v>
      </c>
    </row>
    <row r="1689" spans="2:2" ht="15.5" x14ac:dyDescent="0.35">
      <c r="B1689" s="853">
        <v>339174.33090908878</v>
      </c>
    </row>
    <row r="1690" spans="2:2" ht="15.5" x14ac:dyDescent="0.35">
      <c r="B1690" s="853">
        <v>503814.57986756886</v>
      </c>
    </row>
    <row r="1691" spans="2:2" ht="15.5" x14ac:dyDescent="0.35">
      <c r="B1691" s="853">
        <v>59118.630910370419</v>
      </c>
    </row>
    <row r="1692" spans="2:2" ht="15.5" x14ac:dyDescent="0.35">
      <c r="B1692" s="853">
        <v>110817.015879554</v>
      </c>
    </row>
    <row r="1693" spans="2:2" ht="15.5" x14ac:dyDescent="0.35">
      <c r="B1693" s="853">
        <v>402870.15593661211</v>
      </c>
    </row>
    <row r="1694" spans="2:2" ht="15.5" x14ac:dyDescent="0.35">
      <c r="B1694" s="853">
        <v>544852.48653550225</v>
      </c>
    </row>
    <row r="1695" spans="2:2" ht="15.5" x14ac:dyDescent="0.35">
      <c r="B1695" s="853">
        <v>329989.32889333676</v>
      </c>
    </row>
    <row r="1696" spans="2:2" ht="15.5" x14ac:dyDescent="0.35">
      <c r="B1696" s="853">
        <v>734070.23052101093</v>
      </c>
    </row>
    <row r="1697" spans="2:2" ht="15.5" x14ac:dyDescent="0.35">
      <c r="B1697" s="853">
        <v>411793.03136109537</v>
      </c>
    </row>
    <row r="1698" spans="2:2" ht="15.5" x14ac:dyDescent="0.35">
      <c r="B1698" s="853">
        <v>251191.6440646954</v>
      </c>
    </row>
    <row r="1699" spans="2:2" ht="15.5" x14ac:dyDescent="0.35">
      <c r="B1699" s="853">
        <v>225866.47442979319</v>
      </c>
    </row>
    <row r="1700" spans="2:2" ht="15.5" x14ac:dyDescent="0.35">
      <c r="B1700" s="853">
        <v>501527.26308352558</v>
      </c>
    </row>
    <row r="1701" spans="2:2" ht="15.5" x14ac:dyDescent="0.35">
      <c r="B1701" s="853">
        <v>471796.91896436922</v>
      </c>
    </row>
    <row r="1702" spans="2:2" ht="15.5" x14ac:dyDescent="0.35">
      <c r="B1702" s="853">
        <v>184018.46702563827</v>
      </c>
    </row>
    <row r="1703" spans="2:2" ht="15.5" x14ac:dyDescent="0.35">
      <c r="B1703" s="853">
        <v>561286.99731101224</v>
      </c>
    </row>
    <row r="1704" spans="2:2" ht="15.5" x14ac:dyDescent="0.35">
      <c r="B1704" s="853">
        <v>250406.48943596374</v>
      </c>
    </row>
    <row r="1705" spans="2:2" ht="15.5" x14ac:dyDescent="0.35">
      <c r="B1705" s="853">
        <v>323995.90139685053</v>
      </c>
    </row>
    <row r="1706" spans="2:2" ht="15.5" x14ac:dyDescent="0.35">
      <c r="B1706" s="853">
        <v>361542.62568015308</v>
      </c>
    </row>
    <row r="1707" spans="2:2" ht="15.5" x14ac:dyDescent="0.35">
      <c r="B1707" s="853">
        <v>285833.47768457205</v>
      </c>
    </row>
    <row r="1708" spans="2:2" ht="15.5" x14ac:dyDescent="0.35">
      <c r="B1708" s="853">
        <v>136997.63399350457</v>
      </c>
    </row>
    <row r="1709" spans="2:2" ht="15.5" x14ac:dyDescent="0.35">
      <c r="B1709" s="853">
        <v>394982.63952572178</v>
      </c>
    </row>
    <row r="1710" spans="2:2" ht="15.5" x14ac:dyDescent="0.35">
      <c r="B1710" s="853">
        <v>489320.99595874414</v>
      </c>
    </row>
    <row r="1711" spans="2:2" ht="15.5" x14ac:dyDescent="0.35">
      <c r="B1711" s="853">
        <v>332756.59915110399</v>
      </c>
    </row>
    <row r="1712" spans="2:2" ht="15.5" x14ac:dyDescent="0.35">
      <c r="B1712" s="853">
        <v>563572.17942234688</v>
      </c>
    </row>
    <row r="1713" spans="2:2" ht="15.5" x14ac:dyDescent="0.35">
      <c r="B1713" s="853">
        <v>403712.21730203344</v>
      </c>
    </row>
    <row r="1714" spans="2:2" ht="15.5" x14ac:dyDescent="0.35">
      <c r="B1714" s="853">
        <v>431891.1422341101</v>
      </c>
    </row>
    <row r="1715" spans="2:2" ht="15.5" x14ac:dyDescent="0.35">
      <c r="B1715" s="853">
        <v>472441.93093019119</v>
      </c>
    </row>
    <row r="1716" spans="2:2" ht="15.5" x14ac:dyDescent="0.35">
      <c r="B1716" s="853">
        <v>241317.83040506981</v>
      </c>
    </row>
    <row r="1717" spans="2:2" ht="15.5" x14ac:dyDescent="0.35">
      <c r="B1717" s="853">
        <v>305180.04657657933</v>
      </c>
    </row>
    <row r="1718" spans="2:2" ht="15.5" x14ac:dyDescent="0.35">
      <c r="B1718" s="853">
        <v>480868.37295951229</v>
      </c>
    </row>
    <row r="1719" spans="2:2" ht="15.5" x14ac:dyDescent="0.35">
      <c r="B1719" s="853">
        <v>87578.767467844373</v>
      </c>
    </row>
    <row r="1720" spans="2:2" ht="15.5" x14ac:dyDescent="0.35">
      <c r="B1720" s="853">
        <v>302214.47172061529</v>
      </c>
    </row>
    <row r="1721" spans="2:2" ht="15.5" x14ac:dyDescent="0.35">
      <c r="B1721" s="853">
        <v>517974.86660276935</v>
      </c>
    </row>
    <row r="1722" spans="2:2" ht="15.5" x14ac:dyDescent="0.35">
      <c r="B1722" s="853">
        <v>383037.34113096062</v>
      </c>
    </row>
    <row r="1723" spans="2:2" ht="15.5" x14ac:dyDescent="0.35">
      <c r="B1723" s="853">
        <v>308293.40405914112</v>
      </c>
    </row>
    <row r="1724" spans="2:2" ht="15.5" x14ac:dyDescent="0.35">
      <c r="B1724" s="853">
        <v>443369.3337639675</v>
      </c>
    </row>
    <row r="1725" spans="2:2" ht="15.5" x14ac:dyDescent="0.35">
      <c r="B1725" s="853">
        <v>111346.85211009176</v>
      </c>
    </row>
    <row r="1726" spans="2:2" ht="15.5" x14ac:dyDescent="0.35">
      <c r="B1726" s="853">
        <v>288152.18771566084</v>
      </c>
    </row>
    <row r="1727" spans="2:2" ht="15.5" x14ac:dyDescent="0.35">
      <c r="B1727" s="853">
        <v>577149.98559824249</v>
      </c>
    </row>
    <row r="1728" spans="2:2" ht="15.5" x14ac:dyDescent="0.35">
      <c r="B1728" s="853">
        <v>510808.15282576036</v>
      </c>
    </row>
    <row r="1729" spans="2:2" ht="15.5" x14ac:dyDescent="0.35">
      <c r="B1729" s="853">
        <v>207300.9720616831</v>
      </c>
    </row>
    <row r="1730" spans="2:2" ht="15.5" x14ac:dyDescent="0.35">
      <c r="B1730" s="853">
        <v>464584.97798824019</v>
      </c>
    </row>
    <row r="1731" spans="2:2" ht="15.5" x14ac:dyDescent="0.35">
      <c r="B1731" s="853">
        <v>169603.92622426967</v>
      </c>
    </row>
    <row r="1732" spans="2:2" ht="15.5" x14ac:dyDescent="0.35">
      <c r="B1732" s="853">
        <v>284161.27916656341</v>
      </c>
    </row>
    <row r="1733" spans="2:2" ht="15.5" x14ac:dyDescent="0.35">
      <c r="B1733" s="853">
        <v>521993.31462208583</v>
      </c>
    </row>
    <row r="1734" spans="2:2" ht="15.5" x14ac:dyDescent="0.35">
      <c r="B1734" s="853">
        <v>323906.13138759427</v>
      </c>
    </row>
    <row r="1735" spans="2:2" ht="15.5" x14ac:dyDescent="0.35">
      <c r="B1735" s="853">
        <v>374237.23069392383</v>
      </c>
    </row>
    <row r="1736" spans="2:2" ht="15.5" x14ac:dyDescent="0.35">
      <c r="B1736" s="853">
        <v>286812.08673077443</v>
      </c>
    </row>
    <row r="1737" spans="2:2" ht="15.5" x14ac:dyDescent="0.35">
      <c r="B1737" s="853">
        <v>22325.359123443563</v>
      </c>
    </row>
    <row r="1738" spans="2:2" ht="15.5" x14ac:dyDescent="0.35">
      <c r="B1738" s="853">
        <v>279636.50099154696</v>
      </c>
    </row>
    <row r="1739" spans="2:2" ht="15.5" x14ac:dyDescent="0.35">
      <c r="B1739" s="853">
        <v>472648.16550227051</v>
      </c>
    </row>
    <row r="1740" spans="2:2" ht="15.5" x14ac:dyDescent="0.35">
      <c r="B1740" s="853">
        <v>274841.28622613964</v>
      </c>
    </row>
    <row r="1741" spans="2:2" ht="15.5" x14ac:dyDescent="0.35">
      <c r="B1741" s="853">
        <v>354600.87574435916</v>
      </c>
    </row>
    <row r="1742" spans="2:2" ht="15.5" x14ac:dyDescent="0.35">
      <c r="B1742" s="853">
        <v>307630.7122994028</v>
      </c>
    </row>
    <row r="1743" spans="2:2" ht="15.5" x14ac:dyDescent="0.35">
      <c r="B1743" s="853">
        <v>160576.15887740056</v>
      </c>
    </row>
    <row r="1744" spans="2:2" ht="15.5" x14ac:dyDescent="0.35">
      <c r="B1744" s="853">
        <v>386237.4323152015</v>
      </c>
    </row>
    <row r="1745" spans="2:2" ht="15.5" x14ac:dyDescent="0.35">
      <c r="B1745" s="853">
        <v>227106.53466030702</v>
      </c>
    </row>
    <row r="1746" spans="2:2" ht="15.5" x14ac:dyDescent="0.35">
      <c r="B1746" s="853">
        <v>489769.80916863418</v>
      </c>
    </row>
    <row r="1747" spans="2:2" ht="15.5" x14ac:dyDescent="0.35">
      <c r="B1747" s="853">
        <v>175189.1537678834</v>
      </c>
    </row>
    <row r="1748" spans="2:2" ht="15.5" x14ac:dyDescent="0.35">
      <c r="B1748" s="853">
        <v>513729.49227118876</v>
      </c>
    </row>
    <row r="1749" spans="2:2" ht="15.5" x14ac:dyDescent="0.35">
      <c r="B1749" s="853">
        <v>398469.79062983359</v>
      </c>
    </row>
    <row r="1750" spans="2:2" ht="15.5" x14ac:dyDescent="0.35">
      <c r="B1750" s="853">
        <v>391010.33244400576</v>
      </c>
    </row>
    <row r="1751" spans="2:2" ht="15.5" x14ac:dyDescent="0.35">
      <c r="B1751" s="853">
        <v>145260.72532527897</v>
      </c>
    </row>
    <row r="1752" spans="2:2" ht="15.5" x14ac:dyDescent="0.35">
      <c r="B1752" s="853">
        <v>427804.16174671391</v>
      </c>
    </row>
    <row r="1753" spans="2:2" ht="15.5" x14ac:dyDescent="0.35">
      <c r="B1753" s="853">
        <v>319339.87390544673</v>
      </c>
    </row>
    <row r="1754" spans="2:2" ht="15.5" x14ac:dyDescent="0.35">
      <c r="B1754" s="853">
        <v>237737.55478749855</v>
      </c>
    </row>
    <row r="1755" spans="2:2" ht="15.5" x14ac:dyDescent="0.35">
      <c r="B1755" s="853">
        <v>463441.15365140518</v>
      </c>
    </row>
    <row r="1756" spans="2:2" ht="15.5" x14ac:dyDescent="0.35">
      <c r="B1756" s="853">
        <v>164693.99949783442</v>
      </c>
    </row>
    <row r="1757" spans="2:2" ht="15.5" x14ac:dyDescent="0.35">
      <c r="B1757" s="853">
        <v>207977.23880747563</v>
      </c>
    </row>
    <row r="1758" spans="2:2" ht="15.5" x14ac:dyDescent="0.35">
      <c r="B1758" s="853">
        <v>275080.533546808</v>
      </c>
    </row>
    <row r="1759" spans="2:2" ht="15.5" x14ac:dyDescent="0.35">
      <c r="B1759" s="853">
        <v>237211.20956123419</v>
      </c>
    </row>
    <row r="1760" spans="2:2" ht="15.5" x14ac:dyDescent="0.35">
      <c r="B1760" s="853">
        <v>146642.88368862765</v>
      </c>
    </row>
    <row r="1761" spans="2:2" ht="15.5" x14ac:dyDescent="0.35">
      <c r="B1761" s="853">
        <v>257426.86070131365</v>
      </c>
    </row>
    <row r="1762" spans="2:2" ht="15.5" x14ac:dyDescent="0.35">
      <c r="B1762" s="853">
        <v>418513.56447019125</v>
      </c>
    </row>
    <row r="1763" spans="2:2" ht="15.5" x14ac:dyDescent="0.35">
      <c r="B1763" s="853">
        <v>559059.50950931897</v>
      </c>
    </row>
    <row r="1764" spans="2:2" ht="15.5" x14ac:dyDescent="0.35">
      <c r="B1764" s="853">
        <v>201673.46250511543</v>
      </c>
    </row>
    <row r="1765" spans="2:2" ht="15.5" x14ac:dyDescent="0.35">
      <c r="B1765" s="853">
        <v>151793.79354426195</v>
      </c>
    </row>
    <row r="1766" spans="2:2" ht="15.5" x14ac:dyDescent="0.35">
      <c r="B1766" s="853">
        <v>430433.14695042296</v>
      </c>
    </row>
    <row r="1767" spans="2:2" ht="15.5" x14ac:dyDescent="0.35">
      <c r="B1767" s="853">
        <v>458967.43343977962</v>
      </c>
    </row>
    <row r="1768" spans="2:2" ht="15.5" x14ac:dyDescent="0.35">
      <c r="B1768" s="853">
        <v>150986.38623248087</v>
      </c>
    </row>
    <row r="1769" spans="2:2" ht="15.5" x14ac:dyDescent="0.35">
      <c r="B1769" s="853">
        <v>299869.44784597546</v>
      </c>
    </row>
    <row r="1770" spans="2:2" ht="15.5" x14ac:dyDescent="0.35">
      <c r="B1770" s="853">
        <v>289886.21380829334</v>
      </c>
    </row>
    <row r="1771" spans="2:2" ht="15.5" x14ac:dyDescent="0.35">
      <c r="B1771" s="853">
        <v>138728.50927453724</v>
      </c>
    </row>
    <row r="1772" spans="2:2" ht="15.5" x14ac:dyDescent="0.35">
      <c r="B1772" s="853">
        <v>211369.44208383752</v>
      </c>
    </row>
    <row r="1773" spans="2:2" ht="15.5" x14ac:dyDescent="0.35">
      <c r="B1773" s="853">
        <v>401287.7956256537</v>
      </c>
    </row>
    <row r="1774" spans="2:2" ht="15.5" x14ac:dyDescent="0.35">
      <c r="B1774" s="853">
        <v>268770.45258013601</v>
      </c>
    </row>
    <row r="1775" spans="2:2" ht="15.5" x14ac:dyDescent="0.35">
      <c r="B1775" s="853">
        <v>507837.21841899399</v>
      </c>
    </row>
    <row r="1776" spans="2:2" ht="15.5" x14ac:dyDescent="0.35">
      <c r="B1776" s="853">
        <v>249688.92504246748</v>
      </c>
    </row>
    <row r="1777" spans="2:2" ht="15.5" x14ac:dyDescent="0.35">
      <c r="B1777" s="853">
        <v>180974.88896202511</v>
      </c>
    </row>
    <row r="1778" spans="2:2" ht="15.5" x14ac:dyDescent="0.35">
      <c r="B1778" s="853">
        <v>303988.4884828506</v>
      </c>
    </row>
    <row r="1779" spans="2:2" ht="15.5" x14ac:dyDescent="0.35">
      <c r="B1779" s="853">
        <v>671443.39631068869</v>
      </c>
    </row>
    <row r="1780" spans="2:2" ht="15.5" x14ac:dyDescent="0.35">
      <c r="B1780" s="853">
        <v>19647.019582786845</v>
      </c>
    </row>
    <row r="1781" spans="2:2" ht="15.5" x14ac:dyDescent="0.35">
      <c r="B1781" s="853">
        <v>386247.71004181402</v>
      </c>
    </row>
    <row r="1782" spans="2:2" ht="15.5" x14ac:dyDescent="0.35">
      <c r="B1782" s="853">
        <v>474591.65933617216</v>
      </c>
    </row>
    <row r="1783" spans="2:2" ht="15.5" x14ac:dyDescent="0.35">
      <c r="B1783" s="853">
        <v>300771.27618997137</v>
      </c>
    </row>
    <row r="1784" spans="2:2" ht="15.5" x14ac:dyDescent="0.35">
      <c r="B1784" s="853">
        <v>295766.87091101916</v>
      </c>
    </row>
    <row r="1785" spans="2:2" ht="15.5" x14ac:dyDescent="0.35">
      <c r="B1785" s="853">
        <v>435393.46504937095</v>
      </c>
    </row>
    <row r="1786" spans="2:2" ht="15.5" x14ac:dyDescent="0.35">
      <c r="B1786" s="853">
        <v>292025.43738938961</v>
      </c>
    </row>
    <row r="1787" spans="2:2" ht="15.5" x14ac:dyDescent="0.35">
      <c r="B1787" s="853">
        <v>251367.21944098693</v>
      </c>
    </row>
    <row r="1788" spans="2:2" ht="15.5" x14ac:dyDescent="0.35">
      <c r="B1788" s="853">
        <v>111614.17558681336</v>
      </c>
    </row>
    <row r="1789" spans="2:2" ht="15.5" x14ac:dyDescent="0.35">
      <c r="B1789" s="853">
        <v>516764.69567665231</v>
      </c>
    </row>
    <row r="1790" spans="2:2" ht="15.5" x14ac:dyDescent="0.35">
      <c r="B1790" s="853">
        <v>297560.54431295372</v>
      </c>
    </row>
    <row r="1791" spans="2:2" ht="15.5" x14ac:dyDescent="0.35">
      <c r="B1791" s="853">
        <v>216997.48628487467</v>
      </c>
    </row>
    <row r="1792" spans="2:2" ht="15.5" x14ac:dyDescent="0.35">
      <c r="B1792" s="853">
        <v>374017.72200309701</v>
      </c>
    </row>
    <row r="1793" spans="2:2" ht="15.5" x14ac:dyDescent="0.35">
      <c r="B1793" s="853">
        <v>539349.67145863781</v>
      </c>
    </row>
    <row r="1794" spans="2:2" ht="15.5" x14ac:dyDescent="0.35">
      <c r="B1794" s="853">
        <v>406528.65363995056</v>
      </c>
    </row>
    <row r="1795" spans="2:2" ht="15.5" x14ac:dyDescent="0.35">
      <c r="B1795" s="853">
        <v>222230.39785316482</v>
      </c>
    </row>
    <row r="1796" spans="2:2" ht="15.5" x14ac:dyDescent="0.35">
      <c r="B1796" s="853">
        <v>215518.36094976126</v>
      </c>
    </row>
    <row r="1797" spans="2:2" ht="15.5" x14ac:dyDescent="0.35">
      <c r="B1797" s="853">
        <v>293191.37326670397</v>
      </c>
    </row>
    <row r="1798" spans="2:2" ht="15.5" x14ac:dyDescent="0.35">
      <c r="B1798" s="853">
        <v>157639.32931842052</v>
      </c>
    </row>
    <row r="1799" spans="2:2" ht="15.5" x14ac:dyDescent="0.35">
      <c r="B1799" s="853">
        <v>684651.63489087101</v>
      </c>
    </row>
    <row r="1800" spans="2:2" ht="15.5" x14ac:dyDescent="0.35">
      <c r="B1800" s="853">
        <v>336258.62174663966</v>
      </c>
    </row>
    <row r="1801" spans="2:2" ht="15.5" x14ac:dyDescent="0.35">
      <c r="B1801" s="853">
        <v>331677.81963377493</v>
      </c>
    </row>
    <row r="1802" spans="2:2" ht="15.5" x14ac:dyDescent="0.35">
      <c r="B1802" s="853">
        <v>272614.48352415889</v>
      </c>
    </row>
    <row r="1803" spans="2:2" ht="15.5" x14ac:dyDescent="0.35">
      <c r="B1803" s="853">
        <v>220990.70909671616</v>
      </c>
    </row>
    <row r="1804" spans="2:2" ht="15.5" x14ac:dyDescent="0.35">
      <c r="B1804" s="853">
        <v>245153.81061018401</v>
      </c>
    </row>
    <row r="1805" spans="2:2" ht="15.5" x14ac:dyDescent="0.35">
      <c r="B1805" s="853">
        <v>462531.05867333774</v>
      </c>
    </row>
    <row r="1806" spans="2:2" ht="15.5" x14ac:dyDescent="0.35">
      <c r="B1806" s="853">
        <v>214853.20960682179</v>
      </c>
    </row>
    <row r="1807" spans="2:2" ht="15.5" x14ac:dyDescent="0.35">
      <c r="B1807" s="853">
        <v>327411.31391866412</v>
      </c>
    </row>
    <row r="1808" spans="2:2" ht="15.5" x14ac:dyDescent="0.35">
      <c r="B1808" s="853">
        <v>541917.80136770615</v>
      </c>
    </row>
    <row r="1809" spans="2:2" ht="15.5" x14ac:dyDescent="0.35">
      <c r="B1809" s="853">
        <v>510765.04340034316</v>
      </c>
    </row>
    <row r="1810" spans="2:2" ht="15.5" x14ac:dyDescent="0.35">
      <c r="B1810" s="853">
        <v>167350.95091757434</v>
      </c>
    </row>
    <row r="1811" spans="2:2" ht="15.5" x14ac:dyDescent="0.35">
      <c r="B1811" s="853">
        <v>-63368.858122298036</v>
      </c>
    </row>
    <row r="1812" spans="2:2" ht="15.5" x14ac:dyDescent="0.35">
      <c r="B1812" s="853">
        <v>156070.96604253363</v>
      </c>
    </row>
    <row r="1813" spans="2:2" ht="15.5" x14ac:dyDescent="0.35">
      <c r="B1813" s="853">
        <v>703182.39106259402</v>
      </c>
    </row>
    <row r="1814" spans="2:2" ht="15.5" x14ac:dyDescent="0.35">
      <c r="B1814" s="853">
        <v>71268.635143793566</v>
      </c>
    </row>
    <row r="1815" spans="2:2" ht="15.5" x14ac:dyDescent="0.35">
      <c r="B1815" s="853">
        <v>299686.75279377378</v>
      </c>
    </row>
    <row r="1816" spans="2:2" ht="15.5" x14ac:dyDescent="0.35">
      <c r="B1816" s="853">
        <v>202833.07819047611</v>
      </c>
    </row>
    <row r="1817" spans="2:2" ht="15.5" x14ac:dyDescent="0.35">
      <c r="B1817" s="853">
        <v>238436.63003509893</v>
      </c>
    </row>
    <row r="1818" spans="2:2" ht="15.5" x14ac:dyDescent="0.35">
      <c r="B1818" s="853">
        <v>16729.738014347804</v>
      </c>
    </row>
    <row r="1819" spans="2:2" ht="15.5" x14ac:dyDescent="0.35">
      <c r="B1819" s="853">
        <v>340947.31032929983</v>
      </c>
    </row>
    <row r="1820" spans="2:2" ht="15.5" x14ac:dyDescent="0.35">
      <c r="B1820" s="853">
        <v>60418.309292335456</v>
      </c>
    </row>
    <row r="1821" spans="2:2" ht="15.5" x14ac:dyDescent="0.35">
      <c r="B1821" s="853">
        <v>331183.22558173788</v>
      </c>
    </row>
    <row r="1822" spans="2:2" ht="15.5" x14ac:dyDescent="0.35">
      <c r="B1822" s="853">
        <v>42183.288098556259</v>
      </c>
    </row>
    <row r="1823" spans="2:2" ht="15.5" x14ac:dyDescent="0.35">
      <c r="B1823" s="853">
        <v>209600.212914923</v>
      </c>
    </row>
    <row r="1824" spans="2:2" ht="15.5" x14ac:dyDescent="0.35">
      <c r="B1824" s="853">
        <v>324414.2406431656</v>
      </c>
    </row>
    <row r="1825" spans="2:2" ht="15.5" x14ac:dyDescent="0.35">
      <c r="B1825" s="853">
        <v>203745.1928078848</v>
      </c>
    </row>
    <row r="1826" spans="2:2" ht="15.5" x14ac:dyDescent="0.35">
      <c r="B1826" s="853">
        <v>143095.17300058968</v>
      </c>
    </row>
    <row r="1827" spans="2:2" ht="15.5" x14ac:dyDescent="0.35">
      <c r="B1827" s="853">
        <v>255758.1730827936</v>
      </c>
    </row>
    <row r="1828" spans="2:2" ht="15.5" x14ac:dyDescent="0.35">
      <c r="B1828" s="853">
        <v>301152.39431498735</v>
      </c>
    </row>
    <row r="1829" spans="2:2" ht="15.5" x14ac:dyDescent="0.35">
      <c r="B1829" s="853">
        <v>127296.32419157881</v>
      </c>
    </row>
    <row r="1830" spans="2:2" ht="15.5" x14ac:dyDescent="0.35">
      <c r="B1830" s="853">
        <v>228717.56731764766</v>
      </c>
    </row>
    <row r="1831" spans="2:2" ht="15.5" x14ac:dyDescent="0.35">
      <c r="B1831" s="853">
        <v>437906.58752996073</v>
      </c>
    </row>
    <row r="1832" spans="2:2" ht="15.5" x14ac:dyDescent="0.35">
      <c r="B1832" s="853">
        <v>611782.86519693432</v>
      </c>
    </row>
    <row r="1833" spans="2:2" ht="15.5" x14ac:dyDescent="0.35">
      <c r="B1833" s="853">
        <v>315435.71615602134</v>
      </c>
    </row>
    <row r="1834" spans="2:2" ht="15.5" x14ac:dyDescent="0.35">
      <c r="B1834" s="853">
        <v>112144.86839326081</v>
      </c>
    </row>
    <row r="1835" spans="2:2" ht="15.5" x14ac:dyDescent="0.35">
      <c r="B1835" s="853">
        <v>304289.12364906445</v>
      </c>
    </row>
    <row r="1836" spans="2:2" ht="15.5" x14ac:dyDescent="0.35">
      <c r="B1836" s="853">
        <v>442588.34409900114</v>
      </c>
    </row>
    <row r="1837" spans="2:2" ht="15.5" x14ac:dyDescent="0.35">
      <c r="B1837" s="853">
        <v>239701.74357422965</v>
      </c>
    </row>
    <row r="1838" spans="2:2" ht="15.5" x14ac:dyDescent="0.35">
      <c r="B1838" s="853">
        <v>491097.86253736721</v>
      </c>
    </row>
    <row r="1839" spans="2:2" ht="15.5" x14ac:dyDescent="0.35">
      <c r="B1839" s="853">
        <v>513018.45139434544</v>
      </c>
    </row>
    <row r="1840" spans="2:2" ht="15.5" x14ac:dyDescent="0.35">
      <c r="B1840" s="853">
        <v>196046.79882874913</v>
      </c>
    </row>
    <row r="1841" spans="2:2" ht="15.5" x14ac:dyDescent="0.35">
      <c r="B1841" s="853">
        <v>345942.51330008492</v>
      </c>
    </row>
    <row r="1842" spans="2:2" ht="15.5" x14ac:dyDescent="0.35">
      <c r="B1842" s="853">
        <v>284408.98185768776</v>
      </c>
    </row>
    <row r="1843" spans="2:2" ht="15.5" x14ac:dyDescent="0.35">
      <c r="B1843" s="853">
        <v>138974.4692628725</v>
      </c>
    </row>
    <row r="1844" spans="2:2" ht="15.5" x14ac:dyDescent="0.35">
      <c r="B1844" s="853">
        <v>284813.01392867201</v>
      </c>
    </row>
    <row r="1845" spans="2:2" ht="15.5" x14ac:dyDescent="0.35">
      <c r="B1845" s="853">
        <v>310906.15802195662</v>
      </c>
    </row>
    <row r="1846" spans="2:2" ht="15.5" x14ac:dyDescent="0.35">
      <c r="B1846" s="853">
        <v>277588.76222475804</v>
      </c>
    </row>
    <row r="1847" spans="2:2" ht="15.5" x14ac:dyDescent="0.35">
      <c r="B1847" s="853">
        <v>264958.86664420279</v>
      </c>
    </row>
    <row r="1848" spans="2:2" ht="15.5" x14ac:dyDescent="0.35">
      <c r="B1848" s="853">
        <v>353336.33378786989</v>
      </c>
    </row>
    <row r="1849" spans="2:2" ht="15.5" x14ac:dyDescent="0.35">
      <c r="B1849" s="853">
        <v>247096.36264350323</v>
      </c>
    </row>
    <row r="1850" spans="2:2" ht="15.5" x14ac:dyDescent="0.35">
      <c r="B1850" s="853">
        <v>186164.89280649798</v>
      </c>
    </row>
    <row r="1851" spans="2:2" ht="15.5" x14ac:dyDescent="0.35">
      <c r="B1851" s="853">
        <v>411265.30559906492</v>
      </c>
    </row>
    <row r="1852" spans="2:2" ht="15.5" x14ac:dyDescent="0.35">
      <c r="B1852" s="853">
        <v>193318.338813137</v>
      </c>
    </row>
    <row r="1853" spans="2:2" ht="15.5" x14ac:dyDescent="0.35">
      <c r="B1853" s="853">
        <v>296657.84345491411</v>
      </c>
    </row>
    <row r="1854" spans="2:2" ht="15.5" x14ac:dyDescent="0.35">
      <c r="B1854" s="853">
        <v>585954.89858351636</v>
      </c>
    </row>
    <row r="1855" spans="2:2" ht="15.5" x14ac:dyDescent="0.35">
      <c r="B1855" s="853">
        <v>369881.73734958004</v>
      </c>
    </row>
    <row r="1856" spans="2:2" ht="15.5" x14ac:dyDescent="0.35">
      <c r="B1856" s="853">
        <v>-20317.512996002373</v>
      </c>
    </row>
    <row r="1857" spans="2:2" ht="15.5" x14ac:dyDescent="0.35">
      <c r="B1857" s="853">
        <v>226158.35430842027</v>
      </c>
    </row>
    <row r="1858" spans="2:2" ht="15.5" x14ac:dyDescent="0.35">
      <c r="B1858" s="853">
        <v>371108.29601412721</v>
      </c>
    </row>
    <row r="1859" spans="2:2" ht="15.5" x14ac:dyDescent="0.35">
      <c r="B1859" s="853">
        <v>164283.48760948266</v>
      </c>
    </row>
    <row r="1860" spans="2:2" ht="15.5" x14ac:dyDescent="0.35">
      <c r="B1860" s="853">
        <v>519635.63857860322</v>
      </c>
    </row>
    <row r="1861" spans="2:2" ht="15.5" x14ac:dyDescent="0.35">
      <c r="B1861" s="853">
        <v>423560.91994622652</v>
      </c>
    </row>
    <row r="1862" spans="2:2" ht="15.5" x14ac:dyDescent="0.35">
      <c r="B1862" s="853">
        <v>264963.4515994633</v>
      </c>
    </row>
    <row r="1863" spans="2:2" ht="15.5" x14ac:dyDescent="0.35">
      <c r="B1863" s="853">
        <v>223144.79855639729</v>
      </c>
    </row>
    <row r="1864" spans="2:2" ht="15.5" x14ac:dyDescent="0.35">
      <c r="B1864" s="853">
        <v>326655.23234503844</v>
      </c>
    </row>
    <row r="1865" spans="2:2" ht="15.5" x14ac:dyDescent="0.35">
      <c r="B1865" s="853">
        <v>316059.48490711435</v>
      </c>
    </row>
    <row r="1866" spans="2:2" ht="15.5" x14ac:dyDescent="0.35">
      <c r="B1866" s="853">
        <v>448179.09141670255</v>
      </c>
    </row>
    <row r="1867" spans="2:2" ht="15.5" x14ac:dyDescent="0.35">
      <c r="B1867" s="853">
        <v>317269.97788277164</v>
      </c>
    </row>
    <row r="1868" spans="2:2" ht="15.5" x14ac:dyDescent="0.35">
      <c r="B1868" s="853">
        <v>202541.95414868847</v>
      </c>
    </row>
    <row r="1869" spans="2:2" ht="15.5" x14ac:dyDescent="0.35">
      <c r="B1869" s="853">
        <v>3068.9657656568261</v>
      </c>
    </row>
    <row r="1870" spans="2:2" ht="15.5" x14ac:dyDescent="0.35">
      <c r="B1870" s="853">
        <v>280530.52451158885</v>
      </c>
    </row>
    <row r="1871" spans="2:2" ht="15.5" x14ac:dyDescent="0.35">
      <c r="B1871" s="853">
        <v>229325.78743650115</v>
      </c>
    </row>
    <row r="1872" spans="2:2" ht="15.5" x14ac:dyDescent="0.35">
      <c r="B1872" s="853">
        <v>424878.08502421022</v>
      </c>
    </row>
    <row r="1873" spans="2:2" ht="15.5" x14ac:dyDescent="0.35">
      <c r="B1873" s="853">
        <v>313145.23650838359</v>
      </c>
    </row>
    <row r="1874" spans="2:2" ht="15.5" x14ac:dyDescent="0.35">
      <c r="B1874" s="853">
        <v>131673.03010505741</v>
      </c>
    </row>
    <row r="1875" spans="2:2" ht="15.5" x14ac:dyDescent="0.35">
      <c r="B1875" s="853">
        <v>282526.09128123493</v>
      </c>
    </row>
    <row r="1876" spans="2:2" ht="15.5" x14ac:dyDescent="0.35">
      <c r="B1876" s="853">
        <v>304306.52972235333</v>
      </c>
    </row>
    <row r="1877" spans="2:2" ht="15.5" x14ac:dyDescent="0.35">
      <c r="B1877" s="853">
        <v>402259.24842831265</v>
      </c>
    </row>
    <row r="1878" spans="2:2" ht="15.5" x14ac:dyDescent="0.35">
      <c r="B1878" s="853">
        <v>470345.91093575722</v>
      </c>
    </row>
    <row r="1879" spans="2:2" ht="15.5" x14ac:dyDescent="0.35">
      <c r="B1879" s="853">
        <v>451479.48804810346</v>
      </c>
    </row>
    <row r="1880" spans="2:2" ht="15.5" x14ac:dyDescent="0.35">
      <c r="B1880" s="853">
        <v>340272.95398188947</v>
      </c>
    </row>
    <row r="1881" spans="2:2" ht="15.5" x14ac:dyDescent="0.35">
      <c r="B1881" s="853">
        <v>529373.97461175488</v>
      </c>
    </row>
    <row r="1882" spans="2:2" ht="15.5" x14ac:dyDescent="0.35">
      <c r="B1882" s="853">
        <v>334234.35624897532</v>
      </c>
    </row>
    <row r="1883" spans="2:2" ht="15.5" x14ac:dyDescent="0.35">
      <c r="B1883" s="853">
        <v>413988.38235189748</v>
      </c>
    </row>
    <row r="1884" spans="2:2" ht="15.5" x14ac:dyDescent="0.35">
      <c r="B1884" s="853">
        <v>295415.45303210104</v>
      </c>
    </row>
    <row r="1885" spans="2:2" ht="15.5" x14ac:dyDescent="0.35">
      <c r="B1885" s="853">
        <v>489760.10730889183</v>
      </c>
    </row>
    <row r="1886" spans="2:2" ht="15.5" x14ac:dyDescent="0.35">
      <c r="B1886" s="853">
        <v>517885.21479751589</v>
      </c>
    </row>
    <row r="1887" spans="2:2" ht="15.5" x14ac:dyDescent="0.35">
      <c r="B1887" s="853">
        <v>301454.74175438291</v>
      </c>
    </row>
    <row r="1888" spans="2:2" ht="15.5" x14ac:dyDescent="0.35">
      <c r="B1888" s="853">
        <v>156519.84076092136</v>
      </c>
    </row>
    <row r="1889" spans="2:2" ht="15.5" x14ac:dyDescent="0.35">
      <c r="B1889" s="853">
        <v>458825.478508236</v>
      </c>
    </row>
    <row r="1890" spans="2:2" ht="15.5" x14ac:dyDescent="0.35">
      <c r="B1890" s="853">
        <v>419799.53289477486</v>
      </c>
    </row>
    <row r="1891" spans="2:2" ht="15.5" x14ac:dyDescent="0.35">
      <c r="B1891" s="853">
        <v>276512.73675196606</v>
      </c>
    </row>
    <row r="1892" spans="2:2" ht="15.5" x14ac:dyDescent="0.35">
      <c r="B1892" s="853">
        <v>284783.72667742707</v>
      </c>
    </row>
    <row r="1893" spans="2:2" ht="15.5" x14ac:dyDescent="0.35">
      <c r="B1893" s="853">
        <v>521403.71011946822</v>
      </c>
    </row>
    <row r="1894" spans="2:2" ht="15.5" x14ac:dyDescent="0.35">
      <c r="B1894" s="853">
        <v>159886.49938449016</v>
      </c>
    </row>
    <row r="1895" spans="2:2" ht="15.5" x14ac:dyDescent="0.35">
      <c r="B1895" s="853">
        <v>319730.4563170129</v>
      </c>
    </row>
    <row r="1896" spans="2:2" ht="15.5" x14ac:dyDescent="0.35">
      <c r="B1896" s="853">
        <v>324517.94006321731</v>
      </c>
    </row>
    <row r="1897" spans="2:2" ht="15.5" x14ac:dyDescent="0.35">
      <c r="B1897" s="853">
        <v>475455.30103199033</v>
      </c>
    </row>
    <row r="1898" spans="2:2" ht="15.5" x14ac:dyDescent="0.35">
      <c r="B1898" s="853">
        <v>242088.18223856151</v>
      </c>
    </row>
    <row r="1899" spans="2:2" ht="15.5" x14ac:dyDescent="0.35">
      <c r="B1899" s="853">
        <v>482501.99784876022</v>
      </c>
    </row>
    <row r="1900" spans="2:2" ht="15.5" x14ac:dyDescent="0.35">
      <c r="B1900" s="853">
        <v>233221.03840135445</v>
      </c>
    </row>
    <row r="1901" spans="2:2" ht="15.5" x14ac:dyDescent="0.35">
      <c r="B1901" s="853">
        <v>-15885.466912549698</v>
      </c>
    </row>
    <row r="1902" spans="2:2" ht="15.5" x14ac:dyDescent="0.35">
      <c r="B1902" s="853">
        <v>206547.31488381192</v>
      </c>
    </row>
    <row r="1903" spans="2:2" ht="15.5" x14ac:dyDescent="0.35">
      <c r="B1903" s="853">
        <v>155635.99946540088</v>
      </c>
    </row>
    <row r="1904" spans="2:2" ht="15.5" x14ac:dyDescent="0.35">
      <c r="B1904" s="853">
        <v>540907.51251405955</v>
      </c>
    </row>
    <row r="1905" spans="2:2" ht="15.5" x14ac:dyDescent="0.35">
      <c r="B1905" s="853">
        <v>363619.65298896289</v>
      </c>
    </row>
    <row r="1906" spans="2:2" ht="15.5" x14ac:dyDescent="0.35">
      <c r="B1906" s="853">
        <v>404452.07927647507</v>
      </c>
    </row>
    <row r="1907" spans="2:2" ht="15.5" x14ac:dyDescent="0.35">
      <c r="B1907" s="853">
        <v>380916.02611710469</v>
      </c>
    </row>
    <row r="1908" spans="2:2" ht="15.5" x14ac:dyDescent="0.35">
      <c r="B1908" s="853">
        <v>193739.06899468752</v>
      </c>
    </row>
    <row r="1909" spans="2:2" ht="15.5" x14ac:dyDescent="0.35">
      <c r="B1909" s="853">
        <v>187593.8562177823</v>
      </c>
    </row>
    <row r="1910" spans="2:2" ht="15.5" x14ac:dyDescent="0.35">
      <c r="B1910" s="853">
        <v>513076.68498145661</v>
      </c>
    </row>
    <row r="1911" spans="2:2" ht="15.5" x14ac:dyDescent="0.35">
      <c r="B1911" s="853">
        <v>305061.85606665508</v>
      </c>
    </row>
    <row r="1912" spans="2:2" ht="15.5" x14ac:dyDescent="0.35">
      <c r="B1912" s="853">
        <v>614073.47596653819</v>
      </c>
    </row>
    <row r="1913" spans="2:2" ht="15.5" x14ac:dyDescent="0.35">
      <c r="B1913" s="853">
        <v>302279.1682548981</v>
      </c>
    </row>
    <row r="1914" spans="2:2" ht="15.5" x14ac:dyDescent="0.35">
      <c r="B1914" s="853">
        <v>210240.940311738</v>
      </c>
    </row>
    <row r="1915" spans="2:2" ht="15.5" x14ac:dyDescent="0.35">
      <c r="B1915" s="853">
        <v>211108.21226773335</v>
      </c>
    </row>
    <row r="1916" spans="2:2" ht="15.5" x14ac:dyDescent="0.35">
      <c r="B1916" s="853">
        <v>468999.74580042291</v>
      </c>
    </row>
    <row r="1917" spans="2:2" ht="15.5" x14ac:dyDescent="0.35">
      <c r="B1917" s="853">
        <v>355765.39112990128</v>
      </c>
    </row>
    <row r="1918" spans="2:2" ht="15.5" x14ac:dyDescent="0.35">
      <c r="B1918" s="853">
        <v>557739.65162042493</v>
      </c>
    </row>
    <row r="1919" spans="2:2" ht="15.5" x14ac:dyDescent="0.35">
      <c r="B1919" s="853">
        <v>410967.59506429837</v>
      </c>
    </row>
    <row r="1920" spans="2:2" ht="15.5" x14ac:dyDescent="0.35">
      <c r="B1920" s="853">
        <v>412983.34626130387</v>
      </c>
    </row>
    <row r="1921" spans="2:2" ht="15.5" x14ac:dyDescent="0.35">
      <c r="B1921" s="853">
        <v>139176.66385824632</v>
      </c>
    </row>
    <row r="1922" spans="2:2" ht="15.5" x14ac:dyDescent="0.35">
      <c r="B1922" s="853">
        <v>427562.52212769981</v>
      </c>
    </row>
    <row r="1923" spans="2:2" ht="15.5" x14ac:dyDescent="0.35">
      <c r="B1923" s="853">
        <v>696798.4824796333</v>
      </c>
    </row>
    <row r="1924" spans="2:2" ht="15.5" x14ac:dyDescent="0.35">
      <c r="B1924" s="853">
        <v>526941.93442988349</v>
      </c>
    </row>
    <row r="1925" spans="2:2" ht="15.5" x14ac:dyDescent="0.35">
      <c r="B1925" s="853">
        <v>188277.96117239876</v>
      </c>
    </row>
    <row r="1926" spans="2:2" ht="15.5" x14ac:dyDescent="0.35">
      <c r="B1926" s="853">
        <v>635294.83561767905</v>
      </c>
    </row>
    <row r="1927" spans="2:2" ht="15.5" x14ac:dyDescent="0.35">
      <c r="B1927" s="853">
        <v>359949.13866093161</v>
      </c>
    </row>
    <row r="1928" spans="2:2" ht="15.5" x14ac:dyDescent="0.35">
      <c r="B1928" s="853">
        <v>331684.55924543837</v>
      </c>
    </row>
    <row r="1929" spans="2:2" ht="15.5" x14ac:dyDescent="0.35">
      <c r="B1929" s="853">
        <v>289266.8632645082</v>
      </c>
    </row>
    <row r="1930" spans="2:2" ht="15.5" x14ac:dyDescent="0.35">
      <c r="B1930" s="853">
        <v>89529.63810151181</v>
      </c>
    </row>
    <row r="1931" spans="2:2" ht="15.5" x14ac:dyDescent="0.35">
      <c r="B1931" s="853">
        <v>601316.44556315034</v>
      </c>
    </row>
    <row r="1932" spans="2:2" ht="15.5" x14ac:dyDescent="0.35">
      <c r="B1932" s="853">
        <v>415471.89471466653</v>
      </c>
    </row>
    <row r="1933" spans="2:2" ht="15.5" x14ac:dyDescent="0.35">
      <c r="B1933" s="853">
        <v>322289.98873316747</v>
      </c>
    </row>
    <row r="1934" spans="2:2" ht="15.5" x14ac:dyDescent="0.35">
      <c r="B1934" s="853">
        <v>293072.94913713803</v>
      </c>
    </row>
    <row r="1935" spans="2:2" ht="15.5" x14ac:dyDescent="0.35">
      <c r="B1935" s="853">
        <v>323804.17408314865</v>
      </c>
    </row>
    <row r="1936" spans="2:2" ht="15.5" x14ac:dyDescent="0.35">
      <c r="B1936" s="853">
        <v>145839.13372629904</v>
      </c>
    </row>
    <row r="1937" spans="2:2" ht="15.5" x14ac:dyDescent="0.35">
      <c r="B1937" s="853">
        <v>52511.998486212644</v>
      </c>
    </row>
    <row r="1938" spans="2:2" ht="15.5" x14ac:dyDescent="0.35">
      <c r="B1938" s="853">
        <v>9317.2227084445894</v>
      </c>
    </row>
    <row r="1939" spans="2:2" ht="15.5" x14ac:dyDescent="0.35">
      <c r="B1939" s="853">
        <v>94152.955752382608</v>
      </c>
    </row>
    <row r="1940" spans="2:2" ht="15.5" x14ac:dyDescent="0.35">
      <c r="B1940" s="853">
        <v>484576.4156369915</v>
      </c>
    </row>
    <row r="1941" spans="2:2" ht="15.5" x14ac:dyDescent="0.35">
      <c r="B1941" s="853">
        <v>405925.1669789505</v>
      </c>
    </row>
    <row r="1942" spans="2:2" ht="15.5" x14ac:dyDescent="0.35">
      <c r="B1942" s="853">
        <v>172621.93274732635</v>
      </c>
    </row>
    <row r="1943" spans="2:2" ht="15.5" x14ac:dyDescent="0.35">
      <c r="B1943" s="853">
        <v>447668.6323352803</v>
      </c>
    </row>
    <row r="1944" spans="2:2" ht="15.5" x14ac:dyDescent="0.35">
      <c r="B1944" s="853">
        <v>332033.09217116353</v>
      </c>
    </row>
    <row r="1945" spans="2:2" ht="15.5" x14ac:dyDescent="0.35">
      <c r="B1945" s="853">
        <v>400375.11996875936</v>
      </c>
    </row>
    <row r="1946" spans="2:2" ht="15.5" x14ac:dyDescent="0.35">
      <c r="B1946" s="853">
        <v>75589.350220892302</v>
      </c>
    </row>
    <row r="1947" spans="2:2" ht="15.5" x14ac:dyDescent="0.35">
      <c r="B1947" s="853">
        <v>320248.16770462692</v>
      </c>
    </row>
    <row r="1948" spans="2:2" ht="15.5" x14ac:dyDescent="0.35">
      <c r="B1948" s="853">
        <v>197230.93073526688</v>
      </c>
    </row>
    <row r="1949" spans="2:2" ht="15.5" x14ac:dyDescent="0.35">
      <c r="B1949" s="853">
        <v>274527.58036361419</v>
      </c>
    </row>
    <row r="1950" spans="2:2" ht="15.5" x14ac:dyDescent="0.35">
      <c r="B1950" s="853">
        <v>292423.65010680765</v>
      </c>
    </row>
    <row r="1951" spans="2:2" ht="15.5" x14ac:dyDescent="0.35">
      <c r="B1951" s="853">
        <v>265803.51401606353</v>
      </c>
    </row>
    <row r="1952" spans="2:2" ht="15.5" x14ac:dyDescent="0.35">
      <c r="B1952" s="853">
        <v>262333.47737384826</v>
      </c>
    </row>
    <row r="1953" spans="2:2" ht="15.5" x14ac:dyDescent="0.35">
      <c r="B1953" s="853">
        <v>225453.75081542257</v>
      </c>
    </row>
    <row r="1954" spans="2:2" ht="15.5" x14ac:dyDescent="0.35">
      <c r="B1954" s="853">
        <v>593155.60746929864</v>
      </c>
    </row>
    <row r="1955" spans="2:2" ht="15.5" x14ac:dyDescent="0.35">
      <c r="B1955" s="853">
        <v>140835.8757001466</v>
      </c>
    </row>
    <row r="1956" spans="2:2" ht="15.5" x14ac:dyDescent="0.35">
      <c r="B1956" s="853">
        <v>568070.52858392708</v>
      </c>
    </row>
    <row r="1957" spans="2:2" ht="15.5" x14ac:dyDescent="0.35">
      <c r="B1957" s="853">
        <v>453600.45745223766</v>
      </c>
    </row>
    <row r="1958" spans="2:2" ht="15.5" x14ac:dyDescent="0.35">
      <c r="B1958" s="853">
        <v>297273.31124765467</v>
      </c>
    </row>
    <row r="1959" spans="2:2" ht="15.5" x14ac:dyDescent="0.35">
      <c r="B1959" s="853">
        <v>164361.13082069138</v>
      </c>
    </row>
    <row r="1960" spans="2:2" ht="15.5" x14ac:dyDescent="0.35">
      <c r="B1960" s="853">
        <v>584384.44076805643</v>
      </c>
    </row>
    <row r="1961" spans="2:2" ht="15.5" x14ac:dyDescent="0.35">
      <c r="B1961" s="853">
        <v>263477.60201238975</v>
      </c>
    </row>
    <row r="1962" spans="2:2" ht="15.5" x14ac:dyDescent="0.35">
      <c r="B1962" s="853">
        <v>355035.68359045376</v>
      </c>
    </row>
    <row r="1963" spans="2:2" ht="15.5" x14ac:dyDescent="0.35">
      <c r="B1963" s="853">
        <v>212669.665012399</v>
      </c>
    </row>
    <row r="1964" spans="2:2" ht="15.5" x14ac:dyDescent="0.35">
      <c r="B1964" s="853">
        <v>274721.80584548065</v>
      </c>
    </row>
    <row r="1965" spans="2:2" ht="15.5" x14ac:dyDescent="0.35">
      <c r="B1965" s="853">
        <v>344919.08225191745</v>
      </c>
    </row>
    <row r="1966" spans="2:2" ht="15.5" x14ac:dyDescent="0.35">
      <c r="B1966" s="853">
        <v>213650.2776339124</v>
      </c>
    </row>
    <row r="1967" spans="2:2" ht="15.5" x14ac:dyDescent="0.35">
      <c r="B1967" s="853">
        <v>187549.07524898314</v>
      </c>
    </row>
    <row r="1968" spans="2:2" ht="15.5" x14ac:dyDescent="0.35">
      <c r="B1968" s="853">
        <v>198346.56947920803</v>
      </c>
    </row>
    <row r="1969" spans="2:2" ht="15.5" x14ac:dyDescent="0.35">
      <c r="B1969" s="853">
        <v>186694.86197432253</v>
      </c>
    </row>
    <row r="1970" spans="2:2" ht="15.5" x14ac:dyDescent="0.35">
      <c r="B1970" s="853">
        <v>338488.80169886438</v>
      </c>
    </row>
    <row r="1971" spans="2:2" ht="15.5" x14ac:dyDescent="0.35">
      <c r="B1971" s="853">
        <v>45461.329092345259</v>
      </c>
    </row>
    <row r="1972" spans="2:2" ht="15.5" x14ac:dyDescent="0.35">
      <c r="B1972" s="853">
        <v>404684.15093868866</v>
      </c>
    </row>
    <row r="1973" spans="2:2" ht="15.5" x14ac:dyDescent="0.35">
      <c r="B1973" s="853">
        <v>401168.03234223503</v>
      </c>
    </row>
    <row r="1974" spans="2:2" ht="15.5" x14ac:dyDescent="0.35">
      <c r="B1974" s="853">
        <v>266991.46261897433</v>
      </c>
    </row>
    <row r="1975" spans="2:2" ht="15.5" x14ac:dyDescent="0.35">
      <c r="B1975" s="853">
        <v>339710.43506625271</v>
      </c>
    </row>
    <row r="1976" spans="2:2" ht="15.5" x14ac:dyDescent="0.35">
      <c r="B1976" s="853">
        <v>322661.45465182891</v>
      </c>
    </row>
    <row r="1977" spans="2:2" ht="15.5" x14ac:dyDescent="0.35">
      <c r="B1977" s="853">
        <v>574196.66431570216</v>
      </c>
    </row>
    <row r="1978" spans="2:2" ht="15.5" x14ac:dyDescent="0.35">
      <c r="B1978" s="853">
        <v>470970.42105288379</v>
      </c>
    </row>
    <row r="1979" spans="2:2" ht="15.5" x14ac:dyDescent="0.35">
      <c r="B1979" s="853">
        <v>515801.07574317971</v>
      </c>
    </row>
    <row r="1980" spans="2:2" ht="15.5" x14ac:dyDescent="0.35">
      <c r="B1980" s="853">
        <v>304694.01195668586</v>
      </c>
    </row>
    <row r="1981" spans="2:2" ht="15.5" x14ac:dyDescent="0.35">
      <c r="B1981" s="853">
        <v>238758.75773263248</v>
      </c>
    </row>
    <row r="1982" spans="2:2" ht="15.5" x14ac:dyDescent="0.35">
      <c r="B1982" s="853">
        <v>396393.72470485134</v>
      </c>
    </row>
    <row r="1983" spans="2:2" ht="15.5" x14ac:dyDescent="0.35">
      <c r="B1983" s="853">
        <v>236519.87567224313</v>
      </c>
    </row>
    <row r="1984" spans="2:2" ht="15.5" x14ac:dyDescent="0.35">
      <c r="B1984" s="853">
        <v>324018.15725969622</v>
      </c>
    </row>
    <row r="1985" spans="2:2" ht="15.5" x14ac:dyDescent="0.35">
      <c r="B1985" s="853">
        <v>240427.00046563035</v>
      </c>
    </row>
    <row r="1986" spans="2:2" ht="15.5" x14ac:dyDescent="0.35">
      <c r="B1986" s="853">
        <v>585257.06874653976</v>
      </c>
    </row>
    <row r="1987" spans="2:2" ht="15.5" x14ac:dyDescent="0.35">
      <c r="B1987" s="853">
        <v>482566.25454343349</v>
      </c>
    </row>
    <row r="1988" spans="2:2" ht="15.5" x14ac:dyDescent="0.35">
      <c r="B1988" s="853">
        <v>357760.86378771591</v>
      </c>
    </row>
    <row r="1989" spans="2:2" ht="15.5" x14ac:dyDescent="0.35">
      <c r="B1989" s="853">
        <v>189997.0716743774</v>
      </c>
    </row>
    <row r="1990" spans="2:2" ht="15.5" x14ac:dyDescent="0.35">
      <c r="B1990" s="853">
        <v>123356.18329587221</v>
      </c>
    </row>
    <row r="1991" spans="2:2" ht="15.5" x14ac:dyDescent="0.35">
      <c r="B1991" s="853">
        <v>196695.41504963904</v>
      </c>
    </row>
    <row r="1992" spans="2:2" ht="15.5" x14ac:dyDescent="0.35">
      <c r="B1992" s="853">
        <v>160078.73929800934</v>
      </c>
    </row>
    <row r="1993" spans="2:2" ht="15.5" x14ac:dyDescent="0.35">
      <c r="B1993" s="853">
        <v>405690.22750576481</v>
      </c>
    </row>
    <row r="1994" spans="2:2" ht="15.5" x14ac:dyDescent="0.35">
      <c r="B1994" s="853">
        <v>292115.53716904816</v>
      </c>
    </row>
    <row r="1995" spans="2:2" ht="15.5" x14ac:dyDescent="0.35">
      <c r="B1995" s="853">
        <v>143169.63188873991</v>
      </c>
    </row>
    <row r="1996" spans="2:2" ht="15.5" x14ac:dyDescent="0.35">
      <c r="B1996" s="853">
        <v>316787.05014619086</v>
      </c>
    </row>
    <row r="1997" spans="2:2" ht="15.5" x14ac:dyDescent="0.35">
      <c r="B1997" s="853">
        <v>503914.35982728365</v>
      </c>
    </row>
    <row r="1998" spans="2:2" ht="15.5" x14ac:dyDescent="0.35">
      <c r="B1998" s="853">
        <v>327124.23635686067</v>
      </c>
    </row>
    <row r="1999" spans="2:2" ht="15.5" x14ac:dyDescent="0.35">
      <c r="B1999" s="853">
        <v>404771.04366726521</v>
      </c>
    </row>
    <row r="2000" spans="2:2" ht="15.5" x14ac:dyDescent="0.35">
      <c r="B2000" s="853">
        <v>355033.14908113953</v>
      </c>
    </row>
    <row r="2001" spans="2:2" ht="15.5" x14ac:dyDescent="0.35">
      <c r="B2001" s="853">
        <v>345602.91526500165</v>
      </c>
    </row>
    <row r="2002" spans="2:2" ht="15.5" x14ac:dyDescent="0.35">
      <c r="B2002" s="853">
        <v>390429.399043168</v>
      </c>
    </row>
    <row r="2003" spans="2:2" ht="15.5" x14ac:dyDescent="0.35">
      <c r="B2003" s="853">
        <v>312970.99971136719</v>
      </c>
    </row>
    <row r="2004" spans="2:2" ht="15.5" x14ac:dyDescent="0.35">
      <c r="B2004" s="853">
        <v>149182.72613312534</v>
      </c>
    </row>
    <row r="2005" spans="2:2" ht="15.5" x14ac:dyDescent="0.35">
      <c r="B2005" s="853">
        <v>146953.59878748047</v>
      </c>
    </row>
    <row r="2006" spans="2:2" ht="15.5" x14ac:dyDescent="0.35">
      <c r="B2006" s="853">
        <v>288042.75488421979</v>
      </c>
    </row>
    <row r="2007" spans="2:2" ht="15.5" x14ac:dyDescent="0.35">
      <c r="B2007" s="853">
        <v>184563.11358127045</v>
      </c>
    </row>
    <row r="2008" spans="2:2" ht="15.5" x14ac:dyDescent="0.35">
      <c r="B2008" s="853">
        <v>464049.31681768876</v>
      </c>
    </row>
    <row r="2009" spans="2:2" ht="15.5" x14ac:dyDescent="0.35">
      <c r="B2009" s="853">
        <v>222000.41075792385</v>
      </c>
    </row>
    <row r="2010" spans="2:2" ht="15.5" x14ac:dyDescent="0.35">
      <c r="B2010" s="853">
        <v>554729.06306220789</v>
      </c>
    </row>
    <row r="2011" spans="2:2" ht="15.5" x14ac:dyDescent="0.35">
      <c r="B2011" s="853">
        <v>425016.83040031214</v>
      </c>
    </row>
    <row r="2012" spans="2:2" ht="15.5" x14ac:dyDescent="0.35">
      <c r="B2012" s="853">
        <v>196430.52285891134</v>
      </c>
    </row>
    <row r="2013" spans="2:2" ht="15.5" x14ac:dyDescent="0.35">
      <c r="B2013" s="853">
        <v>163522.44049873558</v>
      </c>
    </row>
    <row r="2014" spans="2:2" ht="15.5" x14ac:dyDescent="0.35">
      <c r="B2014" s="853">
        <v>260138.65206888414</v>
      </c>
    </row>
    <row r="2015" spans="2:2" ht="15.5" x14ac:dyDescent="0.35">
      <c r="B2015" s="853">
        <v>525741.15784757771</v>
      </c>
    </row>
    <row r="2016" spans="2:2" ht="15.5" x14ac:dyDescent="0.35">
      <c r="B2016" s="853">
        <v>430676.82845542848</v>
      </c>
    </row>
    <row r="2017" spans="2:2" ht="15.5" x14ac:dyDescent="0.35">
      <c r="B2017" s="853">
        <v>460112.16109461884</v>
      </c>
    </row>
    <row r="2018" spans="2:2" ht="15.5" x14ac:dyDescent="0.35">
      <c r="B2018" s="853">
        <v>374040.76596184482</v>
      </c>
    </row>
    <row r="2019" spans="2:2" ht="15.5" x14ac:dyDescent="0.35">
      <c r="B2019" s="853">
        <v>539366.57943759346</v>
      </c>
    </row>
    <row r="2020" spans="2:2" ht="15.5" x14ac:dyDescent="0.35">
      <c r="B2020" s="853">
        <v>276692.45135916147</v>
      </c>
    </row>
    <row r="2021" spans="2:2" ht="15.5" x14ac:dyDescent="0.35">
      <c r="B2021" s="853">
        <v>387312.36922896904</v>
      </c>
    </row>
    <row r="2022" spans="2:2" ht="15.5" x14ac:dyDescent="0.35">
      <c r="B2022" s="853">
        <v>145104.33463167708</v>
      </c>
    </row>
    <row r="2023" spans="2:2" ht="15.5" x14ac:dyDescent="0.35">
      <c r="B2023" s="853">
        <v>323025.75718890817</v>
      </c>
    </row>
    <row r="2024" spans="2:2" ht="15.5" x14ac:dyDescent="0.35">
      <c r="B2024" s="853">
        <v>362554.25796226802</v>
      </c>
    </row>
    <row r="2025" spans="2:2" ht="15.5" x14ac:dyDescent="0.35">
      <c r="B2025" s="853">
        <v>252115.75658442618</v>
      </c>
    </row>
    <row r="2026" spans="2:2" ht="15.5" x14ac:dyDescent="0.35">
      <c r="B2026" s="853">
        <v>315127.4200937135</v>
      </c>
    </row>
    <row r="2027" spans="2:2" ht="15.5" x14ac:dyDescent="0.35">
      <c r="B2027" s="853">
        <v>348970.38179711159</v>
      </c>
    </row>
    <row r="2028" spans="2:2" ht="15.5" x14ac:dyDescent="0.35">
      <c r="B2028" s="853">
        <v>326357.0386020728</v>
      </c>
    </row>
    <row r="2029" spans="2:2" ht="15.5" x14ac:dyDescent="0.35">
      <c r="B2029" s="853">
        <v>438467.92686499015</v>
      </c>
    </row>
    <row r="2030" spans="2:2" ht="15.5" x14ac:dyDescent="0.35">
      <c r="B2030" s="853">
        <v>119790.12373284867</v>
      </c>
    </row>
    <row r="2031" spans="2:2" ht="15.5" x14ac:dyDescent="0.35">
      <c r="B2031" s="853">
        <v>622775.31033690751</v>
      </c>
    </row>
    <row r="2032" spans="2:2" ht="15.5" x14ac:dyDescent="0.35">
      <c r="B2032" s="853">
        <v>455844.16187541233</v>
      </c>
    </row>
    <row r="2033" spans="2:2" ht="15.5" x14ac:dyDescent="0.35">
      <c r="B2033" s="853">
        <v>-40547.808301222496</v>
      </c>
    </row>
    <row r="2034" spans="2:2" ht="15.5" x14ac:dyDescent="0.35">
      <c r="B2034" s="853">
        <v>158730.15382049204</v>
      </c>
    </row>
    <row r="2035" spans="2:2" ht="15.5" x14ac:dyDescent="0.35">
      <c r="B2035" s="853">
        <v>618728.71830039052</v>
      </c>
    </row>
    <row r="2036" spans="2:2" ht="15.5" x14ac:dyDescent="0.35">
      <c r="B2036" s="853">
        <v>529930.42742499989</v>
      </c>
    </row>
    <row r="2037" spans="2:2" ht="15.5" x14ac:dyDescent="0.35">
      <c r="B2037" s="853">
        <v>289493.53058417555</v>
      </c>
    </row>
    <row r="2038" spans="2:2" ht="15.5" x14ac:dyDescent="0.35">
      <c r="B2038" s="853">
        <v>354552.58409147477</v>
      </c>
    </row>
    <row r="2039" spans="2:2" ht="15.5" x14ac:dyDescent="0.35">
      <c r="B2039" s="853">
        <v>581904.14940044377</v>
      </c>
    </row>
    <row r="2040" spans="2:2" ht="15.5" x14ac:dyDescent="0.35">
      <c r="B2040" s="853">
        <v>209900.05300289934</v>
      </c>
    </row>
    <row r="2041" spans="2:2" ht="15.5" x14ac:dyDescent="0.35">
      <c r="B2041" s="853">
        <v>161687.96192351528</v>
      </c>
    </row>
    <row r="2042" spans="2:2" ht="15.5" x14ac:dyDescent="0.35">
      <c r="B2042" s="853">
        <v>240938.26154580092</v>
      </c>
    </row>
    <row r="2043" spans="2:2" ht="15.5" x14ac:dyDescent="0.35">
      <c r="B2043" s="853">
        <v>645805.94621777954</v>
      </c>
    </row>
    <row r="2044" spans="2:2" ht="15.5" x14ac:dyDescent="0.35">
      <c r="B2044" s="853">
        <v>339824.09779870528</v>
      </c>
    </row>
    <row r="2045" spans="2:2" ht="15.5" x14ac:dyDescent="0.35">
      <c r="B2045" s="853">
        <v>241443.99044787025</v>
      </c>
    </row>
    <row r="2046" spans="2:2" ht="15.5" x14ac:dyDescent="0.35">
      <c r="B2046" s="853">
        <v>235678.48360488875</v>
      </c>
    </row>
    <row r="2047" spans="2:2" ht="15.5" x14ac:dyDescent="0.35">
      <c r="B2047" s="853">
        <v>330188.28123986814</v>
      </c>
    </row>
    <row r="2048" spans="2:2" ht="15.5" x14ac:dyDescent="0.35">
      <c r="B2048" s="853">
        <v>134053.65066094414</v>
      </c>
    </row>
    <row r="2049" spans="2:2" ht="15.5" x14ac:dyDescent="0.35">
      <c r="B2049" s="853">
        <v>378088.28496208042</v>
      </c>
    </row>
    <row r="2050" spans="2:2" ht="15.5" x14ac:dyDescent="0.35">
      <c r="B2050" s="853">
        <v>233901.12907699816</v>
      </c>
    </row>
    <row r="2051" spans="2:2" ht="15.5" x14ac:dyDescent="0.35">
      <c r="B2051" s="853">
        <v>192101.33455387419</v>
      </c>
    </row>
    <row r="2052" spans="2:2" ht="15.5" x14ac:dyDescent="0.35">
      <c r="B2052" s="853">
        <v>311995.80365642544</v>
      </c>
    </row>
    <row r="2053" spans="2:2" ht="15.5" x14ac:dyDescent="0.35">
      <c r="B2053" s="853">
        <v>303033.35908006429</v>
      </c>
    </row>
    <row r="2054" spans="2:2" ht="15.5" x14ac:dyDescent="0.35">
      <c r="B2054" s="853">
        <v>537435.15385071561</v>
      </c>
    </row>
    <row r="2055" spans="2:2" ht="15.5" x14ac:dyDescent="0.35">
      <c r="B2055" s="853">
        <v>436618.03629804467</v>
      </c>
    </row>
    <row r="2056" spans="2:2" ht="15.5" x14ac:dyDescent="0.35">
      <c r="B2056" s="853">
        <v>58628.575971658684</v>
      </c>
    </row>
    <row r="2057" spans="2:2" ht="15.5" x14ac:dyDescent="0.35">
      <c r="B2057" s="853">
        <v>794838.1456810215</v>
      </c>
    </row>
    <row r="2058" spans="2:2" ht="15.5" x14ac:dyDescent="0.35">
      <c r="B2058" s="853">
        <v>290377.58506721322</v>
      </c>
    </row>
    <row r="2059" spans="2:2" ht="15.5" x14ac:dyDescent="0.35">
      <c r="B2059" s="853">
        <v>651631.54452986014</v>
      </c>
    </row>
    <row r="2060" spans="2:2" ht="15.5" x14ac:dyDescent="0.35">
      <c r="B2060" s="853">
        <v>261757.58787529895</v>
      </c>
    </row>
    <row r="2061" spans="2:2" ht="15.5" x14ac:dyDescent="0.35">
      <c r="B2061" s="853">
        <v>422345.76412148681</v>
      </c>
    </row>
    <row r="2062" spans="2:2" ht="15.5" x14ac:dyDescent="0.35">
      <c r="B2062" s="853">
        <v>420741.12707392935</v>
      </c>
    </row>
    <row r="2063" spans="2:2" ht="15.5" x14ac:dyDescent="0.35">
      <c r="B2063" s="853">
        <v>34612.109116560954</v>
      </c>
    </row>
    <row r="2064" spans="2:2" ht="15.5" x14ac:dyDescent="0.35">
      <c r="B2064" s="853">
        <v>296110.06649252458</v>
      </c>
    </row>
    <row r="2065" spans="2:2" ht="15.5" x14ac:dyDescent="0.35">
      <c r="B2065" s="853">
        <v>421809.09365555731</v>
      </c>
    </row>
    <row r="2066" spans="2:2" ht="15.5" x14ac:dyDescent="0.35">
      <c r="B2066" s="853">
        <v>395399.91930824099</v>
      </c>
    </row>
    <row r="2067" spans="2:2" ht="15.5" x14ac:dyDescent="0.35">
      <c r="B2067" s="853">
        <v>317274.69551061571</v>
      </c>
    </row>
    <row r="2068" spans="2:2" ht="15.5" x14ac:dyDescent="0.35">
      <c r="B2068" s="853">
        <v>230308.93291094573</v>
      </c>
    </row>
    <row r="2069" spans="2:2" ht="15.5" x14ac:dyDescent="0.35">
      <c r="B2069" s="853">
        <v>380214.65278038784</v>
      </c>
    </row>
    <row r="2070" spans="2:2" ht="15.5" x14ac:dyDescent="0.35">
      <c r="B2070" s="853">
        <v>232067.29364116848</v>
      </c>
    </row>
    <row r="2071" spans="2:2" ht="15.5" x14ac:dyDescent="0.35">
      <c r="B2071" s="853">
        <v>612757.32200520649</v>
      </c>
    </row>
    <row r="2072" spans="2:2" ht="15.5" x14ac:dyDescent="0.35">
      <c r="B2072" s="853">
        <v>171185.06732136899</v>
      </c>
    </row>
    <row r="2073" spans="2:2" ht="15.5" x14ac:dyDescent="0.35">
      <c r="B2073" s="853">
        <v>276141.17926586577</v>
      </c>
    </row>
    <row r="2074" spans="2:2" ht="15.5" x14ac:dyDescent="0.35">
      <c r="B2074" s="853">
        <v>214109.81323938962</v>
      </c>
    </row>
    <row r="2075" spans="2:2" ht="15.5" x14ac:dyDescent="0.35">
      <c r="B2075" s="853">
        <v>382534.12816848059</v>
      </c>
    </row>
    <row r="2076" spans="2:2" ht="15.5" x14ac:dyDescent="0.35">
      <c r="B2076" s="853">
        <v>330400.41649868333</v>
      </c>
    </row>
    <row r="2077" spans="2:2" ht="15.5" x14ac:dyDescent="0.35">
      <c r="B2077" s="853">
        <v>40834.113088475387</v>
      </c>
    </row>
    <row r="2078" spans="2:2" ht="15.5" x14ac:dyDescent="0.35">
      <c r="B2078" s="853">
        <v>425738.04671843536</v>
      </c>
    </row>
    <row r="2079" spans="2:2" ht="15.5" x14ac:dyDescent="0.35">
      <c r="B2079" s="853">
        <v>323491.46743150247</v>
      </c>
    </row>
    <row r="2080" spans="2:2" ht="15.5" x14ac:dyDescent="0.35">
      <c r="B2080" s="853">
        <v>314735.88302045898</v>
      </c>
    </row>
    <row r="2081" spans="2:2" ht="15.5" x14ac:dyDescent="0.35">
      <c r="B2081" s="853">
        <v>122640.81089421955</v>
      </c>
    </row>
    <row r="2082" spans="2:2" ht="15.5" x14ac:dyDescent="0.35">
      <c r="B2082" s="853">
        <v>488006.8673724751</v>
      </c>
    </row>
    <row r="2083" spans="2:2" ht="15.5" x14ac:dyDescent="0.35">
      <c r="B2083" s="853">
        <v>165642.45099647681</v>
      </c>
    </row>
    <row r="2084" spans="2:2" ht="15.5" x14ac:dyDescent="0.35">
      <c r="B2084" s="853">
        <v>13338.376343301965</v>
      </c>
    </row>
    <row r="2085" spans="2:2" ht="15.5" x14ac:dyDescent="0.35">
      <c r="B2085" s="853">
        <v>432531.17216428468</v>
      </c>
    </row>
    <row r="2086" spans="2:2" ht="15.5" x14ac:dyDescent="0.35">
      <c r="B2086" s="853">
        <v>404831.98525047209</v>
      </c>
    </row>
    <row r="2087" spans="2:2" ht="15.5" x14ac:dyDescent="0.35">
      <c r="B2087" s="853">
        <v>369246.42644248856</v>
      </c>
    </row>
    <row r="2088" spans="2:2" ht="15.5" x14ac:dyDescent="0.35">
      <c r="B2088" s="853">
        <v>37938.899413231542</v>
      </c>
    </row>
    <row r="2089" spans="2:2" ht="15.5" x14ac:dyDescent="0.35">
      <c r="B2089" s="853">
        <v>486708.58686047379</v>
      </c>
    </row>
    <row r="2090" spans="2:2" ht="15.5" x14ac:dyDescent="0.35">
      <c r="B2090" s="853">
        <v>199418.33382738</v>
      </c>
    </row>
    <row r="2091" spans="2:2" ht="15.5" x14ac:dyDescent="0.35">
      <c r="B2091" s="853">
        <v>290841.65289590752</v>
      </c>
    </row>
    <row r="2092" spans="2:2" ht="15.5" x14ac:dyDescent="0.35">
      <c r="B2092" s="853">
        <v>475359.4515348518</v>
      </c>
    </row>
    <row r="2093" spans="2:2" ht="15.5" x14ac:dyDescent="0.35">
      <c r="B2093" s="853">
        <v>173651.29133945468</v>
      </c>
    </row>
    <row r="2094" spans="2:2" ht="15.5" x14ac:dyDescent="0.35">
      <c r="B2094" s="853">
        <v>261487.86075288226</v>
      </c>
    </row>
    <row r="2095" spans="2:2" ht="15.5" x14ac:dyDescent="0.35">
      <c r="B2095" s="853">
        <v>251738.72440116858</v>
      </c>
    </row>
    <row r="2096" spans="2:2" ht="15.5" x14ac:dyDescent="0.35">
      <c r="B2096" s="853">
        <v>383702.30744167831</v>
      </c>
    </row>
    <row r="2097" spans="2:2" ht="15.5" x14ac:dyDescent="0.35">
      <c r="B2097" s="853">
        <v>285575.39140051731</v>
      </c>
    </row>
    <row r="2098" spans="2:2" ht="15.5" x14ac:dyDescent="0.35">
      <c r="B2098" s="853">
        <v>446263.13563493168</v>
      </c>
    </row>
    <row r="2099" spans="2:2" ht="15.5" x14ac:dyDescent="0.35">
      <c r="B2099" s="853">
        <v>228018.0574451838</v>
      </c>
    </row>
    <row r="2100" spans="2:2" ht="15.5" x14ac:dyDescent="0.35">
      <c r="B2100" s="853">
        <v>231626.14662636927</v>
      </c>
    </row>
    <row r="2101" spans="2:2" ht="15.5" x14ac:dyDescent="0.35">
      <c r="B2101" s="853">
        <v>368972.97952458711</v>
      </c>
    </row>
    <row r="2102" spans="2:2" ht="15.5" x14ac:dyDescent="0.35">
      <c r="B2102" s="853">
        <v>317217.14252112113</v>
      </c>
    </row>
    <row r="2103" spans="2:2" ht="15.5" x14ac:dyDescent="0.35">
      <c r="B2103" s="853">
        <v>61228.927731245778</v>
      </c>
    </row>
    <row r="2104" spans="2:2" ht="15.5" x14ac:dyDescent="0.35">
      <c r="B2104" s="853">
        <v>530770.12432751292</v>
      </c>
    </row>
    <row r="2105" spans="2:2" ht="15.5" x14ac:dyDescent="0.35">
      <c r="B2105" s="853">
        <v>-2302.9938767475442</v>
      </c>
    </row>
    <row r="2106" spans="2:2" ht="15.5" x14ac:dyDescent="0.35">
      <c r="B2106" s="853">
        <v>409335.34153735678</v>
      </c>
    </row>
    <row r="2107" spans="2:2" ht="15.5" x14ac:dyDescent="0.35">
      <c r="B2107" s="853">
        <v>-1415.8247978439254</v>
      </c>
    </row>
    <row r="2108" spans="2:2" ht="15.5" x14ac:dyDescent="0.35">
      <c r="B2108" s="853">
        <v>452139.79191383522</v>
      </c>
    </row>
    <row r="2109" spans="2:2" ht="15.5" x14ac:dyDescent="0.35">
      <c r="B2109" s="853">
        <v>396189.91237178398</v>
      </c>
    </row>
    <row r="2110" spans="2:2" ht="15.5" x14ac:dyDescent="0.35">
      <c r="B2110" s="853">
        <v>284154.52602060331</v>
      </c>
    </row>
    <row r="2111" spans="2:2" ht="15.5" x14ac:dyDescent="0.35">
      <c r="B2111" s="853">
        <v>452698.19533052226</v>
      </c>
    </row>
    <row r="2112" spans="2:2" ht="15.5" x14ac:dyDescent="0.35">
      <c r="B2112" s="853">
        <v>694110.75645436801</v>
      </c>
    </row>
    <row r="2113" spans="2:2" ht="15.5" x14ac:dyDescent="0.35">
      <c r="B2113" s="853">
        <v>636869.76803068945</v>
      </c>
    </row>
    <row r="2114" spans="2:2" ht="15.5" x14ac:dyDescent="0.35">
      <c r="B2114" s="853">
        <v>343046.35134842916</v>
      </c>
    </row>
    <row r="2115" spans="2:2" ht="15.5" x14ac:dyDescent="0.35">
      <c r="B2115" s="853">
        <v>435343.04438726709</v>
      </c>
    </row>
    <row r="2116" spans="2:2" ht="15.5" x14ac:dyDescent="0.35">
      <c r="B2116" s="853">
        <v>497806.56911370548</v>
      </c>
    </row>
    <row r="2117" spans="2:2" ht="15.5" x14ac:dyDescent="0.35">
      <c r="B2117" s="853">
        <v>276330.78433333104</v>
      </c>
    </row>
    <row r="2118" spans="2:2" ht="15.5" x14ac:dyDescent="0.35">
      <c r="B2118" s="853">
        <v>207677.02230204974</v>
      </c>
    </row>
    <row r="2119" spans="2:2" ht="15.5" x14ac:dyDescent="0.35">
      <c r="B2119" s="853">
        <v>346238.7308108015</v>
      </c>
    </row>
    <row r="2120" spans="2:2" ht="15.5" x14ac:dyDescent="0.35">
      <c r="B2120" s="853">
        <v>255754.48398700301</v>
      </c>
    </row>
    <row r="2121" spans="2:2" ht="15.5" x14ac:dyDescent="0.35">
      <c r="B2121" s="853">
        <v>431435.71272738144</v>
      </c>
    </row>
    <row r="2122" spans="2:2" ht="15.5" x14ac:dyDescent="0.35">
      <c r="B2122" s="853">
        <v>382904.68397747434</v>
      </c>
    </row>
    <row r="2123" spans="2:2" ht="15.5" x14ac:dyDescent="0.35">
      <c r="B2123" s="853">
        <v>296799.69025660539</v>
      </c>
    </row>
    <row r="2124" spans="2:2" ht="15.5" x14ac:dyDescent="0.35">
      <c r="B2124" s="853">
        <v>517487.37225258461</v>
      </c>
    </row>
    <row r="2125" spans="2:2" ht="15.5" x14ac:dyDescent="0.35">
      <c r="B2125" s="853">
        <v>405942.07662356307</v>
      </c>
    </row>
    <row r="2126" spans="2:2" ht="15.5" x14ac:dyDescent="0.35">
      <c r="B2126" s="853">
        <v>192703.57988994257</v>
      </c>
    </row>
    <row r="2127" spans="2:2" ht="15.5" x14ac:dyDescent="0.35">
      <c r="B2127" s="853">
        <v>298307.20033229142</v>
      </c>
    </row>
    <row r="2128" spans="2:2" ht="15.5" x14ac:dyDescent="0.35">
      <c r="B2128" s="853">
        <v>211480.91246335072</v>
      </c>
    </row>
    <row r="2129" spans="2:2" ht="15.5" x14ac:dyDescent="0.35">
      <c r="B2129" s="853">
        <v>221705.27017571562</v>
      </c>
    </row>
    <row r="2130" spans="2:2" ht="15.5" x14ac:dyDescent="0.35">
      <c r="B2130" s="853">
        <v>400622.10051312757</v>
      </c>
    </row>
    <row r="2131" spans="2:2" ht="15.5" x14ac:dyDescent="0.35">
      <c r="B2131" s="853">
        <v>614755.04267147684</v>
      </c>
    </row>
    <row r="2132" spans="2:2" ht="15.5" x14ac:dyDescent="0.35">
      <c r="B2132" s="853">
        <v>291254.57940605539</v>
      </c>
    </row>
    <row r="2133" spans="2:2" ht="15.5" x14ac:dyDescent="0.35">
      <c r="B2133" s="853">
        <v>140394.47591311482</v>
      </c>
    </row>
    <row r="2134" spans="2:2" ht="15.5" x14ac:dyDescent="0.35">
      <c r="B2134" s="853">
        <v>169469.15308344923</v>
      </c>
    </row>
    <row r="2135" spans="2:2" ht="15.5" x14ac:dyDescent="0.35">
      <c r="B2135" s="853">
        <v>454015.14193757303</v>
      </c>
    </row>
    <row r="2136" spans="2:2" ht="15.5" x14ac:dyDescent="0.35">
      <c r="B2136" s="853">
        <v>286337.14218767243</v>
      </c>
    </row>
    <row r="2137" spans="2:2" ht="15.5" x14ac:dyDescent="0.35">
      <c r="B2137" s="853">
        <v>409596.1957718216</v>
      </c>
    </row>
    <row r="2138" spans="2:2" ht="15.5" x14ac:dyDescent="0.35">
      <c r="B2138" s="853">
        <v>322868.37841421273</v>
      </c>
    </row>
    <row r="2139" spans="2:2" ht="15.5" x14ac:dyDescent="0.35">
      <c r="B2139" s="853">
        <v>461005.43344369828</v>
      </c>
    </row>
    <row r="2140" spans="2:2" ht="15.5" x14ac:dyDescent="0.35">
      <c r="B2140" s="853">
        <v>114433.62314893796</v>
      </c>
    </row>
    <row r="2141" spans="2:2" ht="15.5" x14ac:dyDescent="0.35">
      <c r="B2141" s="853">
        <v>495649.49457100121</v>
      </c>
    </row>
    <row r="2142" spans="2:2" ht="15.5" x14ac:dyDescent="0.35">
      <c r="B2142" s="853">
        <v>458876.63610343862</v>
      </c>
    </row>
    <row r="2143" spans="2:2" ht="15.5" x14ac:dyDescent="0.35">
      <c r="B2143" s="853">
        <v>494586.0990726818</v>
      </c>
    </row>
    <row r="2144" spans="2:2" ht="15.5" x14ac:dyDescent="0.35">
      <c r="B2144" s="853">
        <v>354588.01127853454</v>
      </c>
    </row>
    <row r="2145" spans="2:2" ht="15.5" x14ac:dyDescent="0.35">
      <c r="B2145" s="853">
        <v>248786.69842998803</v>
      </c>
    </row>
    <row r="2146" spans="2:2" ht="15.5" x14ac:dyDescent="0.35">
      <c r="B2146" s="853">
        <v>280385.45940830064</v>
      </c>
    </row>
    <row r="2147" spans="2:2" ht="15.5" x14ac:dyDescent="0.35">
      <c r="B2147" s="853">
        <v>522703.32527811476</v>
      </c>
    </row>
    <row r="2148" spans="2:2" ht="15.5" x14ac:dyDescent="0.35">
      <c r="B2148" s="853">
        <v>608131.89953788021</v>
      </c>
    </row>
    <row r="2149" spans="2:2" ht="15.5" x14ac:dyDescent="0.35">
      <c r="B2149" s="853">
        <v>315410.53195743216</v>
      </c>
    </row>
    <row r="2150" spans="2:2" ht="15.5" x14ac:dyDescent="0.35">
      <c r="B2150" s="853">
        <v>61539.161757912916</v>
      </c>
    </row>
    <row r="2151" spans="2:2" ht="15.5" x14ac:dyDescent="0.35">
      <c r="B2151" s="853">
        <v>417825.12804346858</v>
      </c>
    </row>
    <row r="2152" spans="2:2" ht="15.5" x14ac:dyDescent="0.35">
      <c r="B2152" s="853">
        <v>319553.03397724999</v>
      </c>
    </row>
    <row r="2153" spans="2:2" ht="15.5" x14ac:dyDescent="0.35">
      <c r="B2153" s="853">
        <v>204480.05930091135</v>
      </c>
    </row>
    <row r="2154" spans="2:2" ht="15.5" x14ac:dyDescent="0.35">
      <c r="B2154" s="853">
        <v>-96653.248053476578</v>
      </c>
    </row>
    <row r="2155" spans="2:2" ht="15.5" x14ac:dyDescent="0.35">
      <c r="B2155" s="853">
        <v>208639.51714125235</v>
      </c>
    </row>
    <row r="2156" spans="2:2" ht="15.5" x14ac:dyDescent="0.35">
      <c r="B2156" s="853">
        <v>81631.689751169106</v>
      </c>
    </row>
    <row r="2157" spans="2:2" ht="15.5" x14ac:dyDescent="0.35">
      <c r="B2157" s="853">
        <v>243996.39176766886</v>
      </c>
    </row>
    <row r="2158" spans="2:2" ht="15.5" x14ac:dyDescent="0.35">
      <c r="B2158" s="853">
        <v>524341.04309561779</v>
      </c>
    </row>
    <row r="2159" spans="2:2" ht="15.5" x14ac:dyDescent="0.35">
      <c r="B2159" s="853">
        <v>314380.25566869788</v>
      </c>
    </row>
    <row r="2160" spans="2:2" ht="15.5" x14ac:dyDescent="0.35">
      <c r="B2160" s="853">
        <v>58425.194246195875</v>
      </c>
    </row>
    <row r="2161" spans="2:2" ht="15.5" x14ac:dyDescent="0.35">
      <c r="B2161" s="853">
        <v>325596.61573884188</v>
      </c>
    </row>
    <row r="2162" spans="2:2" ht="15.5" x14ac:dyDescent="0.35">
      <c r="B2162" s="853">
        <v>273910.76908047503</v>
      </c>
    </row>
    <row r="2163" spans="2:2" ht="15.5" x14ac:dyDescent="0.35">
      <c r="B2163" s="853">
        <v>357442.3388154055</v>
      </c>
    </row>
    <row r="2164" spans="2:2" ht="15.5" x14ac:dyDescent="0.35">
      <c r="B2164" s="853">
        <v>271383.42626953212</v>
      </c>
    </row>
    <row r="2165" spans="2:2" ht="15.5" x14ac:dyDescent="0.35">
      <c r="B2165" s="853">
        <v>194204.90200447792</v>
      </c>
    </row>
    <row r="2166" spans="2:2" ht="15.5" x14ac:dyDescent="0.35">
      <c r="B2166" s="853">
        <v>431680.17274616467</v>
      </c>
    </row>
    <row r="2167" spans="2:2" ht="15.5" x14ac:dyDescent="0.35">
      <c r="B2167" s="853">
        <v>110074.76057818242</v>
      </c>
    </row>
    <row r="2168" spans="2:2" ht="15.5" x14ac:dyDescent="0.35">
      <c r="B2168" s="853">
        <v>33604.559327405295</v>
      </c>
    </row>
    <row r="2169" spans="2:2" ht="15.5" x14ac:dyDescent="0.35">
      <c r="B2169" s="853">
        <v>361137.629328462</v>
      </c>
    </row>
    <row r="2170" spans="2:2" ht="15.5" x14ac:dyDescent="0.35">
      <c r="B2170" s="853">
        <v>36246.303482156763</v>
      </c>
    </row>
    <row r="2171" spans="2:2" ht="15.5" x14ac:dyDescent="0.35">
      <c r="B2171" s="853">
        <v>203587.22329083527</v>
      </c>
    </row>
    <row r="2172" spans="2:2" ht="15.5" x14ac:dyDescent="0.35">
      <c r="B2172" s="853">
        <v>300531.26584493089</v>
      </c>
    </row>
    <row r="2173" spans="2:2" ht="15.5" x14ac:dyDescent="0.35">
      <c r="B2173" s="853">
        <v>340243.57617525186</v>
      </c>
    </row>
    <row r="2174" spans="2:2" ht="15.5" x14ac:dyDescent="0.35">
      <c r="B2174" s="853">
        <v>362177.85234420747</v>
      </c>
    </row>
    <row r="2175" spans="2:2" ht="15.5" x14ac:dyDescent="0.35">
      <c r="B2175" s="853">
        <v>288834.30570409284</v>
      </c>
    </row>
    <row r="2176" spans="2:2" ht="15.5" x14ac:dyDescent="0.35">
      <c r="B2176" s="853">
        <v>250625.02927209425</v>
      </c>
    </row>
    <row r="2177" spans="2:2" ht="15.5" x14ac:dyDescent="0.35">
      <c r="B2177" s="853">
        <v>248040.49009247721</v>
      </c>
    </row>
    <row r="2178" spans="2:2" ht="15.5" x14ac:dyDescent="0.35">
      <c r="B2178" s="853">
        <v>139044.25662993739</v>
      </c>
    </row>
    <row r="2179" spans="2:2" ht="15.5" x14ac:dyDescent="0.35">
      <c r="B2179" s="853">
        <v>722417.47469802538</v>
      </c>
    </row>
    <row r="2180" spans="2:2" ht="15.5" x14ac:dyDescent="0.35">
      <c r="B2180" s="853">
        <v>467013.85749136354</v>
      </c>
    </row>
    <row r="2181" spans="2:2" ht="15.5" x14ac:dyDescent="0.35">
      <c r="B2181" s="853">
        <v>526277.39688239968</v>
      </c>
    </row>
    <row r="2182" spans="2:2" ht="15.5" x14ac:dyDescent="0.35">
      <c r="B2182" s="853">
        <v>314068.75565680227</v>
      </c>
    </row>
    <row r="2183" spans="2:2" ht="15.5" x14ac:dyDescent="0.35">
      <c r="B2183" s="853">
        <v>259344.17776784179</v>
      </c>
    </row>
    <row r="2184" spans="2:2" ht="15.5" x14ac:dyDescent="0.35">
      <c r="B2184" s="853">
        <v>497449.08202945703</v>
      </c>
    </row>
    <row r="2185" spans="2:2" ht="15.5" x14ac:dyDescent="0.35">
      <c r="B2185" s="853">
        <v>655944.89492153644</v>
      </c>
    </row>
    <row r="2186" spans="2:2" ht="15.5" x14ac:dyDescent="0.35">
      <c r="B2186" s="853">
        <v>155979.61210492926</v>
      </c>
    </row>
    <row r="2187" spans="2:2" ht="15.5" x14ac:dyDescent="0.35">
      <c r="B2187" s="853">
        <v>386361.74739967112</v>
      </c>
    </row>
    <row r="2188" spans="2:2" ht="15.5" x14ac:dyDescent="0.35">
      <c r="B2188" s="853">
        <v>61871.405839116735</v>
      </c>
    </row>
    <row r="2189" spans="2:2" ht="15.5" x14ac:dyDescent="0.35">
      <c r="B2189" s="853">
        <v>460305.57091571024</v>
      </c>
    </row>
    <row r="2190" spans="2:2" ht="15.5" x14ac:dyDescent="0.35">
      <c r="B2190" s="853">
        <v>255835.51503380632</v>
      </c>
    </row>
    <row r="2191" spans="2:2" ht="15.5" x14ac:dyDescent="0.35">
      <c r="B2191" s="853">
        <v>361717.72385806387</v>
      </c>
    </row>
    <row r="2192" spans="2:2" ht="15.5" x14ac:dyDescent="0.35">
      <c r="B2192" s="853">
        <v>467400.68763231667</v>
      </c>
    </row>
    <row r="2193" spans="2:2" ht="15.5" x14ac:dyDescent="0.35">
      <c r="B2193" s="853">
        <v>226824.44540412325</v>
      </c>
    </row>
    <row r="2194" spans="2:2" ht="15.5" x14ac:dyDescent="0.35">
      <c r="B2194" s="853">
        <v>250411.85352274135</v>
      </c>
    </row>
    <row r="2195" spans="2:2" ht="15.5" x14ac:dyDescent="0.35">
      <c r="B2195" s="853">
        <v>400104.23418578133</v>
      </c>
    </row>
    <row r="2196" spans="2:2" ht="15.5" x14ac:dyDescent="0.35">
      <c r="B2196" s="853">
        <v>362297.60450871574</v>
      </c>
    </row>
    <row r="2197" spans="2:2" ht="15.5" x14ac:dyDescent="0.35">
      <c r="B2197" s="853">
        <v>285241.06614989054</v>
      </c>
    </row>
    <row r="2198" spans="2:2" ht="15.5" x14ac:dyDescent="0.35">
      <c r="B2198" s="853">
        <v>120380.74277490666</v>
      </c>
    </row>
    <row r="2199" spans="2:2" ht="15.5" x14ac:dyDescent="0.35">
      <c r="B2199" s="853">
        <v>112604.07063068372</v>
      </c>
    </row>
    <row r="2200" spans="2:2" ht="15.5" x14ac:dyDescent="0.35">
      <c r="B2200" s="853">
        <v>410827.43402090704</v>
      </c>
    </row>
    <row r="2201" spans="2:2" ht="15.5" x14ac:dyDescent="0.35">
      <c r="B2201" s="853">
        <v>462169.64629514818</v>
      </c>
    </row>
    <row r="2202" spans="2:2" ht="15.5" x14ac:dyDescent="0.35">
      <c r="B2202" s="853">
        <v>363414.29535152833</v>
      </c>
    </row>
    <row r="2203" spans="2:2" ht="15.5" x14ac:dyDescent="0.35">
      <c r="B2203" s="853">
        <v>375190.27907796734</v>
      </c>
    </row>
    <row r="2204" spans="2:2" ht="15.5" x14ac:dyDescent="0.35">
      <c r="B2204" s="853">
        <v>341451.10344919475</v>
      </c>
    </row>
    <row r="2205" spans="2:2" ht="15.5" x14ac:dyDescent="0.35">
      <c r="B2205" s="853">
        <v>435624.09287113632</v>
      </c>
    </row>
    <row r="2206" spans="2:2" ht="15.5" x14ac:dyDescent="0.35">
      <c r="B2206" s="853">
        <v>365494.43009672436</v>
      </c>
    </row>
    <row r="2207" spans="2:2" ht="15.5" x14ac:dyDescent="0.35">
      <c r="B2207" s="853">
        <v>308313.78986920608</v>
      </c>
    </row>
    <row r="2208" spans="2:2" ht="15.5" x14ac:dyDescent="0.35">
      <c r="B2208" s="853">
        <v>417032.54580305074</v>
      </c>
    </row>
    <row r="2209" spans="2:2" ht="15.5" x14ac:dyDescent="0.35">
      <c r="B2209" s="853">
        <v>190031.44078844521</v>
      </c>
    </row>
    <row r="2210" spans="2:2" ht="15.5" x14ac:dyDescent="0.35">
      <c r="B2210" s="853">
        <v>81451.405098045929</v>
      </c>
    </row>
    <row r="2211" spans="2:2" ht="15.5" x14ac:dyDescent="0.35">
      <c r="B2211" s="853">
        <v>288761.84430370171</v>
      </c>
    </row>
    <row r="2212" spans="2:2" ht="15.5" x14ac:dyDescent="0.35">
      <c r="B2212" s="853">
        <v>408361.84963795549</v>
      </c>
    </row>
    <row r="2213" spans="2:2" ht="15.5" x14ac:dyDescent="0.35">
      <c r="B2213" s="853">
        <v>229820.8104843664</v>
      </c>
    </row>
    <row r="2214" spans="2:2" ht="15.5" x14ac:dyDescent="0.35">
      <c r="B2214" s="853">
        <v>90415.840099971072</v>
      </c>
    </row>
    <row r="2215" spans="2:2" ht="15.5" x14ac:dyDescent="0.35">
      <c r="B2215" s="853">
        <v>323495.90449720446</v>
      </c>
    </row>
    <row r="2216" spans="2:2" ht="15.5" x14ac:dyDescent="0.35">
      <c r="B2216" s="853">
        <v>106716.84705197721</v>
      </c>
    </row>
    <row r="2217" spans="2:2" ht="15.5" x14ac:dyDescent="0.35">
      <c r="B2217" s="853">
        <v>122531.13811130938</v>
      </c>
    </row>
    <row r="2218" spans="2:2" ht="15.5" x14ac:dyDescent="0.35">
      <c r="B2218" s="853">
        <v>350183.20018912811</v>
      </c>
    </row>
    <row r="2219" spans="2:2" ht="15.5" x14ac:dyDescent="0.35">
      <c r="B2219" s="853">
        <v>-149395.2211990848</v>
      </c>
    </row>
    <row r="2220" spans="2:2" ht="15.5" x14ac:dyDescent="0.35">
      <c r="B2220" s="853">
        <v>401921.29823172872</v>
      </c>
    </row>
    <row r="2221" spans="2:2" ht="15.5" x14ac:dyDescent="0.35">
      <c r="B2221" s="853">
        <v>253020.00999217134</v>
      </c>
    </row>
    <row r="2222" spans="2:2" ht="15.5" x14ac:dyDescent="0.35">
      <c r="B2222" s="853">
        <v>208767.92076925107</v>
      </c>
    </row>
    <row r="2223" spans="2:2" ht="15.5" x14ac:dyDescent="0.35">
      <c r="B2223" s="853">
        <v>369898.7919280479</v>
      </c>
    </row>
    <row r="2224" spans="2:2" ht="15.5" x14ac:dyDescent="0.35">
      <c r="B2224" s="853">
        <v>291582.7761326927</v>
      </c>
    </row>
    <row r="2225" spans="2:2" ht="15.5" x14ac:dyDescent="0.35">
      <c r="B2225" s="853">
        <v>378070.61555300211</v>
      </c>
    </row>
    <row r="2226" spans="2:2" ht="15.5" x14ac:dyDescent="0.35">
      <c r="B2226" s="853">
        <v>159685.86562069604</v>
      </c>
    </row>
    <row r="2227" spans="2:2" ht="15.5" x14ac:dyDescent="0.35">
      <c r="B2227" s="853">
        <v>458612.37522014487</v>
      </c>
    </row>
    <row r="2228" spans="2:2" ht="15.5" x14ac:dyDescent="0.35">
      <c r="B2228" s="853">
        <v>601320.96899400349</v>
      </c>
    </row>
    <row r="2229" spans="2:2" ht="15.5" x14ac:dyDescent="0.35">
      <c r="B2229" s="853">
        <v>367967.99794027559</v>
      </c>
    </row>
    <row r="2230" spans="2:2" ht="15.5" x14ac:dyDescent="0.35">
      <c r="B2230" s="853">
        <v>408475.33521376539</v>
      </c>
    </row>
    <row r="2231" spans="2:2" ht="15.5" x14ac:dyDescent="0.35">
      <c r="B2231" s="853">
        <v>185793.54683158084</v>
      </c>
    </row>
    <row r="2232" spans="2:2" ht="15.5" x14ac:dyDescent="0.35">
      <c r="B2232" s="853">
        <v>301025.31348844175</v>
      </c>
    </row>
    <row r="2233" spans="2:2" ht="15.5" x14ac:dyDescent="0.35">
      <c r="B2233" s="853">
        <v>372261.90561011946</v>
      </c>
    </row>
    <row r="2234" spans="2:2" ht="15.5" x14ac:dyDescent="0.35">
      <c r="B2234" s="853">
        <v>350840.36108461878</v>
      </c>
    </row>
    <row r="2235" spans="2:2" ht="15.5" x14ac:dyDescent="0.35">
      <c r="B2235" s="853">
        <v>273590.46828296658</v>
      </c>
    </row>
    <row r="2236" spans="2:2" ht="15.5" x14ac:dyDescent="0.35">
      <c r="B2236" s="853">
        <v>214961.03619864277</v>
      </c>
    </row>
    <row r="2237" spans="2:2" ht="15.5" x14ac:dyDescent="0.35">
      <c r="B2237" s="853">
        <v>461933.30442175642</v>
      </c>
    </row>
    <row r="2238" spans="2:2" ht="15.5" x14ac:dyDescent="0.35">
      <c r="B2238" s="853">
        <v>478493.6046640625</v>
      </c>
    </row>
    <row r="2239" spans="2:2" ht="15.5" x14ac:dyDescent="0.35">
      <c r="B2239" s="853">
        <v>448755.20191250247</v>
      </c>
    </row>
    <row r="2240" spans="2:2" ht="15.5" x14ac:dyDescent="0.35">
      <c r="B2240" s="853">
        <v>398814.67838793976</v>
      </c>
    </row>
    <row r="2241" spans="2:2" ht="15.5" x14ac:dyDescent="0.35">
      <c r="B2241" s="853">
        <v>401375.66300277098</v>
      </c>
    </row>
    <row r="2242" spans="2:2" ht="15.5" x14ac:dyDescent="0.35">
      <c r="B2242" s="853">
        <v>487853.53297421325</v>
      </c>
    </row>
    <row r="2243" spans="2:2" ht="15.5" x14ac:dyDescent="0.35">
      <c r="B2243" s="853">
        <v>230808.69392455288</v>
      </c>
    </row>
    <row r="2244" spans="2:2" ht="15.5" x14ac:dyDescent="0.35">
      <c r="B2244" s="853">
        <v>562264.21494466311</v>
      </c>
    </row>
    <row r="2245" spans="2:2" ht="15.5" x14ac:dyDescent="0.35">
      <c r="B2245" s="853">
        <v>148507.9152120775</v>
      </c>
    </row>
    <row r="2246" spans="2:2" ht="15.5" x14ac:dyDescent="0.35">
      <c r="B2246" s="853">
        <v>291507.45725493337</v>
      </c>
    </row>
    <row r="2247" spans="2:2" ht="15.5" x14ac:dyDescent="0.35">
      <c r="B2247" s="853">
        <v>267754.98470526555</v>
      </c>
    </row>
    <row r="2248" spans="2:2" ht="15.5" x14ac:dyDescent="0.35">
      <c r="B2248" s="853">
        <v>198644.16272610251</v>
      </c>
    </row>
    <row r="2249" spans="2:2" ht="15.5" x14ac:dyDescent="0.35">
      <c r="B2249" s="853">
        <v>285067.00080974499</v>
      </c>
    </row>
    <row r="2250" spans="2:2" ht="15.5" x14ac:dyDescent="0.35">
      <c r="B2250" s="853">
        <v>160359.01530276693</v>
      </c>
    </row>
    <row r="2251" spans="2:2" ht="15.5" x14ac:dyDescent="0.35">
      <c r="B2251" s="853">
        <v>42191.800589476581</v>
      </c>
    </row>
    <row r="2252" spans="2:2" ht="15.5" x14ac:dyDescent="0.35">
      <c r="B2252" s="853">
        <v>252074.75836918582</v>
      </c>
    </row>
    <row r="2253" spans="2:2" ht="15.5" x14ac:dyDescent="0.35">
      <c r="B2253" s="853">
        <v>520871.70466247166</v>
      </c>
    </row>
    <row r="2254" spans="2:2" ht="15.5" x14ac:dyDescent="0.35">
      <c r="B2254" s="853">
        <v>471313.23854448058</v>
      </c>
    </row>
    <row r="2255" spans="2:2" ht="15.5" x14ac:dyDescent="0.35">
      <c r="B2255" s="853">
        <v>430919.00069257122</v>
      </c>
    </row>
    <row r="2256" spans="2:2" ht="15.5" x14ac:dyDescent="0.35">
      <c r="B2256" s="853">
        <v>156801.26278598991</v>
      </c>
    </row>
    <row r="2257" spans="2:2" ht="15.5" x14ac:dyDescent="0.35">
      <c r="B2257" s="853">
        <v>313081.31118675455</v>
      </c>
    </row>
    <row r="2258" spans="2:2" ht="15.5" x14ac:dyDescent="0.35">
      <c r="B2258" s="853">
        <v>430238.4845393601</v>
      </c>
    </row>
    <row r="2259" spans="2:2" ht="15.5" x14ac:dyDescent="0.35">
      <c r="B2259" s="853">
        <v>582147.02985803271</v>
      </c>
    </row>
    <row r="2260" spans="2:2" ht="15.5" x14ac:dyDescent="0.35">
      <c r="B2260" s="853">
        <v>-20775.004079909435</v>
      </c>
    </row>
    <row r="2261" spans="2:2" ht="15.5" x14ac:dyDescent="0.35">
      <c r="B2261" s="853">
        <v>320947.58533393184</v>
      </c>
    </row>
    <row r="2262" spans="2:2" ht="15.5" x14ac:dyDescent="0.35">
      <c r="B2262" s="853">
        <v>296239.72495864058</v>
      </c>
    </row>
    <row r="2263" spans="2:2" ht="15.5" x14ac:dyDescent="0.35">
      <c r="B2263" s="853">
        <v>422734.13952560077</v>
      </c>
    </row>
    <row r="2264" spans="2:2" ht="15.5" x14ac:dyDescent="0.35">
      <c r="B2264" s="853">
        <v>564400.5856793595</v>
      </c>
    </row>
    <row r="2265" spans="2:2" ht="15.5" x14ac:dyDescent="0.35">
      <c r="B2265" s="853">
        <v>331455.47667729907</v>
      </c>
    </row>
    <row r="2266" spans="2:2" ht="15.5" x14ac:dyDescent="0.35">
      <c r="B2266" s="853">
        <v>516367.02053442673</v>
      </c>
    </row>
    <row r="2267" spans="2:2" ht="15.5" x14ac:dyDescent="0.35">
      <c r="B2267" s="853">
        <v>557412.90853904805</v>
      </c>
    </row>
    <row r="2268" spans="2:2" ht="15.5" x14ac:dyDescent="0.35">
      <c r="B2268" s="853">
        <v>380376.03628537868</v>
      </c>
    </row>
    <row r="2269" spans="2:2" ht="15.5" x14ac:dyDescent="0.35">
      <c r="B2269" s="853">
        <v>424417.50876212103</v>
      </c>
    </row>
    <row r="2270" spans="2:2" ht="15.5" x14ac:dyDescent="0.35">
      <c r="B2270" s="853">
        <v>206499.04559339111</v>
      </c>
    </row>
    <row r="2271" spans="2:2" ht="15.5" x14ac:dyDescent="0.35">
      <c r="B2271" s="853">
        <v>293560.92797631718</v>
      </c>
    </row>
    <row r="2272" spans="2:2" ht="15.5" x14ac:dyDescent="0.35">
      <c r="B2272" s="853">
        <v>320412.02885508508</v>
      </c>
    </row>
    <row r="2273" spans="2:2" ht="15.5" x14ac:dyDescent="0.35">
      <c r="B2273" s="853">
        <v>308110.57066630345</v>
      </c>
    </row>
    <row r="2274" spans="2:2" ht="15.5" x14ac:dyDescent="0.35">
      <c r="B2274" s="853">
        <v>308497.10232086905</v>
      </c>
    </row>
    <row r="2275" spans="2:2" ht="15.5" x14ac:dyDescent="0.35">
      <c r="B2275" s="853">
        <v>279332.8081271415</v>
      </c>
    </row>
    <row r="2276" spans="2:2" ht="15.5" x14ac:dyDescent="0.35">
      <c r="B2276" s="853">
        <v>420974.62730357505</v>
      </c>
    </row>
    <row r="2277" spans="2:2" ht="15.5" x14ac:dyDescent="0.35">
      <c r="B2277" s="853">
        <v>481637.96019726957</v>
      </c>
    </row>
    <row r="2278" spans="2:2" ht="15.5" x14ac:dyDescent="0.35">
      <c r="B2278" s="853">
        <v>302916.99980477087</v>
      </c>
    </row>
    <row r="2279" spans="2:2" ht="15.5" x14ac:dyDescent="0.35">
      <c r="B2279" s="853">
        <v>283515.27153292147</v>
      </c>
    </row>
    <row r="2280" spans="2:2" ht="15.5" x14ac:dyDescent="0.35">
      <c r="B2280" s="853">
        <v>91083.180062940271</v>
      </c>
    </row>
    <row r="2281" spans="2:2" ht="15.5" x14ac:dyDescent="0.35">
      <c r="B2281" s="853">
        <v>64525.305309341886</v>
      </c>
    </row>
    <row r="2282" spans="2:2" ht="15.5" x14ac:dyDescent="0.35">
      <c r="B2282" s="853">
        <v>190707.38374590699</v>
      </c>
    </row>
    <row r="2283" spans="2:2" ht="15.5" x14ac:dyDescent="0.35">
      <c r="B2283" s="853">
        <v>376877.73919725744</v>
      </c>
    </row>
    <row r="2284" spans="2:2" ht="15.5" x14ac:dyDescent="0.35">
      <c r="B2284" s="853">
        <v>333148.12838974502</v>
      </c>
    </row>
    <row r="2285" spans="2:2" ht="15.5" x14ac:dyDescent="0.35">
      <c r="B2285" s="853">
        <v>352835.37508612877</v>
      </c>
    </row>
    <row r="2286" spans="2:2" ht="15.5" x14ac:dyDescent="0.35">
      <c r="B2286" s="853">
        <v>388046.49211546796</v>
      </c>
    </row>
    <row r="2287" spans="2:2" ht="15.5" x14ac:dyDescent="0.35">
      <c r="B2287" s="853">
        <v>296519.54237877467</v>
      </c>
    </row>
    <row r="2288" spans="2:2" ht="15.5" x14ac:dyDescent="0.35">
      <c r="B2288" s="853">
        <v>299022.11416316731</v>
      </c>
    </row>
    <row r="2289" spans="2:2" ht="15.5" x14ac:dyDescent="0.35">
      <c r="B2289" s="853">
        <v>394414.37888912956</v>
      </c>
    </row>
    <row r="2290" spans="2:2" ht="15.5" x14ac:dyDescent="0.35">
      <c r="B2290" s="853">
        <v>30380.902539074825</v>
      </c>
    </row>
    <row r="2291" spans="2:2" ht="15.5" x14ac:dyDescent="0.35">
      <c r="B2291" s="853">
        <v>205969.33209951688</v>
      </c>
    </row>
    <row r="2292" spans="2:2" ht="15.5" x14ac:dyDescent="0.35">
      <c r="B2292" s="853">
        <v>363354.83735018387</v>
      </c>
    </row>
    <row r="2293" spans="2:2" ht="15.5" x14ac:dyDescent="0.35">
      <c r="B2293" s="853">
        <v>306084.36045242718</v>
      </c>
    </row>
    <row r="2294" spans="2:2" ht="15.5" x14ac:dyDescent="0.35">
      <c r="B2294" s="853">
        <v>31598.385013232499</v>
      </c>
    </row>
    <row r="2295" spans="2:2" ht="15.5" x14ac:dyDescent="0.35">
      <c r="B2295" s="853">
        <v>166118.07541222588</v>
      </c>
    </row>
    <row r="2296" spans="2:2" ht="15.5" x14ac:dyDescent="0.35">
      <c r="B2296" s="853">
        <v>151436.07788976314</v>
      </c>
    </row>
    <row r="2297" spans="2:2" ht="15.5" x14ac:dyDescent="0.35">
      <c r="B2297" s="853">
        <v>375377.0671037439</v>
      </c>
    </row>
    <row r="2298" spans="2:2" ht="15.5" x14ac:dyDescent="0.35">
      <c r="B2298" s="853">
        <v>511830.95904851228</v>
      </c>
    </row>
    <row r="2299" spans="2:2" ht="15.5" x14ac:dyDescent="0.35">
      <c r="B2299" s="853">
        <v>52793.231317087913</v>
      </c>
    </row>
    <row r="2300" spans="2:2" ht="15.5" x14ac:dyDescent="0.35">
      <c r="B2300" s="853">
        <v>29101.419355331229</v>
      </c>
    </row>
    <row r="2301" spans="2:2" ht="15.5" x14ac:dyDescent="0.35">
      <c r="B2301" s="853">
        <v>380755.03570200677</v>
      </c>
    </row>
    <row r="2302" spans="2:2" ht="15.5" x14ac:dyDescent="0.35">
      <c r="B2302" s="853">
        <v>92680.40016308859</v>
      </c>
    </row>
    <row r="2303" spans="2:2" ht="15.5" x14ac:dyDescent="0.35">
      <c r="B2303" s="853">
        <v>328314.84804711584</v>
      </c>
    </row>
    <row r="2304" spans="2:2" ht="15.5" x14ac:dyDescent="0.35">
      <c r="B2304" s="853">
        <v>490149.9691823122</v>
      </c>
    </row>
    <row r="2305" spans="2:2" ht="15.5" x14ac:dyDescent="0.35">
      <c r="B2305" s="853">
        <v>410831.74377480749</v>
      </c>
    </row>
    <row r="2306" spans="2:2" ht="15.5" x14ac:dyDescent="0.35">
      <c r="B2306" s="853">
        <v>-9494.3157205943371</v>
      </c>
    </row>
    <row r="2307" spans="2:2" ht="15.5" x14ac:dyDescent="0.35">
      <c r="B2307" s="853">
        <v>217991.46497633515</v>
      </c>
    </row>
    <row r="2308" spans="2:2" ht="15.5" x14ac:dyDescent="0.35">
      <c r="B2308" s="853">
        <v>549355.3333686433</v>
      </c>
    </row>
    <row r="2309" spans="2:2" ht="15.5" x14ac:dyDescent="0.35">
      <c r="B2309" s="853">
        <v>354606.38325920893</v>
      </c>
    </row>
    <row r="2310" spans="2:2" ht="15.5" x14ac:dyDescent="0.35">
      <c r="B2310" s="853">
        <v>438250.32362931373</v>
      </c>
    </row>
    <row r="2311" spans="2:2" ht="15.5" x14ac:dyDescent="0.35">
      <c r="B2311" s="853">
        <v>321780.12509437028</v>
      </c>
    </row>
    <row r="2312" spans="2:2" ht="15.5" x14ac:dyDescent="0.35">
      <c r="B2312" s="853">
        <v>432902.05795084283</v>
      </c>
    </row>
    <row r="2313" spans="2:2" ht="15.5" x14ac:dyDescent="0.35">
      <c r="B2313" s="853">
        <v>262705.80711433332</v>
      </c>
    </row>
    <row r="2314" spans="2:2" ht="15.5" x14ac:dyDescent="0.35">
      <c r="B2314" s="853">
        <v>115719.73635407961</v>
      </c>
    </row>
    <row r="2315" spans="2:2" ht="15.5" x14ac:dyDescent="0.35">
      <c r="B2315" s="853">
        <v>362006.33846997848</v>
      </c>
    </row>
    <row r="2316" spans="2:2" ht="15.5" x14ac:dyDescent="0.35">
      <c r="B2316" s="853">
        <v>623469.11182280991</v>
      </c>
    </row>
    <row r="2317" spans="2:2" ht="15.5" x14ac:dyDescent="0.35">
      <c r="B2317" s="853">
        <v>225822.82020032732</v>
      </c>
    </row>
    <row r="2318" spans="2:2" ht="15.5" x14ac:dyDescent="0.35">
      <c r="B2318" s="853">
        <v>249628.23848314548</v>
      </c>
    </row>
    <row r="2319" spans="2:2" ht="15.5" x14ac:dyDescent="0.35">
      <c r="B2319" s="853">
        <v>336231.80763532693</v>
      </c>
    </row>
    <row r="2320" spans="2:2" ht="15.5" x14ac:dyDescent="0.35">
      <c r="B2320" s="853">
        <v>367399.82689141517</v>
      </c>
    </row>
    <row r="2321" spans="2:2" ht="15.5" x14ac:dyDescent="0.35">
      <c r="B2321" s="853">
        <v>149977.86805245304</v>
      </c>
    </row>
    <row r="2322" spans="2:2" ht="15.5" x14ac:dyDescent="0.35">
      <c r="B2322" s="853">
        <v>104764.98723743109</v>
      </c>
    </row>
    <row r="2323" spans="2:2" ht="15.5" x14ac:dyDescent="0.35">
      <c r="B2323" s="853">
        <v>114103.27945898569</v>
      </c>
    </row>
    <row r="2324" spans="2:2" ht="15.5" x14ac:dyDescent="0.35">
      <c r="B2324" s="853">
        <v>349935.68025807681</v>
      </c>
    </row>
    <row r="2325" spans="2:2" ht="15.5" x14ac:dyDescent="0.35">
      <c r="B2325" s="853">
        <v>294525.40204703884</v>
      </c>
    </row>
    <row r="2326" spans="2:2" ht="15.5" x14ac:dyDescent="0.35">
      <c r="B2326" s="853">
        <v>405572.18820001802</v>
      </c>
    </row>
    <row r="2327" spans="2:2" ht="15.5" x14ac:dyDescent="0.35">
      <c r="B2327" s="853">
        <v>443200.19980216713</v>
      </c>
    </row>
    <row r="2328" spans="2:2" ht="15.5" x14ac:dyDescent="0.35">
      <c r="B2328" s="853">
        <v>99850.830124447966</v>
      </c>
    </row>
    <row r="2329" spans="2:2" ht="15.5" x14ac:dyDescent="0.35">
      <c r="B2329" s="853">
        <v>269960.05600980215</v>
      </c>
    </row>
    <row r="2330" spans="2:2" ht="15.5" x14ac:dyDescent="0.35">
      <c r="B2330" s="853">
        <v>227029.87662628572</v>
      </c>
    </row>
    <row r="2331" spans="2:2" ht="15.5" x14ac:dyDescent="0.35">
      <c r="B2331" s="853">
        <v>378558.76886024489</v>
      </c>
    </row>
    <row r="2332" spans="2:2" ht="15.5" x14ac:dyDescent="0.35">
      <c r="B2332" s="853">
        <v>289878.81268567662</v>
      </c>
    </row>
    <row r="2333" spans="2:2" ht="15.5" x14ac:dyDescent="0.35">
      <c r="B2333" s="853">
        <v>145586.68653768979</v>
      </c>
    </row>
    <row r="2334" spans="2:2" ht="15.5" x14ac:dyDescent="0.35">
      <c r="B2334" s="853">
        <v>614027.7912686643</v>
      </c>
    </row>
    <row r="2335" spans="2:2" ht="15.5" x14ac:dyDescent="0.35">
      <c r="B2335" s="853">
        <v>205869.25961917292</v>
      </c>
    </row>
    <row r="2336" spans="2:2" ht="15.5" x14ac:dyDescent="0.35">
      <c r="B2336" s="853">
        <v>357946.69878140517</v>
      </c>
    </row>
    <row r="2337" spans="2:2" ht="15.5" x14ac:dyDescent="0.35">
      <c r="B2337" s="853">
        <v>215138.59774063533</v>
      </c>
    </row>
    <row r="2338" spans="2:2" ht="15.5" x14ac:dyDescent="0.35">
      <c r="B2338" s="853">
        <v>63369.716396486889</v>
      </c>
    </row>
    <row r="2339" spans="2:2" ht="15.5" x14ac:dyDescent="0.35">
      <c r="B2339" s="853">
        <v>258795.58483169205</v>
      </c>
    </row>
    <row r="2340" spans="2:2" ht="15.5" x14ac:dyDescent="0.35">
      <c r="B2340" s="853">
        <v>582272.95152742078</v>
      </c>
    </row>
    <row r="2341" spans="2:2" ht="15.5" x14ac:dyDescent="0.35">
      <c r="B2341" s="853">
        <v>345826.33339527412</v>
      </c>
    </row>
    <row r="2342" spans="2:2" ht="15.5" x14ac:dyDescent="0.35">
      <c r="B2342" s="853">
        <v>403829.49706650007</v>
      </c>
    </row>
    <row r="2343" spans="2:2" ht="15.5" x14ac:dyDescent="0.35">
      <c r="B2343" s="853">
        <v>38839.620877986097</v>
      </c>
    </row>
    <row r="2344" spans="2:2" ht="15.5" x14ac:dyDescent="0.35">
      <c r="B2344" s="853">
        <v>301472.71460326726</v>
      </c>
    </row>
    <row r="2345" spans="2:2" ht="15.5" x14ac:dyDescent="0.35">
      <c r="B2345" s="853">
        <v>293206.64845156</v>
      </c>
    </row>
    <row r="2346" spans="2:2" ht="15.5" x14ac:dyDescent="0.35">
      <c r="B2346" s="853">
        <v>169228.38015999383</v>
      </c>
    </row>
    <row r="2347" spans="2:2" ht="15.5" x14ac:dyDescent="0.35">
      <c r="B2347" s="853">
        <v>144514.16286466806</v>
      </c>
    </row>
    <row r="2348" spans="2:2" ht="15.5" x14ac:dyDescent="0.35">
      <c r="B2348" s="853">
        <v>289322.39859034191</v>
      </c>
    </row>
    <row r="2349" spans="2:2" ht="15.5" x14ac:dyDescent="0.35">
      <c r="B2349" s="853">
        <v>163254.50927797082</v>
      </c>
    </row>
    <row r="2350" spans="2:2" ht="15.5" x14ac:dyDescent="0.35">
      <c r="B2350" s="853">
        <v>325895.46274608874</v>
      </c>
    </row>
    <row r="2351" spans="2:2" ht="15.5" x14ac:dyDescent="0.35">
      <c r="B2351" s="853">
        <v>338433.54865093715</v>
      </c>
    </row>
    <row r="2352" spans="2:2" ht="15.5" x14ac:dyDescent="0.35">
      <c r="B2352" s="853">
        <v>548399.34218503104</v>
      </c>
    </row>
    <row r="2353" spans="2:2" ht="15.5" x14ac:dyDescent="0.35">
      <c r="B2353" s="853">
        <v>403978.82569371274</v>
      </c>
    </row>
    <row r="2354" spans="2:2" ht="15.5" x14ac:dyDescent="0.35">
      <c r="B2354" s="853">
        <v>94563.213594505083</v>
      </c>
    </row>
    <row r="2355" spans="2:2" ht="15.5" x14ac:dyDescent="0.35">
      <c r="B2355" s="853">
        <v>416938.29948772251</v>
      </c>
    </row>
    <row r="2356" spans="2:2" ht="15.5" x14ac:dyDescent="0.35">
      <c r="B2356" s="853">
        <v>299852.56407497596</v>
      </c>
    </row>
    <row r="2357" spans="2:2" ht="15.5" x14ac:dyDescent="0.35">
      <c r="B2357" s="853">
        <v>308804.65650962316</v>
      </c>
    </row>
    <row r="2358" spans="2:2" ht="15.5" x14ac:dyDescent="0.35">
      <c r="B2358" s="853">
        <v>114670.53424660134</v>
      </c>
    </row>
    <row r="2359" spans="2:2" ht="15.5" x14ac:dyDescent="0.35">
      <c r="B2359" s="853">
        <v>363559.7145597054</v>
      </c>
    </row>
    <row r="2360" spans="2:2" ht="15.5" x14ac:dyDescent="0.35">
      <c r="B2360" s="853">
        <v>422545.04834214487</v>
      </c>
    </row>
    <row r="2361" spans="2:2" ht="15.5" x14ac:dyDescent="0.35">
      <c r="B2361" s="853">
        <v>296587.99341037066</v>
      </c>
    </row>
    <row r="2362" spans="2:2" ht="15.5" x14ac:dyDescent="0.35">
      <c r="B2362" s="853">
        <v>538627.87332815805</v>
      </c>
    </row>
    <row r="2363" spans="2:2" ht="15.5" x14ac:dyDescent="0.35">
      <c r="B2363" s="853">
        <v>283101.13253776578</v>
      </c>
    </row>
    <row r="2364" spans="2:2" ht="15.5" x14ac:dyDescent="0.35">
      <c r="B2364" s="853">
        <v>533724.8306640021</v>
      </c>
    </row>
    <row r="2365" spans="2:2" ht="15.5" x14ac:dyDescent="0.35">
      <c r="B2365" s="853">
        <v>269622.12156481878</v>
      </c>
    </row>
    <row r="2366" spans="2:2" ht="15.5" x14ac:dyDescent="0.35">
      <c r="B2366" s="853">
        <v>595805.49800033972</v>
      </c>
    </row>
    <row r="2367" spans="2:2" ht="15.5" x14ac:dyDescent="0.35">
      <c r="B2367" s="853">
        <v>158191.09991630254</v>
      </c>
    </row>
    <row r="2368" spans="2:2" ht="15.5" x14ac:dyDescent="0.35">
      <c r="B2368" s="853">
        <v>349409.68617708283</v>
      </c>
    </row>
    <row r="2369" spans="2:2" ht="15.5" x14ac:dyDescent="0.35">
      <c r="B2369" s="853">
        <v>139548.47989226162</v>
      </c>
    </row>
    <row r="2370" spans="2:2" ht="15.5" x14ac:dyDescent="0.35">
      <c r="B2370" s="853">
        <v>122517.68667974883</v>
      </c>
    </row>
    <row r="2371" spans="2:2" ht="15.5" x14ac:dyDescent="0.35">
      <c r="B2371" s="853">
        <v>325783.57825926103</v>
      </c>
    </row>
    <row r="2372" spans="2:2" ht="15.5" x14ac:dyDescent="0.35">
      <c r="B2372" s="853">
        <v>553781.95077628677</v>
      </c>
    </row>
    <row r="2373" spans="2:2" ht="15.5" x14ac:dyDescent="0.35">
      <c r="B2373" s="853">
        <v>369663.64545028377</v>
      </c>
    </row>
    <row r="2374" spans="2:2" ht="15.5" x14ac:dyDescent="0.35">
      <c r="B2374" s="853">
        <v>218568.00177606614</v>
      </c>
    </row>
    <row r="2375" spans="2:2" ht="15.5" x14ac:dyDescent="0.35">
      <c r="B2375" s="853">
        <v>191459.70374649417</v>
      </c>
    </row>
    <row r="2376" spans="2:2" ht="15.5" x14ac:dyDescent="0.35">
      <c r="B2376" s="853">
        <v>352941.05871494708</v>
      </c>
    </row>
    <row r="2377" spans="2:2" ht="15.5" x14ac:dyDescent="0.35">
      <c r="B2377" s="853">
        <v>439661.55102278414</v>
      </c>
    </row>
    <row r="2378" spans="2:2" ht="15.5" x14ac:dyDescent="0.35">
      <c r="B2378" s="853">
        <v>583673.69808847934</v>
      </c>
    </row>
    <row r="2379" spans="2:2" ht="15.5" x14ac:dyDescent="0.35">
      <c r="B2379" s="853">
        <v>700405.23466962343</v>
      </c>
    </row>
    <row r="2380" spans="2:2" ht="15.5" x14ac:dyDescent="0.35">
      <c r="B2380" s="853">
        <v>245396.92436403208</v>
      </c>
    </row>
    <row r="2381" spans="2:2" ht="15.5" x14ac:dyDescent="0.35">
      <c r="B2381" s="853">
        <v>189626.01824556862</v>
      </c>
    </row>
    <row r="2382" spans="2:2" ht="15.5" x14ac:dyDescent="0.35">
      <c r="B2382" s="853">
        <v>355294.99885771715</v>
      </c>
    </row>
    <row r="2383" spans="2:2" ht="15.5" x14ac:dyDescent="0.35">
      <c r="B2383" s="853">
        <v>125340.35356674103</v>
      </c>
    </row>
    <row r="2384" spans="2:2" ht="15.5" x14ac:dyDescent="0.35">
      <c r="B2384" s="853">
        <v>367346.7718021496</v>
      </c>
    </row>
    <row r="2385" spans="2:2" ht="15.5" x14ac:dyDescent="0.35">
      <c r="B2385" s="853">
        <v>146303.87515588649</v>
      </c>
    </row>
    <row r="2386" spans="2:2" ht="15.5" x14ac:dyDescent="0.35">
      <c r="B2386" s="853">
        <v>396731.63829697459</v>
      </c>
    </row>
    <row r="2387" spans="2:2" ht="15.5" x14ac:dyDescent="0.35">
      <c r="B2387" s="853">
        <v>274046.07478574215</v>
      </c>
    </row>
    <row r="2388" spans="2:2" ht="15.5" x14ac:dyDescent="0.35">
      <c r="B2388" s="853">
        <v>311369.47177334997</v>
      </c>
    </row>
    <row r="2389" spans="2:2" ht="15.5" x14ac:dyDescent="0.35">
      <c r="B2389" s="853">
        <v>450483.69666700118</v>
      </c>
    </row>
    <row r="2390" spans="2:2" ht="15.5" x14ac:dyDescent="0.35">
      <c r="B2390" s="853">
        <v>211228.8720736391</v>
      </c>
    </row>
    <row r="2391" spans="2:2" ht="15.5" x14ac:dyDescent="0.35">
      <c r="B2391" s="853">
        <v>361591.13565500273</v>
      </c>
    </row>
    <row r="2392" spans="2:2" ht="15.5" x14ac:dyDescent="0.35">
      <c r="B2392" s="853">
        <v>85295.001080729504</v>
      </c>
    </row>
    <row r="2393" spans="2:2" ht="15.5" x14ac:dyDescent="0.35">
      <c r="B2393" s="853">
        <v>65411.818876829806</v>
      </c>
    </row>
    <row r="2394" spans="2:2" ht="15.5" x14ac:dyDescent="0.35">
      <c r="B2394" s="853">
        <v>76533.757454855499</v>
      </c>
    </row>
    <row r="2395" spans="2:2" ht="15.5" x14ac:dyDescent="0.35">
      <c r="B2395" s="853">
        <v>287263.77049941942</v>
      </c>
    </row>
    <row r="2396" spans="2:2" ht="15.5" x14ac:dyDescent="0.35">
      <c r="B2396" s="853">
        <v>486359.46840388444</v>
      </c>
    </row>
    <row r="2397" spans="2:2" ht="15.5" x14ac:dyDescent="0.35">
      <c r="B2397" s="853">
        <v>457135.31976948446</v>
      </c>
    </row>
    <row r="2398" spans="2:2" ht="15.5" x14ac:dyDescent="0.35">
      <c r="B2398" s="853">
        <v>316011.30790107261</v>
      </c>
    </row>
    <row r="2399" spans="2:2" ht="15.5" x14ac:dyDescent="0.35">
      <c r="B2399" s="853">
        <v>632090.13963219849</v>
      </c>
    </row>
    <row r="2400" spans="2:2" ht="15.5" x14ac:dyDescent="0.35">
      <c r="B2400" s="853">
        <v>492496.30023270263</v>
      </c>
    </row>
    <row r="2401" spans="2:2" ht="15.5" x14ac:dyDescent="0.35">
      <c r="B2401" s="853">
        <v>328818.17131089664</v>
      </c>
    </row>
    <row r="2402" spans="2:2" ht="15.5" x14ac:dyDescent="0.35">
      <c r="B2402" s="853">
        <v>249444.64228526037</v>
      </c>
    </row>
    <row r="2403" spans="2:2" ht="15.5" x14ac:dyDescent="0.35">
      <c r="B2403" s="853">
        <v>17356.460525850649</v>
      </c>
    </row>
    <row r="2404" spans="2:2" ht="15.5" x14ac:dyDescent="0.35">
      <c r="B2404" s="853">
        <v>253892.16310884518</v>
      </c>
    </row>
    <row r="2405" spans="2:2" ht="15.5" x14ac:dyDescent="0.35">
      <c r="B2405" s="853">
        <v>539852.56335798628</v>
      </c>
    </row>
    <row r="2406" spans="2:2" ht="15.5" x14ac:dyDescent="0.35">
      <c r="B2406" s="853">
        <v>244859.55231386094</v>
      </c>
    </row>
    <row r="2407" spans="2:2" ht="15.5" x14ac:dyDescent="0.35">
      <c r="B2407" s="853">
        <v>540992.41570434312</v>
      </c>
    </row>
    <row r="2408" spans="2:2" ht="15.5" x14ac:dyDescent="0.35">
      <c r="B2408" s="853">
        <v>291278.31243861624</v>
      </c>
    </row>
    <row r="2409" spans="2:2" ht="15.5" x14ac:dyDescent="0.35">
      <c r="B2409" s="853">
        <v>189222.87765908852</v>
      </c>
    </row>
    <row r="2410" spans="2:2" ht="15.5" x14ac:dyDescent="0.35">
      <c r="B2410" s="853">
        <v>259036.77702894676</v>
      </c>
    </row>
    <row r="2411" spans="2:2" ht="15.5" x14ac:dyDescent="0.35">
      <c r="B2411" s="853">
        <v>349450.35145335441</v>
      </c>
    </row>
    <row r="2412" spans="2:2" ht="15.5" x14ac:dyDescent="0.35">
      <c r="B2412" s="853">
        <v>181397.42737174855</v>
      </c>
    </row>
    <row r="2413" spans="2:2" ht="15.5" x14ac:dyDescent="0.35">
      <c r="B2413" s="853">
        <v>518516.40556247177</v>
      </c>
    </row>
    <row r="2414" spans="2:2" ht="15.5" x14ac:dyDescent="0.35">
      <c r="B2414" s="853">
        <v>364083.44318342139</v>
      </c>
    </row>
    <row r="2415" spans="2:2" ht="15.5" x14ac:dyDescent="0.35">
      <c r="B2415" s="853">
        <v>344790.50400864519</v>
      </c>
    </row>
    <row r="2416" spans="2:2" ht="15.5" x14ac:dyDescent="0.35">
      <c r="B2416" s="853">
        <v>196130.25789305323</v>
      </c>
    </row>
    <row r="2417" spans="2:2" ht="15.5" x14ac:dyDescent="0.35">
      <c r="B2417" s="853">
        <v>356285.29189297598</v>
      </c>
    </row>
    <row r="2418" spans="2:2" ht="15.5" x14ac:dyDescent="0.35">
      <c r="B2418" s="853">
        <v>373775.57660516805</v>
      </c>
    </row>
    <row r="2419" spans="2:2" ht="15.5" x14ac:dyDescent="0.35">
      <c r="B2419" s="853">
        <v>404165.49082398362</v>
      </c>
    </row>
    <row r="2420" spans="2:2" ht="15.5" x14ac:dyDescent="0.35">
      <c r="B2420" s="853">
        <v>523405.37274943024</v>
      </c>
    </row>
    <row r="2421" spans="2:2" ht="15.5" x14ac:dyDescent="0.35">
      <c r="B2421" s="853">
        <v>182981.50226833476</v>
      </c>
    </row>
    <row r="2422" spans="2:2" ht="15.5" x14ac:dyDescent="0.35">
      <c r="B2422" s="853">
        <v>325757.62437096483</v>
      </c>
    </row>
    <row r="2423" spans="2:2" ht="15.5" x14ac:dyDescent="0.35">
      <c r="B2423" s="853">
        <v>192809.76433098482</v>
      </c>
    </row>
    <row r="2424" spans="2:2" ht="15.5" x14ac:dyDescent="0.35">
      <c r="B2424" s="853">
        <v>271972.390862739</v>
      </c>
    </row>
    <row r="2425" spans="2:2" ht="15.5" x14ac:dyDescent="0.35">
      <c r="B2425" s="853">
        <v>447138.70978509029</v>
      </c>
    </row>
    <row r="2426" spans="2:2" ht="15.5" x14ac:dyDescent="0.35">
      <c r="B2426" s="853">
        <v>409547.49650380987</v>
      </c>
    </row>
    <row r="2427" spans="2:2" ht="15.5" x14ac:dyDescent="0.35">
      <c r="B2427" s="853">
        <v>304714.11419687839</v>
      </c>
    </row>
    <row r="2428" spans="2:2" ht="15.5" x14ac:dyDescent="0.35">
      <c r="B2428" s="853">
        <v>329276.93829183804</v>
      </c>
    </row>
    <row r="2429" spans="2:2" ht="15.5" x14ac:dyDescent="0.35">
      <c r="B2429" s="853">
        <v>227014.46579738421</v>
      </c>
    </row>
    <row r="2430" spans="2:2" ht="15.5" x14ac:dyDescent="0.35">
      <c r="B2430" s="853">
        <v>231358.71823063717</v>
      </c>
    </row>
    <row r="2431" spans="2:2" ht="15.5" x14ac:dyDescent="0.35">
      <c r="B2431" s="853">
        <v>191836.44731957413</v>
      </c>
    </row>
    <row r="2432" spans="2:2" ht="15.5" x14ac:dyDescent="0.35">
      <c r="B2432" s="853">
        <v>187859.60277682939</v>
      </c>
    </row>
    <row r="2433" spans="2:2" ht="15.5" x14ac:dyDescent="0.35">
      <c r="B2433" s="853">
        <v>465082.89680120302</v>
      </c>
    </row>
    <row r="2434" spans="2:2" ht="15.5" x14ac:dyDescent="0.35">
      <c r="B2434" s="853">
        <v>478780.37278882455</v>
      </c>
    </row>
    <row r="2435" spans="2:2" ht="15.5" x14ac:dyDescent="0.35">
      <c r="B2435" s="853">
        <v>222252.98001666946</v>
      </c>
    </row>
    <row r="2436" spans="2:2" ht="15.5" x14ac:dyDescent="0.35">
      <c r="B2436" s="853">
        <v>338501.87739957339</v>
      </c>
    </row>
    <row r="2437" spans="2:2" ht="15.5" x14ac:dyDescent="0.35">
      <c r="B2437" s="853">
        <v>110725.50338939617</v>
      </c>
    </row>
    <row r="2438" spans="2:2" ht="15.5" x14ac:dyDescent="0.35">
      <c r="B2438" s="853">
        <v>525373.7369083208</v>
      </c>
    </row>
    <row r="2439" spans="2:2" ht="15.5" x14ac:dyDescent="0.35">
      <c r="B2439" s="853">
        <v>167305.0962927177</v>
      </c>
    </row>
    <row r="2440" spans="2:2" ht="15.5" x14ac:dyDescent="0.35">
      <c r="B2440" s="853">
        <v>457663.7012970121</v>
      </c>
    </row>
    <row r="2441" spans="2:2" ht="15.5" x14ac:dyDescent="0.35">
      <c r="B2441" s="853">
        <v>111332.87384704173</v>
      </c>
    </row>
    <row r="2442" spans="2:2" ht="15.5" x14ac:dyDescent="0.35">
      <c r="B2442" s="853">
        <v>142609.77115922084</v>
      </c>
    </row>
    <row r="2443" spans="2:2" ht="15.5" x14ac:dyDescent="0.35">
      <c r="B2443" s="853">
        <v>469803.36561874679</v>
      </c>
    </row>
    <row r="2444" spans="2:2" ht="15.5" x14ac:dyDescent="0.35">
      <c r="B2444" s="853">
        <v>479463.88909498893</v>
      </c>
    </row>
    <row r="2445" spans="2:2" ht="15.5" x14ac:dyDescent="0.35">
      <c r="B2445" s="853">
        <v>92806.055040942316</v>
      </c>
    </row>
    <row r="2446" spans="2:2" ht="15.5" x14ac:dyDescent="0.35">
      <c r="B2446" s="853">
        <v>200643.10918601573</v>
      </c>
    </row>
    <row r="2447" spans="2:2" ht="15.5" x14ac:dyDescent="0.35">
      <c r="B2447" s="853">
        <v>317985.98593081004</v>
      </c>
    </row>
    <row r="2448" spans="2:2" ht="15.5" x14ac:dyDescent="0.35">
      <c r="B2448" s="853">
        <v>333382.02072789491</v>
      </c>
    </row>
    <row r="2449" spans="2:2" ht="15.5" x14ac:dyDescent="0.35">
      <c r="B2449" s="853">
        <v>355356.25188679103</v>
      </c>
    </row>
    <row r="2450" spans="2:2" ht="15.5" x14ac:dyDescent="0.35">
      <c r="B2450" s="853">
        <v>449242.04312893189</v>
      </c>
    </row>
    <row r="2451" spans="2:2" ht="15.5" x14ac:dyDescent="0.35">
      <c r="B2451" s="853">
        <v>488065.33705673058</v>
      </c>
    </row>
    <row r="2452" spans="2:2" ht="15.5" x14ac:dyDescent="0.35">
      <c r="B2452" s="853">
        <v>272706.45587127667</v>
      </c>
    </row>
    <row r="2453" spans="2:2" ht="15.5" x14ac:dyDescent="0.35">
      <c r="B2453" s="853">
        <v>221292.4762090969</v>
      </c>
    </row>
    <row r="2454" spans="2:2" ht="15.5" x14ac:dyDescent="0.35">
      <c r="B2454" s="853">
        <v>427720.08827337064</v>
      </c>
    </row>
    <row r="2455" spans="2:2" ht="15.5" x14ac:dyDescent="0.35">
      <c r="B2455" s="853">
        <v>97394.24986327946</v>
      </c>
    </row>
    <row r="2456" spans="2:2" ht="15.5" x14ac:dyDescent="0.35">
      <c r="B2456" s="853">
        <v>224027.76603921896</v>
      </c>
    </row>
    <row r="2457" spans="2:2" ht="15.5" x14ac:dyDescent="0.35">
      <c r="B2457" s="853">
        <v>394666.84805177199</v>
      </c>
    </row>
    <row r="2458" spans="2:2" ht="15.5" x14ac:dyDescent="0.35">
      <c r="B2458" s="853">
        <v>115933.71284096441</v>
      </c>
    </row>
    <row r="2459" spans="2:2" ht="15.5" x14ac:dyDescent="0.35">
      <c r="B2459" s="853">
        <v>353375.60471451911</v>
      </c>
    </row>
    <row r="2460" spans="2:2" ht="15.5" x14ac:dyDescent="0.35">
      <c r="B2460" s="853">
        <v>427122.04019905493</v>
      </c>
    </row>
    <row r="2461" spans="2:2" ht="15.5" x14ac:dyDescent="0.35">
      <c r="B2461" s="853">
        <v>335562.92165073671</v>
      </c>
    </row>
    <row r="2462" spans="2:2" ht="15.5" x14ac:dyDescent="0.35">
      <c r="B2462" s="853">
        <v>188890.99175619782</v>
      </c>
    </row>
    <row r="2463" spans="2:2" ht="15.5" x14ac:dyDescent="0.35">
      <c r="B2463" s="853">
        <v>397589.23170268838</v>
      </c>
    </row>
    <row r="2464" spans="2:2" ht="15.5" x14ac:dyDescent="0.35">
      <c r="B2464" s="853">
        <v>133970.57396958445</v>
      </c>
    </row>
    <row r="2465" spans="2:2" ht="15.5" x14ac:dyDescent="0.35">
      <c r="B2465" s="853">
        <v>289731.78244605253</v>
      </c>
    </row>
    <row r="2466" spans="2:2" ht="15.5" x14ac:dyDescent="0.35">
      <c r="B2466" s="853">
        <v>478505.25220392365</v>
      </c>
    </row>
    <row r="2467" spans="2:2" ht="15.5" x14ac:dyDescent="0.35">
      <c r="B2467" s="853">
        <v>448331.05472299695</v>
      </c>
    </row>
    <row r="2468" spans="2:2" ht="15.5" x14ac:dyDescent="0.35">
      <c r="B2468" s="853">
        <v>396834.93342728389</v>
      </c>
    </row>
    <row r="2469" spans="2:2" ht="15.5" x14ac:dyDescent="0.35">
      <c r="B2469" s="853">
        <v>390020.02687938034</v>
      </c>
    </row>
    <row r="2470" spans="2:2" ht="15.5" x14ac:dyDescent="0.35">
      <c r="B2470" s="853">
        <v>317805.94329361775</v>
      </c>
    </row>
    <row r="2471" spans="2:2" ht="15.5" x14ac:dyDescent="0.35">
      <c r="B2471" s="853">
        <v>304745.40547943366</v>
      </c>
    </row>
    <row r="2472" spans="2:2" ht="15.5" x14ac:dyDescent="0.35">
      <c r="B2472" s="853">
        <v>248090.80956536694</v>
      </c>
    </row>
    <row r="2473" spans="2:2" ht="15.5" x14ac:dyDescent="0.35">
      <c r="B2473" s="853">
        <v>303103.76842815324</v>
      </c>
    </row>
    <row r="2474" spans="2:2" ht="15.5" x14ac:dyDescent="0.35">
      <c r="B2474" s="853">
        <v>290591.1946724439</v>
      </c>
    </row>
    <row r="2475" spans="2:2" ht="15.5" x14ac:dyDescent="0.35">
      <c r="B2475" s="853">
        <v>289192.7600749156</v>
      </c>
    </row>
    <row r="2476" spans="2:2" ht="15.5" x14ac:dyDescent="0.35">
      <c r="B2476" s="853">
        <v>372660.92750643194</v>
      </c>
    </row>
    <row r="2477" spans="2:2" ht="15.5" x14ac:dyDescent="0.35">
      <c r="B2477" s="853">
        <v>486928.89434072527</v>
      </c>
    </row>
    <row r="2478" spans="2:2" ht="15.5" x14ac:dyDescent="0.35">
      <c r="B2478" s="853">
        <v>460420.28788458259</v>
      </c>
    </row>
    <row r="2479" spans="2:2" ht="15.5" x14ac:dyDescent="0.35">
      <c r="B2479" s="853">
        <v>505498.57366221672</v>
      </c>
    </row>
    <row r="2480" spans="2:2" ht="15.5" x14ac:dyDescent="0.35">
      <c r="B2480" s="853">
        <v>287380.66715847899</v>
      </c>
    </row>
    <row r="2481" spans="2:2" ht="15.5" x14ac:dyDescent="0.35">
      <c r="B2481" s="853">
        <v>390813.17570369499</v>
      </c>
    </row>
    <row r="2482" spans="2:2" ht="15.5" x14ac:dyDescent="0.35">
      <c r="B2482" s="853">
        <v>230430.63123112795</v>
      </c>
    </row>
    <row r="2483" spans="2:2" ht="15.5" x14ac:dyDescent="0.35">
      <c r="B2483" s="853">
        <v>446739.26158597646</v>
      </c>
    </row>
    <row r="2484" spans="2:2" ht="15.5" x14ac:dyDescent="0.35">
      <c r="B2484" s="853">
        <v>229766.79687227478</v>
      </c>
    </row>
    <row r="2485" spans="2:2" ht="15.5" x14ac:dyDescent="0.35">
      <c r="B2485" s="853">
        <v>548752.04647144966</v>
      </c>
    </row>
    <row r="2486" spans="2:2" ht="15.5" x14ac:dyDescent="0.35">
      <c r="B2486" s="853">
        <v>330460.95155741129</v>
      </c>
    </row>
    <row r="2487" spans="2:2" ht="15.5" x14ac:dyDescent="0.35">
      <c r="B2487" s="853">
        <v>62391.582352302998</v>
      </c>
    </row>
    <row r="2488" spans="2:2" ht="15.5" x14ac:dyDescent="0.35">
      <c r="B2488" s="853">
        <v>539099.52262503933</v>
      </c>
    </row>
    <row r="2489" spans="2:2" ht="15.5" x14ac:dyDescent="0.35">
      <c r="B2489" s="853">
        <v>474418.18254528841</v>
      </c>
    </row>
    <row r="2490" spans="2:2" ht="15.5" x14ac:dyDescent="0.35">
      <c r="B2490" s="853">
        <v>152184.47417610078</v>
      </c>
    </row>
    <row r="2491" spans="2:2" ht="15.5" x14ac:dyDescent="0.35">
      <c r="B2491" s="853">
        <v>397149.46917239501</v>
      </c>
    </row>
    <row r="2492" spans="2:2" ht="15.5" x14ac:dyDescent="0.35">
      <c r="B2492" s="853">
        <v>-39611.383496040216</v>
      </c>
    </row>
    <row r="2493" spans="2:2" ht="15.5" x14ac:dyDescent="0.35">
      <c r="B2493" s="853">
        <v>62942.997842781529</v>
      </c>
    </row>
    <row r="2494" spans="2:2" ht="15.5" x14ac:dyDescent="0.35">
      <c r="B2494" s="853">
        <v>135796.3504857927</v>
      </c>
    </row>
    <row r="2495" spans="2:2" ht="15.5" x14ac:dyDescent="0.35">
      <c r="B2495" s="853">
        <v>290137.64381020976</v>
      </c>
    </row>
    <row r="2496" spans="2:2" ht="15.5" x14ac:dyDescent="0.35">
      <c r="B2496" s="853">
        <v>160203.12554221036</v>
      </c>
    </row>
    <row r="2497" spans="2:2" ht="15.5" x14ac:dyDescent="0.35">
      <c r="B2497" s="853">
        <v>328070.6813147607</v>
      </c>
    </row>
    <row r="2498" spans="2:2" ht="15.5" x14ac:dyDescent="0.35">
      <c r="B2498" s="853">
        <v>236167.02651912058</v>
      </c>
    </row>
    <row r="2499" spans="2:2" ht="15.5" x14ac:dyDescent="0.35">
      <c r="B2499" s="853">
        <v>378812.16590188863</v>
      </c>
    </row>
    <row r="2500" spans="2:2" ht="15.5" x14ac:dyDescent="0.35">
      <c r="B2500" s="853">
        <v>372631.94441915292</v>
      </c>
    </row>
    <row r="2501" spans="2:2" ht="15.5" x14ac:dyDescent="0.35">
      <c r="B2501" s="853">
        <v>193079.75622021867</v>
      </c>
    </row>
    <row r="2502" spans="2:2" ht="15.5" x14ac:dyDescent="0.35">
      <c r="B2502" s="853">
        <v>360915.97344233311</v>
      </c>
    </row>
    <row r="2503" spans="2:2" ht="15.5" x14ac:dyDescent="0.35">
      <c r="B2503" s="853">
        <v>358181.04667244904</v>
      </c>
    </row>
    <row r="2504" spans="2:2" ht="15.5" x14ac:dyDescent="0.35">
      <c r="B2504" s="853">
        <v>453361.42561978236</v>
      </c>
    </row>
    <row r="2505" spans="2:2" ht="15.5" x14ac:dyDescent="0.35">
      <c r="B2505" s="853">
        <v>372546.08941922634</v>
      </c>
    </row>
    <row r="2506" spans="2:2" ht="15.5" x14ac:dyDescent="0.35">
      <c r="B2506" s="853">
        <v>267351.5205854486</v>
      </c>
    </row>
    <row r="2507" spans="2:2" ht="15.5" x14ac:dyDescent="0.35">
      <c r="B2507" s="853">
        <v>459715.27069318626</v>
      </c>
    </row>
    <row r="2508" spans="2:2" ht="15.5" x14ac:dyDescent="0.35">
      <c r="B2508" s="853">
        <v>539752.77163167589</v>
      </c>
    </row>
    <row r="2509" spans="2:2" ht="15.5" x14ac:dyDescent="0.35">
      <c r="B2509" s="853">
        <v>255359.8372368197</v>
      </c>
    </row>
    <row r="2510" spans="2:2" ht="15.5" x14ac:dyDescent="0.35">
      <c r="B2510" s="853">
        <v>339877.18779153848</v>
      </c>
    </row>
    <row r="2511" spans="2:2" ht="15.5" x14ac:dyDescent="0.35">
      <c r="B2511" s="853">
        <v>534883.35059443978</v>
      </c>
    </row>
    <row r="2512" spans="2:2" ht="15.5" x14ac:dyDescent="0.35">
      <c r="B2512" s="853">
        <v>8016.3715695070105</v>
      </c>
    </row>
    <row r="2513" spans="2:2" ht="15.5" x14ac:dyDescent="0.35">
      <c r="B2513" s="853">
        <v>171082.10723010561</v>
      </c>
    </row>
    <row r="2514" spans="2:2" ht="15.5" x14ac:dyDescent="0.35">
      <c r="B2514" s="853">
        <v>65315.371278092338</v>
      </c>
    </row>
    <row r="2515" spans="2:2" ht="15.5" x14ac:dyDescent="0.35">
      <c r="B2515" s="853">
        <v>595594.07918910484</v>
      </c>
    </row>
    <row r="2516" spans="2:2" ht="15.5" x14ac:dyDescent="0.35">
      <c r="B2516" s="853">
        <v>133049.97093185471</v>
      </c>
    </row>
    <row r="2517" spans="2:2" ht="15.5" x14ac:dyDescent="0.35">
      <c r="B2517" s="853">
        <v>345056.17659020028</v>
      </c>
    </row>
    <row r="2518" spans="2:2" ht="15.5" x14ac:dyDescent="0.35">
      <c r="B2518" s="853">
        <v>36752.539454730599</v>
      </c>
    </row>
    <row r="2519" spans="2:2" ht="15.5" x14ac:dyDescent="0.35">
      <c r="B2519" s="853">
        <v>243886.14928083302</v>
      </c>
    </row>
    <row r="2520" spans="2:2" ht="15.5" x14ac:dyDescent="0.35">
      <c r="B2520" s="853">
        <v>424030.56027368951</v>
      </c>
    </row>
    <row r="2521" spans="2:2" ht="15.5" x14ac:dyDescent="0.35">
      <c r="B2521" s="853">
        <v>402497.74374895496</v>
      </c>
    </row>
    <row r="2522" spans="2:2" ht="15.5" x14ac:dyDescent="0.35">
      <c r="B2522" s="853">
        <v>242606.291835418</v>
      </c>
    </row>
    <row r="2523" spans="2:2" ht="15.5" x14ac:dyDescent="0.35">
      <c r="B2523" s="853">
        <v>577078.43409035623</v>
      </c>
    </row>
    <row r="2524" spans="2:2" ht="15.5" x14ac:dyDescent="0.35">
      <c r="B2524" s="853">
        <v>558824.29730819142</v>
      </c>
    </row>
    <row r="2525" spans="2:2" ht="15.5" x14ac:dyDescent="0.35">
      <c r="B2525" s="853">
        <v>486515.00692543812</v>
      </c>
    </row>
    <row r="2526" spans="2:2" ht="15.5" x14ac:dyDescent="0.35">
      <c r="B2526" s="853">
        <v>192234.40311661066</v>
      </c>
    </row>
    <row r="2527" spans="2:2" ht="15.5" x14ac:dyDescent="0.35">
      <c r="B2527" s="853">
        <v>333855.39016566513</v>
      </c>
    </row>
    <row r="2528" spans="2:2" ht="15.5" x14ac:dyDescent="0.35">
      <c r="B2528" s="853">
        <v>351593.80106273864</v>
      </c>
    </row>
    <row r="2529" spans="2:2" ht="15.5" x14ac:dyDescent="0.35">
      <c r="B2529" s="853">
        <v>372708.39666449121</v>
      </c>
    </row>
    <row r="2530" spans="2:2" ht="15.5" x14ac:dyDescent="0.35">
      <c r="B2530" s="853">
        <v>459355.53150974674</v>
      </c>
    </row>
    <row r="2531" spans="2:2" ht="15.5" x14ac:dyDescent="0.35">
      <c r="B2531" s="853">
        <v>417647.09299176402</v>
      </c>
    </row>
    <row r="2532" spans="2:2" ht="15.5" x14ac:dyDescent="0.35">
      <c r="B2532" s="853">
        <v>282975.49472737091</v>
      </c>
    </row>
    <row r="2533" spans="2:2" ht="15.5" x14ac:dyDescent="0.35">
      <c r="B2533" s="853">
        <v>328136.22239582206</v>
      </c>
    </row>
    <row r="2534" spans="2:2" ht="15.5" x14ac:dyDescent="0.35">
      <c r="B2534" s="853">
        <v>407147.9557621688</v>
      </c>
    </row>
    <row r="2535" spans="2:2" ht="15.5" x14ac:dyDescent="0.35">
      <c r="B2535" s="853">
        <v>258506.70653255659</v>
      </c>
    </row>
    <row r="2536" spans="2:2" ht="15.5" x14ac:dyDescent="0.35">
      <c r="B2536" s="853">
        <v>267585.63881706021</v>
      </c>
    </row>
    <row r="2537" spans="2:2" ht="15.5" x14ac:dyDescent="0.35">
      <c r="B2537" s="853">
        <v>316920.42125472031</v>
      </c>
    </row>
    <row r="2538" spans="2:2" ht="15.5" x14ac:dyDescent="0.35">
      <c r="B2538" s="853">
        <v>239894.08784795902</v>
      </c>
    </row>
    <row r="2539" spans="2:2" ht="15.5" x14ac:dyDescent="0.35">
      <c r="B2539" s="853">
        <v>235615.35476846626</v>
      </c>
    </row>
    <row r="2540" spans="2:2" ht="15.5" x14ac:dyDescent="0.35">
      <c r="B2540" s="853">
        <v>312129.50128765957</v>
      </c>
    </row>
    <row r="2541" spans="2:2" ht="15.5" x14ac:dyDescent="0.35">
      <c r="B2541" s="853">
        <v>136821.69454368076</v>
      </c>
    </row>
    <row r="2542" spans="2:2" ht="15.5" x14ac:dyDescent="0.35">
      <c r="B2542" s="853">
        <v>194485.17305881548</v>
      </c>
    </row>
    <row r="2543" spans="2:2" ht="15.5" x14ac:dyDescent="0.35">
      <c r="B2543" s="853">
        <v>627013.41245347541</v>
      </c>
    </row>
    <row r="2544" spans="2:2" ht="15.5" x14ac:dyDescent="0.35">
      <c r="B2544" s="853">
        <v>505471.8017554261</v>
      </c>
    </row>
    <row r="2545" spans="2:2" ht="15.5" x14ac:dyDescent="0.35">
      <c r="B2545" s="853">
        <v>318477.39565404091</v>
      </c>
    </row>
    <row r="2546" spans="2:2" ht="15.5" x14ac:dyDescent="0.35">
      <c r="B2546" s="853">
        <v>54878.028483247348</v>
      </c>
    </row>
    <row r="2547" spans="2:2" ht="15.5" x14ac:dyDescent="0.35">
      <c r="B2547" s="853">
        <v>527074.69973638537</v>
      </c>
    </row>
    <row r="2548" spans="2:2" ht="15.5" x14ac:dyDescent="0.35">
      <c r="B2548" s="853">
        <v>328162.21403596201</v>
      </c>
    </row>
    <row r="2549" spans="2:2" ht="15.5" x14ac:dyDescent="0.35">
      <c r="B2549" s="853">
        <v>352089.44220717414</v>
      </c>
    </row>
    <row r="2550" spans="2:2" ht="15.5" x14ac:dyDescent="0.35">
      <c r="B2550" s="853">
        <v>561351.13557830104</v>
      </c>
    </row>
    <row r="2551" spans="2:2" ht="15.5" x14ac:dyDescent="0.35">
      <c r="B2551" s="853">
        <v>46821.234844692168</v>
      </c>
    </row>
    <row r="2552" spans="2:2" ht="15.5" x14ac:dyDescent="0.35">
      <c r="B2552" s="853">
        <v>260219.77475758761</v>
      </c>
    </row>
    <row r="2553" spans="2:2" ht="15.5" x14ac:dyDescent="0.35">
      <c r="B2553" s="853">
        <v>210391.80095698973</v>
      </c>
    </row>
    <row r="2554" spans="2:2" ht="15.5" x14ac:dyDescent="0.35">
      <c r="B2554" s="853">
        <v>224809.48071309962</v>
      </c>
    </row>
    <row r="2555" spans="2:2" ht="15.5" x14ac:dyDescent="0.35">
      <c r="B2555" s="853">
        <v>479802.95660395839</v>
      </c>
    </row>
    <row r="2556" spans="2:2" ht="15.5" x14ac:dyDescent="0.35">
      <c r="B2556" s="853">
        <v>169673.74355659858</v>
      </c>
    </row>
    <row r="2557" spans="2:2" ht="15.5" x14ac:dyDescent="0.35">
      <c r="B2557" s="853">
        <v>279599.41126157128</v>
      </c>
    </row>
    <row r="2558" spans="2:2" ht="15.5" x14ac:dyDescent="0.35">
      <c r="B2558" s="853">
        <v>190695.43113108922</v>
      </c>
    </row>
    <row r="2559" spans="2:2" ht="15.5" x14ac:dyDescent="0.35">
      <c r="B2559" s="853">
        <v>166973.60577055521</v>
      </c>
    </row>
    <row r="2560" spans="2:2" ht="15.5" x14ac:dyDescent="0.35">
      <c r="B2560" s="853">
        <v>326799.06810556893</v>
      </c>
    </row>
    <row r="2561" spans="2:2" ht="15.5" x14ac:dyDescent="0.35">
      <c r="B2561" s="853">
        <v>333445.37675002031</v>
      </c>
    </row>
    <row r="2562" spans="2:2" ht="15.5" x14ac:dyDescent="0.35">
      <c r="B2562" s="853">
        <v>506777.78891337937</v>
      </c>
    </row>
    <row r="2563" spans="2:2" ht="15.5" x14ac:dyDescent="0.35">
      <c r="B2563" s="853">
        <v>437952.08872066997</v>
      </c>
    </row>
    <row r="2564" spans="2:2" ht="15.5" x14ac:dyDescent="0.35">
      <c r="B2564" s="853">
        <v>220330.60649996059</v>
      </c>
    </row>
    <row r="2565" spans="2:2" ht="15.5" x14ac:dyDescent="0.35">
      <c r="B2565" s="853">
        <v>265794.95080915082</v>
      </c>
    </row>
    <row r="2566" spans="2:2" ht="15.5" x14ac:dyDescent="0.35">
      <c r="B2566" s="853">
        <v>384662.4694200512</v>
      </c>
    </row>
    <row r="2567" spans="2:2" ht="15.5" x14ac:dyDescent="0.35">
      <c r="B2567" s="853">
        <v>404560.30885592254</v>
      </c>
    </row>
    <row r="2568" spans="2:2" ht="15.5" x14ac:dyDescent="0.35">
      <c r="B2568" s="853">
        <v>379881.5624027499</v>
      </c>
    </row>
    <row r="2569" spans="2:2" ht="15.5" x14ac:dyDescent="0.35">
      <c r="B2569" s="853">
        <v>389888.09536578733</v>
      </c>
    </row>
    <row r="2570" spans="2:2" ht="15.5" x14ac:dyDescent="0.35">
      <c r="B2570" s="853">
        <v>203387.23981107358</v>
      </c>
    </row>
    <row r="2571" spans="2:2" ht="15.5" x14ac:dyDescent="0.35">
      <c r="B2571" s="853">
        <v>283450.6490927267</v>
      </c>
    </row>
    <row r="2572" spans="2:2" ht="15.5" x14ac:dyDescent="0.35">
      <c r="B2572" s="853">
        <v>340259.07687399251</v>
      </c>
    </row>
    <row r="2573" spans="2:2" ht="15.5" x14ac:dyDescent="0.35">
      <c r="B2573" s="853">
        <v>346202.10117629898</v>
      </c>
    </row>
    <row r="2574" spans="2:2" ht="15.5" x14ac:dyDescent="0.35">
      <c r="B2574" s="853">
        <v>259538.2997283132</v>
      </c>
    </row>
    <row r="2575" spans="2:2" ht="15.5" x14ac:dyDescent="0.35">
      <c r="B2575" s="853">
        <v>276393.12996021897</v>
      </c>
    </row>
    <row r="2576" spans="2:2" ht="15.5" x14ac:dyDescent="0.35">
      <c r="B2576" s="853">
        <v>564825.22446777963</v>
      </c>
    </row>
    <row r="2577" spans="2:2" ht="15.5" x14ac:dyDescent="0.35">
      <c r="B2577" s="853">
        <v>274389.82897452882</v>
      </c>
    </row>
    <row r="2578" spans="2:2" ht="15.5" x14ac:dyDescent="0.35">
      <c r="B2578" s="853">
        <v>502783.98852180107</v>
      </c>
    </row>
    <row r="2579" spans="2:2" ht="15.5" x14ac:dyDescent="0.35">
      <c r="B2579" s="853">
        <v>466850.3186674781</v>
      </c>
    </row>
    <row r="2580" spans="2:2" ht="15.5" x14ac:dyDescent="0.35">
      <c r="B2580" s="853">
        <v>-28877.488566741478</v>
      </c>
    </row>
    <row r="2581" spans="2:2" ht="15.5" x14ac:dyDescent="0.35">
      <c r="B2581" s="853">
        <v>533892.9051325341</v>
      </c>
    </row>
    <row r="2582" spans="2:2" ht="15.5" x14ac:dyDescent="0.35">
      <c r="B2582" s="853">
        <v>513796.86998277222</v>
      </c>
    </row>
    <row r="2583" spans="2:2" ht="15.5" x14ac:dyDescent="0.35">
      <c r="B2583" s="853">
        <v>282898.90695368691</v>
      </c>
    </row>
    <row r="2584" spans="2:2" ht="15.5" x14ac:dyDescent="0.35">
      <c r="B2584" s="853">
        <v>335759.44680279831</v>
      </c>
    </row>
    <row r="2585" spans="2:2" ht="15.5" x14ac:dyDescent="0.35">
      <c r="B2585" s="853">
        <v>587516.71072045865</v>
      </c>
    </row>
    <row r="2586" spans="2:2" ht="15.5" x14ac:dyDescent="0.35">
      <c r="B2586" s="853">
        <v>307958.67906336236</v>
      </c>
    </row>
    <row r="2587" spans="2:2" ht="15.5" x14ac:dyDescent="0.35">
      <c r="B2587" s="853">
        <v>328863.18444727286</v>
      </c>
    </row>
    <row r="2588" spans="2:2" ht="15.5" x14ac:dyDescent="0.35">
      <c r="B2588" s="853">
        <v>230099.83916856669</v>
      </c>
    </row>
    <row r="2589" spans="2:2" ht="15.5" x14ac:dyDescent="0.35">
      <c r="B2589" s="853">
        <v>31525.058525016746</v>
      </c>
    </row>
    <row r="2590" spans="2:2" ht="15.5" x14ac:dyDescent="0.35">
      <c r="B2590" s="853">
        <v>257798.64481534643</v>
      </c>
    </row>
    <row r="2591" spans="2:2" ht="15.5" x14ac:dyDescent="0.35">
      <c r="B2591" s="853">
        <v>444363.84386934986</v>
      </c>
    </row>
    <row r="2592" spans="2:2" ht="15.5" x14ac:dyDescent="0.35">
      <c r="B2592" s="853">
        <v>372506.21065300592</v>
      </c>
    </row>
    <row r="2593" spans="2:2" ht="15.5" x14ac:dyDescent="0.35">
      <c r="B2593" s="853">
        <v>95934.903581779436</v>
      </c>
    </row>
    <row r="2594" spans="2:2" ht="15.5" x14ac:dyDescent="0.35">
      <c r="B2594" s="853">
        <v>356469.42801013793</v>
      </c>
    </row>
    <row r="2595" spans="2:2" ht="15.5" x14ac:dyDescent="0.35">
      <c r="B2595" s="853">
        <v>315576.28307145531</v>
      </c>
    </row>
    <row r="2596" spans="2:2" ht="15.5" x14ac:dyDescent="0.35">
      <c r="B2596" s="853">
        <v>159992.94514744057</v>
      </c>
    </row>
    <row r="2597" spans="2:2" ht="15.5" x14ac:dyDescent="0.35">
      <c r="B2597" s="853">
        <v>57156.365204107431</v>
      </c>
    </row>
    <row r="2598" spans="2:2" ht="15.5" x14ac:dyDescent="0.35">
      <c r="B2598" s="853">
        <v>50741.622027230456</v>
      </c>
    </row>
    <row r="2599" spans="2:2" ht="15.5" x14ac:dyDescent="0.35">
      <c r="B2599" s="853">
        <v>189266.46178693662</v>
      </c>
    </row>
    <row r="2600" spans="2:2" ht="15.5" x14ac:dyDescent="0.35">
      <c r="B2600" s="853">
        <v>64177.120661141045</v>
      </c>
    </row>
    <row r="2601" spans="2:2" ht="15.5" x14ac:dyDescent="0.35">
      <c r="B2601" s="853">
        <v>404746.16298930533</v>
      </c>
    </row>
    <row r="2602" spans="2:2" ht="15.5" x14ac:dyDescent="0.35">
      <c r="B2602" s="853">
        <v>203852.47352694432</v>
      </c>
    </row>
    <row r="2603" spans="2:2" ht="15.5" x14ac:dyDescent="0.35">
      <c r="B2603" s="853">
        <v>385400.19486877182</v>
      </c>
    </row>
    <row r="2604" spans="2:2" ht="15.5" x14ac:dyDescent="0.35">
      <c r="B2604" s="853">
        <v>269149.60532537545</v>
      </c>
    </row>
    <row r="2605" spans="2:2" ht="15.5" x14ac:dyDescent="0.35">
      <c r="B2605" s="853">
        <v>469174.40280787944</v>
      </c>
    </row>
    <row r="2606" spans="2:2" ht="15.5" x14ac:dyDescent="0.35">
      <c r="B2606" s="853">
        <v>233497.5988898472</v>
      </c>
    </row>
    <row r="2607" spans="2:2" ht="15.5" x14ac:dyDescent="0.35">
      <c r="B2607" s="853">
        <v>327507.46171440237</v>
      </c>
    </row>
    <row r="2608" spans="2:2" ht="15.5" x14ac:dyDescent="0.35">
      <c r="B2608" s="853">
        <v>178019.95264153185</v>
      </c>
    </row>
    <row r="2609" spans="2:2" ht="15.5" x14ac:dyDescent="0.35">
      <c r="B2609" s="853">
        <v>569535.84005910414</v>
      </c>
    </row>
    <row r="2610" spans="2:2" ht="15.5" x14ac:dyDescent="0.35">
      <c r="B2610" s="853">
        <v>132067.87961947956</v>
      </c>
    </row>
    <row r="2611" spans="2:2" ht="15.5" x14ac:dyDescent="0.35">
      <c r="B2611" s="853">
        <v>220152.54870145649</v>
      </c>
    </row>
    <row r="2612" spans="2:2" ht="15.5" x14ac:dyDescent="0.35">
      <c r="B2612" s="853">
        <v>215579.83648551264</v>
      </c>
    </row>
    <row r="2613" spans="2:2" ht="15.5" x14ac:dyDescent="0.35">
      <c r="B2613" s="853">
        <v>464015.83412446617</v>
      </c>
    </row>
    <row r="2614" spans="2:2" ht="15.5" x14ac:dyDescent="0.35">
      <c r="B2614" s="853">
        <v>133392.72570951766</v>
      </c>
    </row>
    <row r="2615" spans="2:2" ht="15.5" x14ac:dyDescent="0.35">
      <c r="B2615" s="853">
        <v>137075.20000697533</v>
      </c>
    </row>
    <row r="2616" spans="2:2" ht="15.5" x14ac:dyDescent="0.35">
      <c r="B2616" s="853">
        <v>583025.87744274363</v>
      </c>
    </row>
    <row r="2617" spans="2:2" ht="15.5" x14ac:dyDescent="0.35">
      <c r="B2617" s="853">
        <v>142139.9158034799</v>
      </c>
    </row>
    <row r="2618" spans="2:2" ht="15.5" x14ac:dyDescent="0.35">
      <c r="B2618" s="853">
        <v>531519.57635362528</v>
      </c>
    </row>
    <row r="2619" spans="2:2" ht="15.5" x14ac:dyDescent="0.35">
      <c r="B2619" s="853">
        <v>219996.60565786323</v>
      </c>
    </row>
    <row r="2620" spans="2:2" ht="15.5" x14ac:dyDescent="0.35">
      <c r="B2620" s="853">
        <v>38214.595049698371</v>
      </c>
    </row>
    <row r="2621" spans="2:2" ht="15.5" x14ac:dyDescent="0.35">
      <c r="B2621" s="853">
        <v>303008.07876706048</v>
      </c>
    </row>
    <row r="2622" spans="2:2" ht="15.5" x14ac:dyDescent="0.35">
      <c r="B2622" s="853">
        <v>224058.55755814552</v>
      </c>
    </row>
    <row r="2623" spans="2:2" ht="15.5" x14ac:dyDescent="0.35">
      <c r="B2623" s="853">
        <v>248393.97737487918</v>
      </c>
    </row>
    <row r="2624" spans="2:2" ht="15.5" x14ac:dyDescent="0.35">
      <c r="B2624" s="853">
        <v>185227.82233112288</v>
      </c>
    </row>
    <row r="2625" spans="2:2" ht="15.5" x14ac:dyDescent="0.35">
      <c r="B2625" s="853">
        <v>332552.52085070545</v>
      </c>
    </row>
    <row r="2626" spans="2:2" ht="15.5" x14ac:dyDescent="0.35">
      <c r="B2626" s="853">
        <v>353654.86204542255</v>
      </c>
    </row>
    <row r="2627" spans="2:2" ht="15.5" x14ac:dyDescent="0.35">
      <c r="B2627" s="853">
        <v>367248.3013014397</v>
      </c>
    </row>
    <row r="2628" spans="2:2" ht="15.5" x14ac:dyDescent="0.35">
      <c r="B2628" s="853">
        <v>123484.79188301374</v>
      </c>
    </row>
    <row r="2629" spans="2:2" ht="15.5" x14ac:dyDescent="0.35">
      <c r="B2629" s="853">
        <v>404579.78188516042</v>
      </c>
    </row>
    <row r="2630" spans="2:2" ht="15.5" x14ac:dyDescent="0.35">
      <c r="B2630" s="853">
        <v>144581.354425831</v>
      </c>
    </row>
    <row r="2631" spans="2:2" ht="15.5" x14ac:dyDescent="0.35">
      <c r="B2631" s="853">
        <v>117385.03349194326</v>
      </c>
    </row>
    <row r="2632" spans="2:2" ht="15.5" x14ac:dyDescent="0.35">
      <c r="B2632" s="853">
        <v>309596.48055802524</v>
      </c>
    </row>
    <row r="2633" spans="2:2" ht="15.5" x14ac:dyDescent="0.35">
      <c r="B2633" s="853">
        <v>120971.049002288</v>
      </c>
    </row>
    <row r="2634" spans="2:2" ht="15.5" x14ac:dyDescent="0.35">
      <c r="B2634" s="853">
        <v>103342.82930752916</v>
      </c>
    </row>
    <row r="2635" spans="2:2" ht="15.5" x14ac:dyDescent="0.35">
      <c r="B2635" s="853">
        <v>406985.57132069115</v>
      </c>
    </row>
    <row r="2636" spans="2:2" ht="15.5" x14ac:dyDescent="0.35">
      <c r="B2636" s="853">
        <v>107747.29881930543</v>
      </c>
    </row>
    <row r="2637" spans="2:2" ht="15.5" x14ac:dyDescent="0.35">
      <c r="B2637" s="853">
        <v>446938.52267887141</v>
      </c>
    </row>
    <row r="2638" spans="2:2" ht="15.5" x14ac:dyDescent="0.35">
      <c r="B2638" s="853">
        <v>472875.39755251614</v>
      </c>
    </row>
    <row r="2639" spans="2:2" ht="15.5" x14ac:dyDescent="0.35">
      <c r="B2639" s="853">
        <v>168583.48274202406</v>
      </c>
    </row>
    <row r="2640" spans="2:2" ht="15.5" x14ac:dyDescent="0.35">
      <c r="B2640" s="853">
        <v>207116.73502722787</v>
      </c>
    </row>
    <row r="2641" spans="2:2" ht="15.5" x14ac:dyDescent="0.35">
      <c r="B2641" s="853">
        <v>441058.54469885305</v>
      </c>
    </row>
    <row r="2642" spans="2:2" ht="15.5" x14ac:dyDescent="0.35">
      <c r="B2642" s="853">
        <v>664546.21397087839</v>
      </c>
    </row>
    <row r="2643" spans="2:2" ht="15.5" x14ac:dyDescent="0.35">
      <c r="B2643" s="853">
        <v>364780.79879874492</v>
      </c>
    </row>
    <row r="2644" spans="2:2" ht="15.5" x14ac:dyDescent="0.35">
      <c r="B2644" s="853">
        <v>247072.94624635144</v>
      </c>
    </row>
    <row r="2645" spans="2:2" ht="15.5" x14ac:dyDescent="0.35">
      <c r="B2645" s="853">
        <v>296473.11570475058</v>
      </c>
    </row>
    <row r="2646" spans="2:2" ht="15.5" x14ac:dyDescent="0.35">
      <c r="B2646" s="853">
        <v>159877.64800189133</v>
      </c>
    </row>
    <row r="2647" spans="2:2" ht="15.5" x14ac:dyDescent="0.35">
      <c r="B2647" s="853">
        <v>658087.08808128675</v>
      </c>
    </row>
    <row r="2648" spans="2:2" ht="15.5" x14ac:dyDescent="0.35">
      <c r="B2648" s="853">
        <v>169308.05664733594</v>
      </c>
    </row>
    <row r="2649" spans="2:2" ht="15.5" x14ac:dyDescent="0.35">
      <c r="B2649" s="853">
        <v>188650.83454526248</v>
      </c>
    </row>
    <row r="2650" spans="2:2" ht="15.5" x14ac:dyDescent="0.35">
      <c r="B2650" s="853">
        <v>172801.70623199802</v>
      </c>
    </row>
    <row r="2651" spans="2:2" ht="15.5" x14ac:dyDescent="0.35">
      <c r="B2651" s="853">
        <v>483623.26365697035</v>
      </c>
    </row>
    <row r="2652" spans="2:2" ht="15.5" x14ac:dyDescent="0.35">
      <c r="B2652" s="853">
        <v>391142.41954417259</v>
      </c>
    </row>
    <row r="2653" spans="2:2" ht="15.5" x14ac:dyDescent="0.35">
      <c r="B2653" s="853">
        <v>231053.96650708484</v>
      </c>
    </row>
    <row r="2654" spans="2:2" ht="15.5" x14ac:dyDescent="0.35">
      <c r="B2654" s="853">
        <v>33459.397080263028</v>
      </c>
    </row>
    <row r="2655" spans="2:2" ht="15.5" x14ac:dyDescent="0.35">
      <c r="B2655" s="853">
        <v>100390.07841116661</v>
      </c>
    </row>
    <row r="2656" spans="2:2" ht="15.5" x14ac:dyDescent="0.35">
      <c r="B2656" s="853">
        <v>574712.11066839925</v>
      </c>
    </row>
    <row r="2657" spans="2:2" ht="15.5" x14ac:dyDescent="0.35">
      <c r="B2657" s="853">
        <v>403267.0531654979</v>
      </c>
    </row>
    <row r="2658" spans="2:2" ht="15.5" x14ac:dyDescent="0.35">
      <c r="B2658" s="853">
        <v>257742.09110052162</v>
      </c>
    </row>
    <row r="2659" spans="2:2" ht="15.5" x14ac:dyDescent="0.35">
      <c r="B2659" s="853">
        <v>166243.04272616972</v>
      </c>
    </row>
    <row r="2660" spans="2:2" ht="15.5" x14ac:dyDescent="0.35">
      <c r="B2660" s="853">
        <v>405110.4779893235</v>
      </c>
    </row>
    <row r="2661" spans="2:2" ht="15.5" x14ac:dyDescent="0.35">
      <c r="B2661" s="853">
        <v>427450.64483142138</v>
      </c>
    </row>
    <row r="2662" spans="2:2" ht="15.5" x14ac:dyDescent="0.35">
      <c r="B2662" s="853">
        <v>614624.28421284992</v>
      </c>
    </row>
    <row r="2663" spans="2:2" ht="15.5" x14ac:dyDescent="0.35">
      <c r="B2663" s="853">
        <v>397646.00730466284</v>
      </c>
    </row>
    <row r="2664" spans="2:2" ht="15.5" x14ac:dyDescent="0.35">
      <c r="B2664" s="853">
        <v>223971.3584182171</v>
      </c>
    </row>
    <row r="2665" spans="2:2" ht="15.5" x14ac:dyDescent="0.35">
      <c r="B2665" s="853">
        <v>455160.06544932036</v>
      </c>
    </row>
    <row r="2666" spans="2:2" ht="15.5" x14ac:dyDescent="0.35">
      <c r="B2666" s="853">
        <v>177569.70959955142</v>
      </c>
    </row>
    <row r="2667" spans="2:2" ht="15.5" x14ac:dyDescent="0.35">
      <c r="B2667" s="853">
        <v>336068.14805887535</v>
      </c>
    </row>
    <row r="2668" spans="2:2" ht="15.5" x14ac:dyDescent="0.35">
      <c r="B2668" s="853">
        <v>230142.36400623035</v>
      </c>
    </row>
    <row r="2669" spans="2:2" ht="15.5" x14ac:dyDescent="0.35">
      <c r="B2669" s="853">
        <v>122829.08853423067</v>
      </c>
    </row>
    <row r="2670" spans="2:2" ht="15.5" x14ac:dyDescent="0.35">
      <c r="B2670" s="853">
        <v>186876.12812839</v>
      </c>
    </row>
    <row r="2671" spans="2:2" ht="15.5" x14ac:dyDescent="0.35">
      <c r="B2671" s="853">
        <v>229372.33805707117</v>
      </c>
    </row>
    <row r="2672" spans="2:2" ht="15.5" x14ac:dyDescent="0.35">
      <c r="B2672" s="853">
        <v>328260.99004449684</v>
      </c>
    </row>
    <row r="2673" spans="2:2" ht="15.5" x14ac:dyDescent="0.35">
      <c r="B2673" s="853">
        <v>174895.70843369295</v>
      </c>
    </row>
    <row r="2674" spans="2:2" ht="15.5" x14ac:dyDescent="0.35">
      <c r="B2674" s="853">
        <v>170188.68483676782</v>
      </c>
    </row>
    <row r="2675" spans="2:2" ht="15.5" x14ac:dyDescent="0.35">
      <c r="B2675" s="853">
        <v>363642.53789368534</v>
      </c>
    </row>
    <row r="2676" spans="2:2" ht="15.5" x14ac:dyDescent="0.35">
      <c r="B2676" s="853">
        <v>438744.41046199272</v>
      </c>
    </row>
    <row r="2677" spans="2:2" ht="15.5" x14ac:dyDescent="0.35">
      <c r="B2677" s="853">
        <v>430170.09334378375</v>
      </c>
    </row>
    <row r="2678" spans="2:2" ht="15.5" x14ac:dyDescent="0.35">
      <c r="B2678" s="853">
        <v>614940.19556425966</v>
      </c>
    </row>
    <row r="2679" spans="2:2" ht="15.5" x14ac:dyDescent="0.35">
      <c r="B2679" s="853">
        <v>239668.27120210443</v>
      </c>
    </row>
    <row r="2680" spans="2:2" ht="15.5" x14ac:dyDescent="0.35">
      <c r="B2680" s="853">
        <v>600871.30649687711</v>
      </c>
    </row>
    <row r="2681" spans="2:2" ht="15.5" x14ac:dyDescent="0.35">
      <c r="B2681" s="853">
        <v>343553.45132564264</v>
      </c>
    </row>
    <row r="2682" spans="2:2" ht="15.5" x14ac:dyDescent="0.35">
      <c r="B2682" s="853">
        <v>424479.68992518802</v>
      </c>
    </row>
    <row r="2683" spans="2:2" ht="15.5" x14ac:dyDescent="0.35">
      <c r="B2683" s="853">
        <v>140298.58952360714</v>
      </c>
    </row>
    <row r="2684" spans="2:2" ht="15.5" x14ac:dyDescent="0.35">
      <c r="B2684" s="853">
        <v>385199.96058874083</v>
      </c>
    </row>
    <row r="2685" spans="2:2" ht="15.5" x14ac:dyDescent="0.35">
      <c r="B2685" s="853">
        <v>284417.87461163051</v>
      </c>
    </row>
    <row r="2686" spans="2:2" ht="15.5" x14ac:dyDescent="0.35">
      <c r="B2686" s="853">
        <v>319872.42221789761</v>
      </c>
    </row>
    <row r="2687" spans="2:2" ht="15.5" x14ac:dyDescent="0.35">
      <c r="B2687" s="853">
        <v>360296.41527386423</v>
      </c>
    </row>
    <row r="2688" spans="2:2" ht="15.5" x14ac:dyDescent="0.35">
      <c r="B2688" s="853">
        <v>426322.5219987462</v>
      </c>
    </row>
    <row r="2689" spans="2:2" ht="15.5" x14ac:dyDescent="0.35">
      <c r="B2689" s="853">
        <v>366707.13910101441</v>
      </c>
    </row>
    <row r="2690" spans="2:2" ht="15.5" x14ac:dyDescent="0.35">
      <c r="B2690" s="853">
        <v>322232.7508245518</v>
      </c>
    </row>
    <row r="2691" spans="2:2" ht="15.5" x14ac:dyDescent="0.35">
      <c r="B2691" s="853">
        <v>351886.99720447272</v>
      </c>
    </row>
    <row r="2692" spans="2:2" ht="15.5" x14ac:dyDescent="0.35">
      <c r="B2692" s="853">
        <v>559103.69352856511</v>
      </c>
    </row>
    <row r="2693" spans="2:2" ht="15.5" x14ac:dyDescent="0.35">
      <c r="B2693" s="853">
        <v>371918.33041032846</v>
      </c>
    </row>
    <row r="2694" spans="2:2" ht="15.5" x14ac:dyDescent="0.35">
      <c r="B2694" s="853">
        <v>61731.447993161957</v>
      </c>
    </row>
    <row r="2695" spans="2:2" ht="15.5" x14ac:dyDescent="0.35">
      <c r="B2695" s="853">
        <v>373178.76403619593</v>
      </c>
    </row>
    <row r="2696" spans="2:2" ht="15.5" x14ac:dyDescent="0.35">
      <c r="B2696" s="853">
        <v>472728.90207587276</v>
      </c>
    </row>
    <row r="2697" spans="2:2" ht="15.5" x14ac:dyDescent="0.35">
      <c r="B2697" s="853">
        <v>252326.0683058782</v>
      </c>
    </row>
    <row r="2698" spans="2:2" ht="15.5" x14ac:dyDescent="0.35">
      <c r="B2698" s="853">
        <v>331203.22059545311</v>
      </c>
    </row>
    <row r="2699" spans="2:2" ht="15.5" x14ac:dyDescent="0.35">
      <c r="B2699" s="853">
        <v>131897.14585431994</v>
      </c>
    </row>
    <row r="2700" spans="2:2" ht="15.5" x14ac:dyDescent="0.35">
      <c r="B2700" s="853">
        <v>314893.41735072399</v>
      </c>
    </row>
    <row r="2701" spans="2:2" ht="15.5" x14ac:dyDescent="0.35">
      <c r="B2701" s="853">
        <v>325306.5744561138</v>
      </c>
    </row>
    <row r="2702" spans="2:2" ht="15.5" x14ac:dyDescent="0.35">
      <c r="B2702" s="853">
        <v>439682.90552390873</v>
      </c>
    </row>
    <row r="2703" spans="2:2" ht="15.5" x14ac:dyDescent="0.35">
      <c r="B2703" s="853">
        <v>334254.65422042506</v>
      </c>
    </row>
    <row r="2704" spans="2:2" ht="15.5" x14ac:dyDescent="0.35">
      <c r="B2704" s="853">
        <v>464883.99791586219</v>
      </c>
    </row>
    <row r="2705" spans="2:2" ht="15.5" x14ac:dyDescent="0.35">
      <c r="B2705" s="853">
        <v>470817.30905381532</v>
      </c>
    </row>
    <row r="2706" spans="2:2" ht="15.5" x14ac:dyDescent="0.35">
      <c r="B2706" s="853">
        <v>369130.10839830223</v>
      </c>
    </row>
    <row r="2707" spans="2:2" ht="15.5" x14ac:dyDescent="0.35">
      <c r="B2707" s="853">
        <v>490013.95747598482</v>
      </c>
    </row>
    <row r="2708" spans="2:2" ht="15.5" x14ac:dyDescent="0.35">
      <c r="B2708" s="853">
        <v>146688.801768409</v>
      </c>
    </row>
    <row r="2709" spans="2:2" ht="15.5" x14ac:dyDescent="0.35">
      <c r="B2709" s="853">
        <v>288091.04729244678</v>
      </c>
    </row>
    <row r="2710" spans="2:2" ht="15.5" x14ac:dyDescent="0.35">
      <c r="B2710" s="853">
        <v>90278.477403465789</v>
      </c>
    </row>
    <row r="2711" spans="2:2" ht="15.5" x14ac:dyDescent="0.35">
      <c r="B2711" s="853">
        <v>208805.63222245587</v>
      </c>
    </row>
    <row r="2712" spans="2:2" ht="15.5" x14ac:dyDescent="0.35">
      <c r="B2712" s="853">
        <v>388302.79735159292</v>
      </c>
    </row>
    <row r="2713" spans="2:2" ht="15.5" x14ac:dyDescent="0.35">
      <c r="B2713" s="853">
        <v>579243.1361613078</v>
      </c>
    </row>
    <row r="2714" spans="2:2" ht="15.5" x14ac:dyDescent="0.35">
      <c r="B2714" s="853">
        <v>44416.563322288624</v>
      </c>
    </row>
    <row r="2715" spans="2:2" ht="15.5" x14ac:dyDescent="0.35">
      <c r="B2715" s="853">
        <v>78909.108532415034</v>
      </c>
    </row>
    <row r="2716" spans="2:2" ht="15.5" x14ac:dyDescent="0.35">
      <c r="B2716" s="853">
        <v>279771.15674340742</v>
      </c>
    </row>
    <row r="2717" spans="2:2" ht="15.5" x14ac:dyDescent="0.35">
      <c r="B2717" s="853">
        <v>408900.08025065204</v>
      </c>
    </row>
    <row r="2718" spans="2:2" ht="15.5" x14ac:dyDescent="0.35">
      <c r="B2718" s="853">
        <v>82149.679723870591</v>
      </c>
    </row>
    <row r="2719" spans="2:2" ht="15.5" x14ac:dyDescent="0.35">
      <c r="B2719" s="853">
        <v>424603.30244018853</v>
      </c>
    </row>
    <row r="2720" spans="2:2" ht="15.5" x14ac:dyDescent="0.35">
      <c r="B2720" s="853">
        <v>223145.19061352394</v>
      </c>
    </row>
    <row r="2721" spans="2:2" ht="15.5" x14ac:dyDescent="0.35">
      <c r="B2721" s="853">
        <v>407196.60645733576</v>
      </c>
    </row>
    <row r="2722" spans="2:2" ht="15.5" x14ac:dyDescent="0.35">
      <c r="B2722" s="853">
        <v>263842.27839524229</v>
      </c>
    </row>
    <row r="2723" spans="2:2" ht="15.5" x14ac:dyDescent="0.35">
      <c r="B2723" s="853">
        <v>215270.62946232027</v>
      </c>
    </row>
    <row r="2724" spans="2:2" ht="15.5" x14ac:dyDescent="0.35">
      <c r="B2724" s="853">
        <v>347356.02649221715</v>
      </c>
    </row>
    <row r="2725" spans="2:2" ht="15.5" x14ac:dyDescent="0.35">
      <c r="B2725" s="853">
        <v>295187.83227399358</v>
      </c>
    </row>
    <row r="2726" spans="2:2" ht="15.5" x14ac:dyDescent="0.35">
      <c r="B2726" s="853">
        <v>397159.38164703676</v>
      </c>
    </row>
    <row r="2727" spans="2:2" ht="15.5" x14ac:dyDescent="0.35">
      <c r="B2727" s="853">
        <v>136509.94049845682</v>
      </c>
    </row>
    <row r="2728" spans="2:2" ht="15.5" x14ac:dyDescent="0.35">
      <c r="B2728" s="853">
        <v>331020.89540815388</v>
      </c>
    </row>
    <row r="2729" spans="2:2" ht="15.5" x14ac:dyDescent="0.35">
      <c r="B2729" s="853">
        <v>41961.996631507551</v>
      </c>
    </row>
    <row r="2730" spans="2:2" ht="15.5" x14ac:dyDescent="0.35">
      <c r="B2730" s="853">
        <v>275247.61308904755</v>
      </c>
    </row>
    <row r="2731" spans="2:2" ht="15.5" x14ac:dyDescent="0.35">
      <c r="B2731" s="853">
        <v>307853.23762601963</v>
      </c>
    </row>
    <row r="2732" spans="2:2" ht="15.5" x14ac:dyDescent="0.35">
      <c r="B2732" s="853">
        <v>133113.19841632067</v>
      </c>
    </row>
    <row r="2733" spans="2:2" ht="15.5" x14ac:dyDescent="0.35">
      <c r="B2733" s="853">
        <v>280342.99245226575</v>
      </c>
    </row>
    <row r="2734" spans="2:2" ht="15.5" x14ac:dyDescent="0.35">
      <c r="B2734" s="853">
        <v>484714.03591623012</v>
      </c>
    </row>
    <row r="2735" spans="2:2" ht="15.5" x14ac:dyDescent="0.35">
      <c r="B2735" s="853">
        <v>86390.613977796951</v>
      </c>
    </row>
    <row r="2736" spans="2:2" ht="15.5" x14ac:dyDescent="0.35">
      <c r="B2736" s="853">
        <v>139821.05714948924</v>
      </c>
    </row>
    <row r="2737" spans="2:2" ht="15.5" x14ac:dyDescent="0.35">
      <c r="B2737" s="853">
        <v>9876.1240677746318</v>
      </c>
    </row>
    <row r="2738" spans="2:2" ht="15.5" x14ac:dyDescent="0.35">
      <c r="B2738" s="853">
        <v>250197.12163479454</v>
      </c>
    </row>
    <row r="2739" spans="2:2" ht="15.5" x14ac:dyDescent="0.35">
      <c r="B2739" s="853">
        <v>288348.28164002631</v>
      </c>
    </row>
    <row r="2740" spans="2:2" ht="15.5" x14ac:dyDescent="0.35">
      <c r="B2740" s="853">
        <v>287105.74486386817</v>
      </c>
    </row>
    <row r="2741" spans="2:2" ht="15.5" x14ac:dyDescent="0.35">
      <c r="B2741" s="853">
        <v>323940.38776357169</v>
      </c>
    </row>
    <row r="2742" spans="2:2" ht="15.5" x14ac:dyDescent="0.35">
      <c r="B2742" s="853">
        <v>388668.90689332446</v>
      </c>
    </row>
    <row r="2743" spans="2:2" ht="15.5" x14ac:dyDescent="0.35">
      <c r="B2743" s="853">
        <v>178841.11338722063</v>
      </c>
    </row>
    <row r="2744" spans="2:2" ht="15.5" x14ac:dyDescent="0.35">
      <c r="B2744" s="853">
        <v>256377.14588383597</v>
      </c>
    </row>
    <row r="2745" spans="2:2" ht="15.5" x14ac:dyDescent="0.35">
      <c r="B2745" s="853">
        <v>205919.90942356468</v>
      </c>
    </row>
    <row r="2746" spans="2:2" ht="15.5" x14ac:dyDescent="0.35">
      <c r="B2746" s="853">
        <v>351354.44131593179</v>
      </c>
    </row>
    <row r="2747" spans="2:2" ht="15.5" x14ac:dyDescent="0.35">
      <c r="B2747" s="853">
        <v>-21655.525107925743</v>
      </c>
    </row>
    <row r="2748" spans="2:2" ht="15.5" x14ac:dyDescent="0.35">
      <c r="B2748" s="853">
        <v>390820.75490105205</v>
      </c>
    </row>
    <row r="2749" spans="2:2" ht="15.5" x14ac:dyDescent="0.35">
      <c r="B2749" s="853">
        <v>307896.12203848147</v>
      </c>
    </row>
    <row r="2750" spans="2:2" ht="15.5" x14ac:dyDescent="0.35">
      <c r="B2750" s="853">
        <v>360314.80739010096</v>
      </c>
    </row>
    <row r="2751" spans="2:2" ht="15.5" x14ac:dyDescent="0.35">
      <c r="B2751" s="853">
        <v>601938.9042691231</v>
      </c>
    </row>
    <row r="2752" spans="2:2" ht="15.5" x14ac:dyDescent="0.35">
      <c r="B2752" s="853">
        <v>218836.57855854282</v>
      </c>
    </row>
    <row r="2753" spans="2:2" ht="15.5" x14ac:dyDescent="0.35">
      <c r="B2753" s="853">
        <v>298337.39669826324</v>
      </c>
    </row>
    <row r="2754" spans="2:2" ht="15.5" x14ac:dyDescent="0.35">
      <c r="B2754" s="853">
        <v>599613.78592722572</v>
      </c>
    </row>
    <row r="2755" spans="2:2" ht="15.5" x14ac:dyDescent="0.35">
      <c r="B2755" s="853">
        <v>205130.36685233162</v>
      </c>
    </row>
    <row r="2756" spans="2:2" ht="15.5" x14ac:dyDescent="0.35">
      <c r="B2756" s="853">
        <v>445261.40033912077</v>
      </c>
    </row>
    <row r="2757" spans="2:2" ht="15.5" x14ac:dyDescent="0.35">
      <c r="B2757" s="853">
        <v>351909.83604448265</v>
      </c>
    </row>
    <row r="2758" spans="2:2" ht="15.5" x14ac:dyDescent="0.35">
      <c r="B2758" s="853">
        <v>64456.191716736961</v>
      </c>
    </row>
    <row r="2759" spans="2:2" ht="15.5" x14ac:dyDescent="0.35">
      <c r="B2759" s="853">
        <v>324272.50956652104</v>
      </c>
    </row>
    <row r="2760" spans="2:2" ht="15.5" x14ac:dyDescent="0.35">
      <c r="B2760" s="853">
        <v>21416.395425472092</v>
      </c>
    </row>
    <row r="2761" spans="2:2" ht="15.5" x14ac:dyDescent="0.35">
      <c r="B2761" s="853">
        <v>150204.22878123869</v>
      </c>
    </row>
    <row r="2762" spans="2:2" ht="15.5" x14ac:dyDescent="0.35">
      <c r="B2762" s="853">
        <v>149112.74586390401</v>
      </c>
    </row>
    <row r="2763" spans="2:2" ht="15.5" x14ac:dyDescent="0.35">
      <c r="B2763" s="853">
        <v>388189.71382929367</v>
      </c>
    </row>
    <row r="2764" spans="2:2" ht="15.5" x14ac:dyDescent="0.35">
      <c r="B2764" s="853">
        <v>216356.19801656384</v>
      </c>
    </row>
    <row r="2765" spans="2:2" ht="15.5" x14ac:dyDescent="0.35">
      <c r="B2765" s="853">
        <v>298790.742900596</v>
      </c>
    </row>
    <row r="2766" spans="2:2" ht="15.5" x14ac:dyDescent="0.35">
      <c r="B2766" s="853">
        <v>339723.3362177285</v>
      </c>
    </row>
    <row r="2767" spans="2:2" ht="15.5" x14ac:dyDescent="0.35">
      <c r="B2767" s="853">
        <v>-82854.096443093018</v>
      </c>
    </row>
    <row r="2768" spans="2:2" ht="15.5" x14ac:dyDescent="0.35">
      <c r="B2768" s="853">
        <v>469515.82949486229</v>
      </c>
    </row>
    <row r="2769" spans="2:2" ht="15.5" x14ac:dyDescent="0.35">
      <c r="B2769" s="853">
        <v>189982.33926311761</v>
      </c>
    </row>
    <row r="2770" spans="2:2" ht="15.5" x14ac:dyDescent="0.35">
      <c r="B2770" s="853">
        <v>162730.83280773129</v>
      </c>
    </row>
    <row r="2771" spans="2:2" ht="15.5" x14ac:dyDescent="0.35">
      <c r="B2771" s="853">
        <v>311304.96316304436</v>
      </c>
    </row>
    <row r="2772" spans="2:2" ht="15.5" x14ac:dyDescent="0.35">
      <c r="B2772" s="853">
        <v>118521.99615589307</v>
      </c>
    </row>
    <row r="2773" spans="2:2" ht="15.5" x14ac:dyDescent="0.35">
      <c r="B2773" s="853">
        <v>584411.03601932025</v>
      </c>
    </row>
    <row r="2774" spans="2:2" ht="15.5" x14ac:dyDescent="0.35">
      <c r="B2774" s="853">
        <v>143972.9883660356</v>
      </c>
    </row>
    <row r="2775" spans="2:2" ht="15.5" x14ac:dyDescent="0.35">
      <c r="B2775" s="853">
        <v>556370.16886151093</v>
      </c>
    </row>
    <row r="2776" spans="2:2" ht="15.5" x14ac:dyDescent="0.35">
      <c r="B2776" s="853">
        <v>320319.76576517412</v>
      </c>
    </row>
    <row r="2777" spans="2:2" ht="15.5" x14ac:dyDescent="0.35">
      <c r="B2777" s="853">
        <v>295472.72287159902</v>
      </c>
    </row>
    <row r="2778" spans="2:2" ht="15.5" x14ac:dyDescent="0.35">
      <c r="B2778" s="853">
        <v>323065.4833362205</v>
      </c>
    </row>
    <row r="2779" spans="2:2" ht="15.5" x14ac:dyDescent="0.35">
      <c r="B2779" s="853">
        <v>541337.55183879915</v>
      </c>
    </row>
    <row r="2780" spans="2:2" ht="15.5" x14ac:dyDescent="0.35">
      <c r="B2780" s="853">
        <v>348834.99022304092</v>
      </c>
    </row>
    <row r="2781" spans="2:2" ht="15.5" x14ac:dyDescent="0.35">
      <c r="B2781" s="853">
        <v>281667.08895828703</v>
      </c>
    </row>
    <row r="2782" spans="2:2" ht="15.5" x14ac:dyDescent="0.35">
      <c r="B2782" s="853">
        <v>289606.36222753744</v>
      </c>
    </row>
    <row r="2783" spans="2:2" ht="15.5" x14ac:dyDescent="0.35">
      <c r="B2783" s="853">
        <v>353070.73398924584</v>
      </c>
    </row>
    <row r="2784" spans="2:2" ht="15.5" x14ac:dyDescent="0.35">
      <c r="B2784" s="853">
        <v>444100.4131426008</v>
      </c>
    </row>
    <row r="2785" spans="2:2" ht="15.5" x14ac:dyDescent="0.35">
      <c r="B2785" s="853">
        <v>539667.57520416426</v>
      </c>
    </row>
    <row r="2786" spans="2:2" ht="15.5" x14ac:dyDescent="0.35">
      <c r="B2786" s="853">
        <v>225887.86856606707</v>
      </c>
    </row>
    <row r="2787" spans="2:2" ht="15.5" x14ac:dyDescent="0.35">
      <c r="B2787" s="853">
        <v>339095.89112508151</v>
      </c>
    </row>
    <row r="2788" spans="2:2" ht="15.5" x14ac:dyDescent="0.35">
      <c r="B2788" s="853">
        <v>214093.56636327237</v>
      </c>
    </row>
    <row r="2789" spans="2:2" ht="15.5" x14ac:dyDescent="0.35">
      <c r="B2789" s="853">
        <v>171008.20668536125</v>
      </c>
    </row>
    <row r="2790" spans="2:2" ht="15.5" x14ac:dyDescent="0.35">
      <c r="B2790" s="853">
        <v>404793.51722791581</v>
      </c>
    </row>
    <row r="2791" spans="2:2" ht="15.5" x14ac:dyDescent="0.35">
      <c r="B2791" s="853">
        <v>202944.06557175834</v>
      </c>
    </row>
    <row r="2792" spans="2:2" ht="15.5" x14ac:dyDescent="0.35">
      <c r="B2792" s="853">
        <v>397341.62005106464</v>
      </c>
    </row>
    <row r="2793" spans="2:2" ht="15.5" x14ac:dyDescent="0.35">
      <c r="B2793" s="853">
        <v>35337.190443691215</v>
      </c>
    </row>
    <row r="2794" spans="2:2" ht="15.5" x14ac:dyDescent="0.35">
      <c r="B2794" s="853">
        <v>359881.35682514921</v>
      </c>
    </row>
    <row r="2795" spans="2:2" ht="15.5" x14ac:dyDescent="0.35">
      <c r="B2795" s="853">
        <v>402915.00319337723</v>
      </c>
    </row>
    <row r="2796" spans="2:2" ht="15.5" x14ac:dyDescent="0.35">
      <c r="B2796" s="853">
        <v>214702.40081495701</v>
      </c>
    </row>
    <row r="2797" spans="2:2" ht="15.5" x14ac:dyDescent="0.35">
      <c r="B2797" s="853">
        <v>261577.99389230442</v>
      </c>
    </row>
    <row r="2798" spans="2:2" ht="15.5" x14ac:dyDescent="0.35">
      <c r="B2798" s="853">
        <v>570951.94328216859</v>
      </c>
    </row>
    <row r="2799" spans="2:2" ht="15.5" x14ac:dyDescent="0.35">
      <c r="B2799" s="853">
        <v>158278.21559391631</v>
      </c>
    </row>
    <row r="2800" spans="2:2" ht="15.5" x14ac:dyDescent="0.35">
      <c r="B2800" s="853">
        <v>245953.8979500464</v>
      </c>
    </row>
    <row r="2801" spans="2:2" ht="15.5" x14ac:dyDescent="0.35">
      <c r="B2801" s="853">
        <v>84149.018666496748</v>
      </c>
    </row>
    <row r="2802" spans="2:2" ht="15.5" x14ac:dyDescent="0.35">
      <c r="B2802" s="853">
        <v>544709.87495086761</v>
      </c>
    </row>
    <row r="2803" spans="2:2" ht="15.5" x14ac:dyDescent="0.35">
      <c r="B2803" s="853">
        <v>209183.0750980858</v>
      </c>
    </row>
    <row r="2804" spans="2:2" ht="15.5" x14ac:dyDescent="0.35">
      <c r="B2804" s="853">
        <v>422167.60285319731</v>
      </c>
    </row>
    <row r="2805" spans="2:2" ht="15.5" x14ac:dyDescent="0.35">
      <c r="B2805" s="853">
        <v>304501.18760418106</v>
      </c>
    </row>
    <row r="2806" spans="2:2" ht="15.5" x14ac:dyDescent="0.35">
      <c r="B2806" s="853">
        <v>121381.9779850153</v>
      </c>
    </row>
    <row r="2807" spans="2:2" ht="15.5" x14ac:dyDescent="0.35">
      <c r="B2807" s="853">
        <v>246261.24325895816</v>
      </c>
    </row>
    <row r="2808" spans="2:2" ht="15.5" x14ac:dyDescent="0.35">
      <c r="B2808" s="853">
        <v>421897.72231400671</v>
      </c>
    </row>
    <row r="2809" spans="2:2" ht="15.5" x14ac:dyDescent="0.35">
      <c r="B2809" s="853">
        <v>342942.93452423799</v>
      </c>
    </row>
    <row r="2810" spans="2:2" ht="15.5" x14ac:dyDescent="0.35">
      <c r="B2810" s="853">
        <v>228769.89559802343</v>
      </c>
    </row>
    <row r="2811" spans="2:2" ht="15.5" x14ac:dyDescent="0.35">
      <c r="B2811" s="853">
        <v>588714.10933307628</v>
      </c>
    </row>
    <row r="2812" spans="2:2" ht="15.5" x14ac:dyDescent="0.35">
      <c r="B2812" s="853">
        <v>436841.01050058781</v>
      </c>
    </row>
    <row r="2813" spans="2:2" ht="15.5" x14ac:dyDescent="0.35">
      <c r="B2813" s="853">
        <v>160587.81794573893</v>
      </c>
    </row>
    <row r="2814" spans="2:2" ht="15.5" x14ac:dyDescent="0.35">
      <c r="B2814" s="853">
        <v>178417.43977333614</v>
      </c>
    </row>
    <row r="2815" spans="2:2" ht="15.5" x14ac:dyDescent="0.35">
      <c r="B2815" s="853">
        <v>162599.2997433538</v>
      </c>
    </row>
    <row r="2816" spans="2:2" ht="15.5" x14ac:dyDescent="0.35">
      <c r="B2816" s="853">
        <v>270666.25492022146</v>
      </c>
    </row>
    <row r="2817" spans="2:2" ht="15.5" x14ac:dyDescent="0.35">
      <c r="B2817" s="853">
        <v>305470.16820376861</v>
      </c>
    </row>
    <row r="2818" spans="2:2" ht="15.5" x14ac:dyDescent="0.35">
      <c r="B2818" s="853">
        <v>382529.97243074968</v>
      </c>
    </row>
    <row r="2819" spans="2:2" ht="15.5" x14ac:dyDescent="0.35">
      <c r="B2819" s="853">
        <v>240050.79453161129</v>
      </c>
    </row>
    <row r="2820" spans="2:2" ht="15.5" x14ac:dyDescent="0.35">
      <c r="B2820" s="853">
        <v>94277.544992327617</v>
      </c>
    </row>
    <row r="2821" spans="2:2" ht="15.5" x14ac:dyDescent="0.35">
      <c r="B2821" s="853">
        <v>270313.88346652349</v>
      </c>
    </row>
    <row r="2822" spans="2:2" ht="15.5" x14ac:dyDescent="0.35">
      <c r="B2822" s="853">
        <v>338445.23723462515</v>
      </c>
    </row>
    <row r="2823" spans="2:2" ht="15.5" x14ac:dyDescent="0.35">
      <c r="B2823" s="853">
        <v>485176.13483174128</v>
      </c>
    </row>
    <row r="2824" spans="2:2" ht="15.5" x14ac:dyDescent="0.35">
      <c r="B2824" s="853">
        <v>285595.38085758965</v>
      </c>
    </row>
    <row r="2825" spans="2:2" ht="15.5" x14ac:dyDescent="0.35">
      <c r="B2825" s="853">
        <v>220906.22620267805</v>
      </c>
    </row>
    <row r="2826" spans="2:2" ht="15.5" x14ac:dyDescent="0.35">
      <c r="B2826" s="853">
        <v>85269.146815205779</v>
      </c>
    </row>
    <row r="2827" spans="2:2" ht="15.5" x14ac:dyDescent="0.35">
      <c r="B2827" s="853">
        <v>239420.82447844246</v>
      </c>
    </row>
    <row r="2828" spans="2:2" ht="15.5" x14ac:dyDescent="0.35">
      <c r="B2828" s="853">
        <v>465774.14322137466</v>
      </c>
    </row>
    <row r="2829" spans="2:2" ht="15.5" x14ac:dyDescent="0.35">
      <c r="B2829" s="853">
        <v>486973.12328255014</v>
      </c>
    </row>
    <row r="2830" spans="2:2" ht="15.5" x14ac:dyDescent="0.35">
      <c r="B2830" s="853">
        <v>279733.22536625876</v>
      </c>
    </row>
    <row r="2831" spans="2:2" ht="15.5" x14ac:dyDescent="0.35">
      <c r="B2831" s="853">
        <v>315027.52253366273</v>
      </c>
    </row>
    <row r="2832" spans="2:2" ht="15.5" x14ac:dyDescent="0.35">
      <c r="B2832" s="853">
        <v>342631.91299809696</v>
      </c>
    </row>
    <row r="2833" spans="2:2" ht="15.5" x14ac:dyDescent="0.35">
      <c r="B2833" s="853">
        <v>294121.18502725969</v>
      </c>
    </row>
    <row r="2834" spans="2:2" ht="15.5" x14ac:dyDescent="0.35">
      <c r="B2834" s="853">
        <v>360205.16349367291</v>
      </c>
    </row>
    <row r="2835" spans="2:2" ht="15.5" x14ac:dyDescent="0.35">
      <c r="B2835" s="853">
        <v>587579.51777201449</v>
      </c>
    </row>
    <row r="2836" spans="2:2" ht="15.5" x14ac:dyDescent="0.35">
      <c r="B2836" s="853">
        <v>154322.34589235063</v>
      </c>
    </row>
    <row r="2837" spans="2:2" ht="15.5" x14ac:dyDescent="0.35">
      <c r="B2837" s="853">
        <v>382535.04198357661</v>
      </c>
    </row>
    <row r="2838" spans="2:2" ht="15.5" x14ac:dyDescent="0.35">
      <c r="B2838" s="853">
        <v>122877.82063573759</v>
      </c>
    </row>
    <row r="2839" spans="2:2" ht="15.5" x14ac:dyDescent="0.35">
      <c r="B2839" s="853">
        <v>206804.26185426855</v>
      </c>
    </row>
    <row r="2840" spans="2:2" ht="15.5" x14ac:dyDescent="0.35">
      <c r="B2840" s="853">
        <v>185726.46136071684</v>
      </c>
    </row>
    <row r="2841" spans="2:2" ht="15.5" x14ac:dyDescent="0.35">
      <c r="B2841" s="853">
        <v>391477.091373695</v>
      </c>
    </row>
    <row r="2842" spans="2:2" ht="15.5" x14ac:dyDescent="0.35">
      <c r="B2842" s="853">
        <v>118577.28365548211</v>
      </c>
    </row>
    <row r="2843" spans="2:2" ht="15.5" x14ac:dyDescent="0.35">
      <c r="B2843" s="853">
        <v>581644.97399373853</v>
      </c>
    </row>
    <row r="2844" spans="2:2" ht="15.5" x14ac:dyDescent="0.35">
      <c r="B2844" s="853">
        <v>352625.22859515052</v>
      </c>
    </row>
    <row r="2845" spans="2:2" ht="15.5" x14ac:dyDescent="0.35">
      <c r="B2845" s="853">
        <v>281166.17044312559</v>
      </c>
    </row>
    <row r="2846" spans="2:2" ht="15.5" x14ac:dyDescent="0.35">
      <c r="B2846" s="853">
        <v>281264.00065756525</v>
      </c>
    </row>
    <row r="2847" spans="2:2" ht="15.5" x14ac:dyDescent="0.35">
      <c r="B2847" s="853">
        <v>135520.08517724648</v>
      </c>
    </row>
    <row r="2848" spans="2:2" ht="15.5" x14ac:dyDescent="0.35">
      <c r="B2848" s="853">
        <v>418914.72036860487</v>
      </c>
    </row>
    <row r="2849" spans="2:2" ht="15.5" x14ac:dyDescent="0.35">
      <c r="B2849" s="853">
        <v>412070.71889194084</v>
      </c>
    </row>
    <row r="2850" spans="2:2" ht="15.5" x14ac:dyDescent="0.35">
      <c r="B2850" s="853">
        <v>236790.58144663693</v>
      </c>
    </row>
    <row r="2851" spans="2:2" ht="15.5" x14ac:dyDescent="0.35">
      <c r="B2851" s="853">
        <v>398493.80513842619</v>
      </c>
    </row>
    <row r="2852" spans="2:2" ht="15.5" x14ac:dyDescent="0.35">
      <c r="B2852" s="853">
        <v>155023.51257486216</v>
      </c>
    </row>
    <row r="2853" spans="2:2" ht="15.5" x14ac:dyDescent="0.35">
      <c r="B2853" s="853">
        <v>423480.12885586661</v>
      </c>
    </row>
    <row r="2854" spans="2:2" ht="15.5" x14ac:dyDescent="0.35">
      <c r="B2854" s="853">
        <v>124351.80955678676</v>
      </c>
    </row>
    <row r="2855" spans="2:2" ht="15.5" x14ac:dyDescent="0.35">
      <c r="B2855" s="853">
        <v>579605.03170741512</v>
      </c>
    </row>
    <row r="2856" spans="2:2" ht="15.5" x14ac:dyDescent="0.35">
      <c r="B2856" s="853">
        <v>155045.34876910746</v>
      </c>
    </row>
    <row r="2857" spans="2:2" ht="15.5" x14ac:dyDescent="0.35">
      <c r="B2857" s="853">
        <v>303819.68739709444</v>
      </c>
    </row>
    <row r="2858" spans="2:2" ht="15.5" x14ac:dyDescent="0.35">
      <c r="B2858" s="853">
        <v>245052.44204798626</v>
      </c>
    </row>
    <row r="2859" spans="2:2" ht="15.5" x14ac:dyDescent="0.35">
      <c r="B2859" s="853">
        <v>136393.94736690039</v>
      </c>
    </row>
    <row r="2860" spans="2:2" ht="15.5" x14ac:dyDescent="0.35">
      <c r="B2860" s="853">
        <v>59765.697789788253</v>
      </c>
    </row>
    <row r="2861" spans="2:2" ht="15.5" x14ac:dyDescent="0.35">
      <c r="B2861" s="853">
        <v>426417.10462156124</v>
      </c>
    </row>
    <row r="2862" spans="2:2" ht="15.5" x14ac:dyDescent="0.35">
      <c r="B2862" s="853">
        <v>68970.835445939156</v>
      </c>
    </row>
    <row r="2863" spans="2:2" ht="15.5" x14ac:dyDescent="0.35">
      <c r="B2863" s="853">
        <v>182588.62769215932</v>
      </c>
    </row>
    <row r="2864" spans="2:2" ht="15.5" x14ac:dyDescent="0.35">
      <c r="B2864" s="853">
        <v>241007.8037221675</v>
      </c>
    </row>
    <row r="2865" spans="2:2" ht="15.5" x14ac:dyDescent="0.35">
      <c r="B2865" s="853">
        <v>309142.62981241423</v>
      </c>
    </row>
    <row r="2866" spans="2:2" ht="15.5" x14ac:dyDescent="0.35">
      <c r="B2866" s="853">
        <v>289166.71879109106</v>
      </c>
    </row>
    <row r="2867" spans="2:2" ht="15.5" x14ac:dyDescent="0.35">
      <c r="B2867" s="853">
        <v>230182.79220639844</v>
      </c>
    </row>
    <row r="2868" spans="2:2" ht="15.5" x14ac:dyDescent="0.35">
      <c r="B2868" s="853">
        <v>153045.22262626517</v>
      </c>
    </row>
    <row r="2869" spans="2:2" ht="15.5" x14ac:dyDescent="0.35">
      <c r="B2869" s="853">
        <v>447201.81784086005</v>
      </c>
    </row>
    <row r="2870" spans="2:2" ht="15.5" x14ac:dyDescent="0.35">
      <c r="B2870" s="853">
        <v>294856.3528215313</v>
      </c>
    </row>
    <row r="2871" spans="2:2" ht="15.5" x14ac:dyDescent="0.35">
      <c r="B2871" s="853">
        <v>265438.62371022662</v>
      </c>
    </row>
    <row r="2872" spans="2:2" ht="15.5" x14ac:dyDescent="0.35">
      <c r="B2872" s="853">
        <v>224820.22141744927</v>
      </c>
    </row>
    <row r="2873" spans="2:2" ht="15.5" x14ac:dyDescent="0.35">
      <c r="B2873" s="853">
        <v>185282.0255369505</v>
      </c>
    </row>
    <row r="2874" spans="2:2" ht="15.5" x14ac:dyDescent="0.35">
      <c r="B2874" s="853">
        <v>364428.69047175278</v>
      </c>
    </row>
    <row r="2875" spans="2:2" ht="15.5" x14ac:dyDescent="0.35">
      <c r="B2875" s="853">
        <v>293551.30146801274</v>
      </c>
    </row>
    <row r="2876" spans="2:2" ht="15.5" x14ac:dyDescent="0.35">
      <c r="B2876" s="853">
        <v>196501.99845072281</v>
      </c>
    </row>
    <row r="2877" spans="2:2" ht="15.5" x14ac:dyDescent="0.35">
      <c r="B2877" s="853">
        <v>85905.287901017655</v>
      </c>
    </row>
    <row r="2878" spans="2:2" ht="15.5" x14ac:dyDescent="0.35">
      <c r="B2878" s="853">
        <v>-71161.295289536502</v>
      </c>
    </row>
    <row r="2879" spans="2:2" ht="15.5" x14ac:dyDescent="0.35">
      <c r="B2879" s="853">
        <v>286128.38502396591</v>
      </c>
    </row>
    <row r="2880" spans="2:2" ht="15.5" x14ac:dyDescent="0.35">
      <c r="B2880" s="853">
        <v>169363.65520803211</v>
      </c>
    </row>
    <row r="2881" spans="2:2" ht="15.5" x14ac:dyDescent="0.35">
      <c r="B2881" s="853">
        <v>212546.77860509706</v>
      </c>
    </row>
    <row r="2882" spans="2:2" ht="15.5" x14ac:dyDescent="0.35">
      <c r="B2882" s="853">
        <v>601292.09764575143</v>
      </c>
    </row>
    <row r="2883" spans="2:2" ht="15.5" x14ac:dyDescent="0.35">
      <c r="B2883" s="853">
        <v>470834.58139955864</v>
      </c>
    </row>
    <row r="2884" spans="2:2" ht="15.5" x14ac:dyDescent="0.35">
      <c r="B2884" s="853">
        <v>355548.46559119085</v>
      </c>
    </row>
    <row r="2885" spans="2:2" ht="15.5" x14ac:dyDescent="0.35">
      <c r="B2885" s="853">
        <v>407944.43182328367</v>
      </c>
    </row>
    <row r="2886" spans="2:2" ht="15.5" x14ac:dyDescent="0.35">
      <c r="B2886" s="853">
        <v>112026.13822110591</v>
      </c>
    </row>
    <row r="2887" spans="2:2" ht="15.5" x14ac:dyDescent="0.35">
      <c r="B2887" s="853">
        <v>150369.94337965734</v>
      </c>
    </row>
    <row r="2888" spans="2:2" ht="15.5" x14ac:dyDescent="0.35">
      <c r="B2888" s="853">
        <v>612387.68737775518</v>
      </c>
    </row>
    <row r="2889" spans="2:2" ht="15.5" x14ac:dyDescent="0.35">
      <c r="B2889" s="853">
        <v>361658.99342476868</v>
      </c>
    </row>
    <row r="2890" spans="2:2" ht="15.5" x14ac:dyDescent="0.35">
      <c r="B2890" s="853">
        <v>289383.65752245946</v>
      </c>
    </row>
    <row r="2891" spans="2:2" ht="15.5" x14ac:dyDescent="0.35">
      <c r="B2891" s="853">
        <v>120401.0150431704</v>
      </c>
    </row>
    <row r="2892" spans="2:2" ht="15.5" x14ac:dyDescent="0.35">
      <c r="B2892" s="853">
        <v>340006.49381756631</v>
      </c>
    </row>
    <row r="2893" spans="2:2" ht="15.5" x14ac:dyDescent="0.35">
      <c r="B2893" s="853">
        <v>302689.43296346534</v>
      </c>
    </row>
    <row r="2894" spans="2:2" ht="15.5" x14ac:dyDescent="0.35">
      <c r="B2894" s="853">
        <v>542779.577584635</v>
      </c>
    </row>
    <row r="2895" spans="2:2" ht="15.5" x14ac:dyDescent="0.35">
      <c r="B2895" s="853">
        <v>465109.09558347979</v>
      </c>
    </row>
    <row r="2896" spans="2:2" ht="15.5" x14ac:dyDescent="0.35">
      <c r="B2896" s="853">
        <v>350344.84323917329</v>
      </c>
    </row>
    <row r="2897" spans="2:2" ht="15.5" x14ac:dyDescent="0.35">
      <c r="B2897" s="853">
        <v>486959.01866704546</v>
      </c>
    </row>
    <row r="2898" spans="2:2" ht="15.5" x14ac:dyDescent="0.35">
      <c r="B2898" s="853">
        <v>605049.23779912759</v>
      </c>
    </row>
    <row r="2899" spans="2:2" ht="15.5" x14ac:dyDescent="0.35">
      <c r="B2899" s="853">
        <v>128062.9084807961</v>
      </c>
    </row>
    <row r="2900" spans="2:2" ht="15.5" x14ac:dyDescent="0.35">
      <c r="B2900" s="853">
        <v>306995.90578412748</v>
      </c>
    </row>
    <row r="2901" spans="2:2" ht="15.5" x14ac:dyDescent="0.35">
      <c r="B2901" s="853">
        <v>368651.36639996461</v>
      </c>
    </row>
    <row r="2902" spans="2:2" ht="15.5" x14ac:dyDescent="0.35">
      <c r="B2902" s="853">
        <v>309265.65960795508</v>
      </c>
    </row>
    <row r="2903" spans="2:2" ht="15.5" x14ac:dyDescent="0.35">
      <c r="B2903" s="853">
        <v>202356.58911231341</v>
      </c>
    </row>
    <row r="2904" spans="2:2" ht="15.5" x14ac:dyDescent="0.35">
      <c r="B2904" s="853">
        <v>277018.19713353273</v>
      </c>
    </row>
    <row r="2905" spans="2:2" ht="15.5" x14ac:dyDescent="0.35">
      <c r="B2905" s="853">
        <v>437062.80807308416</v>
      </c>
    </row>
    <row r="2906" spans="2:2" ht="15.5" x14ac:dyDescent="0.35">
      <c r="B2906" s="853">
        <v>432037.31457554904</v>
      </c>
    </row>
    <row r="2907" spans="2:2" ht="15.5" x14ac:dyDescent="0.35">
      <c r="B2907" s="853">
        <v>327163.1389422114</v>
      </c>
    </row>
    <row r="2908" spans="2:2" ht="15.5" x14ac:dyDescent="0.35">
      <c r="B2908" s="853">
        <v>489932.02951779152</v>
      </c>
    </row>
    <row r="2909" spans="2:2" ht="15.5" x14ac:dyDescent="0.35">
      <c r="B2909" s="853">
        <v>309853.1761374817</v>
      </c>
    </row>
    <row r="2910" spans="2:2" ht="15.5" x14ac:dyDescent="0.35">
      <c r="B2910" s="853">
        <v>385108.47836705734</v>
      </c>
    </row>
    <row r="2911" spans="2:2" ht="15.5" x14ac:dyDescent="0.35">
      <c r="B2911" s="853">
        <v>194072.78284431109</v>
      </c>
    </row>
    <row r="2912" spans="2:2" ht="15.5" x14ac:dyDescent="0.35">
      <c r="B2912" s="853">
        <v>325427.66092892515</v>
      </c>
    </row>
    <row r="2913" spans="2:2" ht="15.5" x14ac:dyDescent="0.35">
      <c r="B2913" s="853">
        <v>492229.07803044881</v>
      </c>
    </row>
    <row r="2914" spans="2:2" ht="15.5" x14ac:dyDescent="0.35">
      <c r="B2914" s="853">
        <v>454304.46135508938</v>
      </c>
    </row>
    <row r="2915" spans="2:2" ht="15.5" x14ac:dyDescent="0.35">
      <c r="B2915" s="853">
        <v>-2197.8497208449526</v>
      </c>
    </row>
    <row r="2916" spans="2:2" ht="15.5" x14ac:dyDescent="0.35">
      <c r="B2916" s="853">
        <v>200578.74006755769</v>
      </c>
    </row>
    <row r="2917" spans="2:2" ht="15.5" x14ac:dyDescent="0.35">
      <c r="B2917" s="853">
        <v>335966.42920449004</v>
      </c>
    </row>
    <row r="2918" spans="2:2" ht="15.5" x14ac:dyDescent="0.35">
      <c r="B2918" s="853">
        <v>365035.41047027969</v>
      </c>
    </row>
    <row r="2919" spans="2:2" ht="15.5" x14ac:dyDescent="0.35">
      <c r="B2919" s="853">
        <v>49943.434549222584</v>
      </c>
    </row>
    <row r="2920" spans="2:2" ht="15.5" x14ac:dyDescent="0.35">
      <c r="B2920" s="853">
        <v>367416.34738799121</v>
      </c>
    </row>
    <row r="2921" spans="2:2" ht="15.5" x14ac:dyDescent="0.35">
      <c r="B2921" s="853">
        <v>488463.85624199861</v>
      </c>
    </row>
    <row r="2922" spans="2:2" ht="15.5" x14ac:dyDescent="0.35">
      <c r="B2922" s="853">
        <v>561850.8886478988</v>
      </c>
    </row>
    <row r="2923" spans="2:2" ht="15.5" x14ac:dyDescent="0.35">
      <c r="B2923" s="853">
        <v>198841.63771954487</v>
      </c>
    </row>
    <row r="2924" spans="2:2" ht="15.5" x14ac:dyDescent="0.35">
      <c r="B2924" s="853">
        <v>563038.7471414021</v>
      </c>
    </row>
    <row r="2925" spans="2:2" ht="15.5" x14ac:dyDescent="0.35">
      <c r="B2925" s="853">
        <v>282045.33942593593</v>
      </c>
    </row>
    <row r="2926" spans="2:2" ht="15.5" x14ac:dyDescent="0.35">
      <c r="B2926" s="853">
        <v>408566.8314486827</v>
      </c>
    </row>
    <row r="2927" spans="2:2" ht="15.5" x14ac:dyDescent="0.35">
      <c r="B2927" s="853">
        <v>221998.37695299706</v>
      </c>
    </row>
    <row r="2928" spans="2:2" ht="15.5" x14ac:dyDescent="0.35">
      <c r="B2928" s="853">
        <v>-46861.334884997872</v>
      </c>
    </row>
    <row r="2929" spans="2:2" ht="15.5" x14ac:dyDescent="0.35">
      <c r="B2929" s="853">
        <v>131990.59550102256</v>
      </c>
    </row>
    <row r="2930" spans="2:2" ht="15.5" x14ac:dyDescent="0.35">
      <c r="B2930" s="853">
        <v>497600.72304062702</v>
      </c>
    </row>
    <row r="2931" spans="2:2" ht="15.5" x14ac:dyDescent="0.35">
      <c r="B2931" s="853">
        <v>291459.48928113317</v>
      </c>
    </row>
    <row r="2932" spans="2:2" ht="15.5" x14ac:dyDescent="0.35">
      <c r="B2932" s="853">
        <v>283139.87009542412</v>
      </c>
    </row>
    <row r="2933" spans="2:2" ht="15.5" x14ac:dyDescent="0.35">
      <c r="B2933" s="853">
        <v>347565.14805935865</v>
      </c>
    </row>
    <row r="2934" spans="2:2" ht="15.5" x14ac:dyDescent="0.35">
      <c r="B2934" s="853">
        <v>345901.59943158762</v>
      </c>
    </row>
    <row r="2935" spans="2:2" ht="15.5" x14ac:dyDescent="0.35">
      <c r="B2935" s="853">
        <v>369287.01619153243</v>
      </c>
    </row>
    <row r="2936" spans="2:2" ht="15.5" x14ac:dyDescent="0.35">
      <c r="B2936" s="853">
        <v>280943.75474714785</v>
      </c>
    </row>
    <row r="2937" spans="2:2" ht="15.5" x14ac:dyDescent="0.35">
      <c r="B2937" s="853">
        <v>211509.23858430923</v>
      </c>
    </row>
    <row r="2938" spans="2:2" ht="15.5" x14ac:dyDescent="0.35">
      <c r="B2938" s="853">
        <v>368283.06877628865</v>
      </c>
    </row>
    <row r="2939" spans="2:2" ht="15.5" x14ac:dyDescent="0.35">
      <c r="B2939" s="853">
        <v>489724.7622440657</v>
      </c>
    </row>
    <row r="2940" spans="2:2" ht="15.5" x14ac:dyDescent="0.35">
      <c r="B2940" s="853">
        <v>294361.0851520705</v>
      </c>
    </row>
    <row r="2941" spans="2:2" ht="15.5" x14ac:dyDescent="0.35">
      <c r="B2941" s="853">
        <v>335336.85727777937</v>
      </c>
    </row>
    <row r="2942" spans="2:2" ht="15.5" x14ac:dyDescent="0.35">
      <c r="B2942" s="853">
        <v>291723.491347084</v>
      </c>
    </row>
    <row r="2943" spans="2:2" ht="15.5" x14ac:dyDescent="0.35">
      <c r="B2943" s="853">
        <v>148769.26802898865</v>
      </c>
    </row>
    <row r="2944" spans="2:2" ht="15.5" x14ac:dyDescent="0.35">
      <c r="B2944" s="853">
        <v>521464.48942055</v>
      </c>
    </row>
    <row r="2945" spans="2:2" ht="15.5" x14ac:dyDescent="0.35">
      <c r="B2945" s="853">
        <v>183603.44176931871</v>
      </c>
    </row>
    <row r="2946" spans="2:2" ht="15.5" x14ac:dyDescent="0.35">
      <c r="B2946" s="853">
        <v>273419.85046888259</v>
      </c>
    </row>
    <row r="2947" spans="2:2" ht="15.5" x14ac:dyDescent="0.35">
      <c r="B2947" s="853">
        <v>254357.34504114682</v>
      </c>
    </row>
    <row r="2948" spans="2:2" ht="15.5" x14ac:dyDescent="0.35">
      <c r="B2948" s="853">
        <v>234375.11609461877</v>
      </c>
    </row>
    <row r="2949" spans="2:2" ht="15.5" x14ac:dyDescent="0.35">
      <c r="B2949" s="853">
        <v>398073.10157431074</v>
      </c>
    </row>
    <row r="2950" spans="2:2" ht="15.5" x14ac:dyDescent="0.35">
      <c r="B2950" s="853">
        <v>190112.22803403967</v>
      </c>
    </row>
    <row r="2951" spans="2:2" ht="15.5" x14ac:dyDescent="0.35">
      <c r="B2951" s="853">
        <v>648021.17453523714</v>
      </c>
    </row>
    <row r="2952" spans="2:2" ht="15.5" x14ac:dyDescent="0.35">
      <c r="B2952" s="853">
        <v>377108.17520923913</v>
      </c>
    </row>
    <row r="2953" spans="2:2" ht="15.5" x14ac:dyDescent="0.35">
      <c r="B2953" s="853">
        <v>267451.05412130099</v>
      </c>
    </row>
    <row r="2954" spans="2:2" ht="15.5" x14ac:dyDescent="0.35">
      <c r="B2954" s="853">
        <v>225351.40312750402</v>
      </c>
    </row>
    <row r="2955" spans="2:2" ht="15.5" x14ac:dyDescent="0.35">
      <c r="B2955" s="853">
        <v>333797.25484679604</v>
      </c>
    </row>
    <row r="2956" spans="2:2" ht="15.5" x14ac:dyDescent="0.35">
      <c r="B2956" s="853">
        <v>95997.000724921003</v>
      </c>
    </row>
    <row r="2957" spans="2:2" ht="15.5" x14ac:dyDescent="0.35">
      <c r="B2957" s="853">
        <v>539168.89724617254</v>
      </c>
    </row>
    <row r="2958" spans="2:2" ht="15.5" x14ac:dyDescent="0.35">
      <c r="B2958" s="853">
        <v>246248.09815021572</v>
      </c>
    </row>
    <row r="2959" spans="2:2" ht="15.5" x14ac:dyDescent="0.35">
      <c r="B2959" s="853">
        <v>419123.15938423976</v>
      </c>
    </row>
    <row r="2960" spans="2:2" ht="15.5" x14ac:dyDescent="0.35">
      <c r="B2960" s="853">
        <v>134812.26320455575</v>
      </c>
    </row>
    <row r="2961" spans="2:2" ht="15.5" x14ac:dyDescent="0.35">
      <c r="B2961" s="853">
        <v>-11438.326094831822</v>
      </c>
    </row>
    <row r="2962" spans="2:2" ht="15.5" x14ac:dyDescent="0.35">
      <c r="B2962" s="853">
        <v>595741.91841109365</v>
      </c>
    </row>
    <row r="2963" spans="2:2" ht="15.5" x14ac:dyDescent="0.35">
      <c r="B2963" s="853">
        <v>168541.9686838488</v>
      </c>
    </row>
    <row r="2964" spans="2:2" ht="15.5" x14ac:dyDescent="0.35">
      <c r="B2964" s="853">
        <v>285106.24529907136</v>
      </c>
    </row>
    <row r="2965" spans="2:2" ht="15.5" x14ac:dyDescent="0.35">
      <c r="B2965" s="853">
        <v>-64669.425513388371</v>
      </c>
    </row>
    <row r="2966" spans="2:2" ht="15.5" x14ac:dyDescent="0.35">
      <c r="B2966" s="853">
        <v>313835.07312745356</v>
      </c>
    </row>
    <row r="2967" spans="2:2" ht="15.5" x14ac:dyDescent="0.35">
      <c r="B2967" s="853">
        <v>415602.53792829724</v>
      </c>
    </row>
    <row r="2968" spans="2:2" ht="15.5" x14ac:dyDescent="0.35">
      <c r="B2968" s="853">
        <v>344797.62670308747</v>
      </c>
    </row>
    <row r="2969" spans="2:2" ht="15.5" x14ac:dyDescent="0.35">
      <c r="B2969" s="853">
        <v>499067.97217173828</v>
      </c>
    </row>
    <row r="2970" spans="2:2" ht="15.5" x14ac:dyDescent="0.35">
      <c r="B2970" s="853">
        <v>311536.34018866962</v>
      </c>
    </row>
    <row r="2971" spans="2:2" ht="15.5" x14ac:dyDescent="0.35">
      <c r="B2971" s="853">
        <v>250158.63275431583</v>
      </c>
    </row>
    <row r="2972" spans="2:2" ht="15.5" x14ac:dyDescent="0.35">
      <c r="B2972" s="853">
        <v>122576.42446621059</v>
      </c>
    </row>
    <row r="2973" spans="2:2" ht="15.5" x14ac:dyDescent="0.35">
      <c r="B2973" s="853">
        <v>434613.14115413808</v>
      </c>
    </row>
    <row r="2974" spans="2:2" ht="15.5" x14ac:dyDescent="0.35">
      <c r="B2974" s="853">
        <v>377182.03988751076</v>
      </c>
    </row>
    <row r="2975" spans="2:2" ht="15.5" x14ac:dyDescent="0.35">
      <c r="B2975" s="853">
        <v>100319.81536420535</v>
      </c>
    </row>
    <row r="2976" spans="2:2" ht="15.5" x14ac:dyDescent="0.35">
      <c r="B2976" s="853">
        <v>331032.60560775781</v>
      </c>
    </row>
    <row r="2977" spans="2:2" ht="15.5" x14ac:dyDescent="0.35">
      <c r="B2977" s="853">
        <v>231751.75733128097</v>
      </c>
    </row>
    <row r="2978" spans="2:2" ht="15.5" x14ac:dyDescent="0.35">
      <c r="B2978" s="853">
        <v>464950.64087644318</v>
      </c>
    </row>
    <row r="2979" spans="2:2" ht="15.5" x14ac:dyDescent="0.35">
      <c r="B2979" s="853">
        <v>349677.94070523256</v>
      </c>
    </row>
    <row r="2980" spans="2:2" ht="15.5" x14ac:dyDescent="0.35">
      <c r="B2980" s="853">
        <v>126973.6528725493</v>
      </c>
    </row>
    <row r="2981" spans="2:2" ht="15.5" x14ac:dyDescent="0.35">
      <c r="B2981" s="853">
        <v>222887.27060192885</v>
      </c>
    </row>
    <row r="2982" spans="2:2" ht="15.5" x14ac:dyDescent="0.35">
      <c r="B2982" s="853">
        <v>88359.116540744231</v>
      </c>
    </row>
    <row r="2983" spans="2:2" ht="15.5" x14ac:dyDescent="0.35">
      <c r="B2983" s="853">
        <v>292582.58959462162</v>
      </c>
    </row>
    <row r="2984" spans="2:2" ht="15.5" x14ac:dyDescent="0.35">
      <c r="B2984" s="853">
        <v>279898.51884955191</v>
      </c>
    </row>
    <row r="2985" spans="2:2" ht="15.5" x14ac:dyDescent="0.35">
      <c r="B2985" s="853">
        <v>425011.84250568255</v>
      </c>
    </row>
    <row r="2986" spans="2:2" ht="15.5" x14ac:dyDescent="0.35">
      <c r="B2986" s="853">
        <v>210182.52519221199</v>
      </c>
    </row>
    <row r="2987" spans="2:2" ht="15.5" x14ac:dyDescent="0.35">
      <c r="B2987" s="853">
        <v>313548.68131118146</v>
      </c>
    </row>
    <row r="2988" spans="2:2" ht="15.5" x14ac:dyDescent="0.35">
      <c r="B2988" s="853">
        <v>469622.61992792255</v>
      </c>
    </row>
    <row r="2989" spans="2:2" ht="15.5" x14ac:dyDescent="0.35">
      <c r="B2989" s="853">
        <v>-41160.141245458501</v>
      </c>
    </row>
    <row r="2990" spans="2:2" ht="15.5" x14ac:dyDescent="0.35">
      <c r="B2990" s="853">
        <v>508457.64775511832</v>
      </c>
    </row>
    <row r="2991" spans="2:2" ht="15.5" x14ac:dyDescent="0.35">
      <c r="B2991" s="853">
        <v>278016.21699306776</v>
      </c>
    </row>
    <row r="2992" spans="2:2" ht="15.5" x14ac:dyDescent="0.35">
      <c r="B2992" s="853">
        <v>531894.09738266666</v>
      </c>
    </row>
    <row r="2993" spans="2:2" ht="15.5" x14ac:dyDescent="0.35">
      <c r="B2993" s="853">
        <v>73398.629489015264</v>
      </c>
    </row>
    <row r="2994" spans="2:2" ht="15.5" x14ac:dyDescent="0.35">
      <c r="B2994" s="853">
        <v>149987.62107222894</v>
      </c>
    </row>
    <row r="2995" spans="2:2" ht="15.5" x14ac:dyDescent="0.35">
      <c r="B2995" s="853">
        <v>-9543.6339131152599</v>
      </c>
    </row>
    <row r="2996" spans="2:2" ht="15.5" x14ac:dyDescent="0.35">
      <c r="B2996" s="853">
        <v>166267.15914776208</v>
      </c>
    </row>
    <row r="2997" spans="2:2" ht="15.5" x14ac:dyDescent="0.35">
      <c r="B2997" s="853">
        <v>456621.0968431271</v>
      </c>
    </row>
    <row r="2998" spans="2:2" ht="15.5" x14ac:dyDescent="0.35">
      <c r="B2998" s="853">
        <v>343786.88534930104</v>
      </c>
    </row>
    <row r="2999" spans="2:2" ht="15.5" x14ac:dyDescent="0.35">
      <c r="B2999" s="853">
        <v>466315.95115772035</v>
      </c>
    </row>
    <row r="3000" spans="2:2" ht="15.5" x14ac:dyDescent="0.35">
      <c r="B3000" s="853">
        <v>365952.83412863419</v>
      </c>
    </row>
    <row r="3001" spans="2:2" ht="15.5" x14ac:dyDescent="0.35">
      <c r="B3001" s="853">
        <v>337290.94944012363</v>
      </c>
    </row>
    <row r="3002" spans="2:2" ht="15.5" x14ac:dyDescent="0.35">
      <c r="B3002" s="853">
        <v>188421.52190936718</v>
      </c>
    </row>
    <row r="3003" spans="2:2" ht="15.5" x14ac:dyDescent="0.35">
      <c r="B3003" s="853">
        <v>570034.82865324023</v>
      </c>
    </row>
    <row r="3004" spans="2:2" ht="15.5" x14ac:dyDescent="0.35">
      <c r="B3004" s="853">
        <v>310840.32273577678</v>
      </c>
    </row>
    <row r="3005" spans="2:2" ht="15.5" x14ac:dyDescent="0.35">
      <c r="B3005" s="853">
        <v>26968.381936349957</v>
      </c>
    </row>
    <row r="3006" spans="2:2" ht="15.5" x14ac:dyDescent="0.35">
      <c r="B3006" s="853">
        <v>313812.32128763589</v>
      </c>
    </row>
    <row r="3007" spans="2:2" ht="15.5" x14ac:dyDescent="0.35">
      <c r="B3007" s="853">
        <v>408371.8817030674</v>
      </c>
    </row>
    <row r="3008" spans="2:2" ht="15.5" x14ac:dyDescent="0.35">
      <c r="B3008" s="853">
        <v>96247.832783447084</v>
      </c>
    </row>
    <row r="3009" spans="2:2" ht="15.5" x14ac:dyDescent="0.35">
      <c r="B3009" s="853">
        <v>91305.766786852066</v>
      </c>
    </row>
    <row r="3010" spans="2:2" ht="15.5" x14ac:dyDescent="0.35">
      <c r="B3010" s="853">
        <v>338096.97357566666</v>
      </c>
    </row>
    <row r="3011" spans="2:2" ht="15.5" x14ac:dyDescent="0.35">
      <c r="B3011" s="853">
        <v>105457.61576924995</v>
      </c>
    </row>
    <row r="3012" spans="2:2" ht="15.5" x14ac:dyDescent="0.35">
      <c r="B3012" s="853">
        <v>489015.71386385075</v>
      </c>
    </row>
    <row r="3013" spans="2:2" ht="15.5" x14ac:dyDescent="0.35">
      <c r="B3013" s="853">
        <v>125340.73535769481</v>
      </c>
    </row>
    <row r="3014" spans="2:2" ht="15.5" x14ac:dyDescent="0.35">
      <c r="B3014" s="853">
        <v>198584.56864622523</v>
      </c>
    </row>
    <row r="3015" spans="2:2" ht="15.5" x14ac:dyDescent="0.35">
      <c r="B3015" s="853">
        <v>282306.34661860304</v>
      </c>
    </row>
    <row r="3016" spans="2:2" ht="15.5" x14ac:dyDescent="0.35">
      <c r="B3016" s="853">
        <v>160968.19812738406</v>
      </c>
    </row>
    <row r="3017" spans="2:2" ht="15.5" x14ac:dyDescent="0.35">
      <c r="B3017" s="853">
        <v>161930.78355534867</v>
      </c>
    </row>
    <row r="3018" spans="2:2" ht="15.5" x14ac:dyDescent="0.35">
      <c r="B3018" s="853">
        <v>31781.125948507441</v>
      </c>
    </row>
    <row r="3019" spans="2:2" ht="15.5" x14ac:dyDescent="0.35">
      <c r="B3019" s="853">
        <v>29293.864119560418</v>
      </c>
    </row>
    <row r="3020" spans="2:2" ht="15.5" x14ac:dyDescent="0.35">
      <c r="B3020" s="853">
        <v>277365.02851275925</v>
      </c>
    </row>
    <row r="3021" spans="2:2" ht="15.5" x14ac:dyDescent="0.35">
      <c r="B3021" s="853">
        <v>486250.97000379628</v>
      </c>
    </row>
    <row r="3022" spans="2:2" ht="15.5" x14ac:dyDescent="0.35">
      <c r="B3022" s="853">
        <v>132206.06569193234</v>
      </c>
    </row>
    <row r="3023" spans="2:2" ht="15.5" x14ac:dyDescent="0.35">
      <c r="B3023" s="853">
        <v>278980.04562266322</v>
      </c>
    </row>
    <row r="3024" spans="2:2" ht="15.5" x14ac:dyDescent="0.35">
      <c r="B3024" s="853">
        <v>315420.85881938401</v>
      </c>
    </row>
    <row r="3025" spans="2:2" ht="15.5" x14ac:dyDescent="0.35">
      <c r="B3025" s="853">
        <v>568737.19642963714</v>
      </c>
    </row>
    <row r="3026" spans="2:2" ht="15.5" x14ac:dyDescent="0.35">
      <c r="B3026" s="853">
        <v>312173.61653751903</v>
      </c>
    </row>
    <row r="3027" spans="2:2" ht="15.5" x14ac:dyDescent="0.35">
      <c r="B3027" s="853">
        <v>609287.47212020343</v>
      </c>
    </row>
    <row r="3028" spans="2:2" ht="15.5" x14ac:dyDescent="0.35">
      <c r="B3028" s="853">
        <v>318488.94427961373</v>
      </c>
    </row>
    <row r="3029" spans="2:2" ht="15.5" x14ac:dyDescent="0.35">
      <c r="B3029" s="853">
        <v>184153.43757800452</v>
      </c>
    </row>
    <row r="3030" spans="2:2" ht="15.5" x14ac:dyDescent="0.35">
      <c r="B3030" s="853">
        <v>382507.71592641139</v>
      </c>
    </row>
    <row r="3031" spans="2:2" ht="15.5" x14ac:dyDescent="0.35">
      <c r="B3031" s="853">
        <v>348479.04833374667</v>
      </c>
    </row>
    <row r="3032" spans="2:2" ht="15.5" x14ac:dyDescent="0.35">
      <c r="B3032" s="853">
        <v>417252.86955833808</v>
      </c>
    </row>
    <row r="3033" spans="2:2" ht="15.5" x14ac:dyDescent="0.35">
      <c r="B3033" s="853">
        <v>92902.598469073288</v>
      </c>
    </row>
    <row r="3034" spans="2:2" ht="15.5" x14ac:dyDescent="0.35">
      <c r="B3034" s="853">
        <v>359322.88206281251</v>
      </c>
    </row>
    <row r="3035" spans="2:2" ht="15.5" x14ac:dyDescent="0.35">
      <c r="B3035" s="853">
        <v>207041.24351724589</v>
      </c>
    </row>
    <row r="3036" spans="2:2" ht="15.5" x14ac:dyDescent="0.35">
      <c r="B3036" s="853">
        <v>340573.77004165953</v>
      </c>
    </row>
    <row r="3037" spans="2:2" ht="15.5" x14ac:dyDescent="0.35">
      <c r="B3037" s="853">
        <v>294480.9341645317</v>
      </c>
    </row>
    <row r="3038" spans="2:2" ht="15.5" x14ac:dyDescent="0.35">
      <c r="B3038" s="853">
        <v>304470.50456252473</v>
      </c>
    </row>
    <row r="3039" spans="2:2" ht="15.5" x14ac:dyDescent="0.35">
      <c r="B3039" s="853">
        <v>289404.97293112794</v>
      </c>
    </row>
    <row r="3040" spans="2:2" ht="15.5" x14ac:dyDescent="0.35">
      <c r="B3040" s="853">
        <v>174237.28436294509</v>
      </c>
    </row>
    <row r="3041" spans="2:2" ht="15.5" x14ac:dyDescent="0.35">
      <c r="B3041" s="853">
        <v>373816.3280125591</v>
      </c>
    </row>
    <row r="3042" spans="2:2" ht="15.5" x14ac:dyDescent="0.35">
      <c r="B3042" s="853">
        <v>463619.96078053396</v>
      </c>
    </row>
    <row r="3043" spans="2:2" ht="15.5" x14ac:dyDescent="0.35">
      <c r="B3043" s="853">
        <v>126647.37255016058</v>
      </c>
    </row>
    <row r="3044" spans="2:2" ht="15.5" x14ac:dyDescent="0.35">
      <c r="B3044" s="853">
        <v>437378.39978894475</v>
      </c>
    </row>
    <row r="3045" spans="2:2" ht="15.5" x14ac:dyDescent="0.35">
      <c r="B3045" s="853">
        <v>471194.81986379367</v>
      </c>
    </row>
    <row r="3046" spans="2:2" ht="15.5" x14ac:dyDescent="0.35">
      <c r="B3046" s="853">
        <v>213265.05803045063</v>
      </c>
    </row>
    <row r="3047" spans="2:2" ht="15.5" x14ac:dyDescent="0.35">
      <c r="B3047" s="853">
        <v>481563.29671278229</v>
      </c>
    </row>
    <row r="3048" spans="2:2" ht="15.5" x14ac:dyDescent="0.35">
      <c r="B3048" s="853">
        <v>416375.83011218073</v>
      </c>
    </row>
    <row r="3049" spans="2:2" ht="15.5" x14ac:dyDescent="0.35">
      <c r="B3049" s="853">
        <v>561566.75951881078</v>
      </c>
    </row>
    <row r="3050" spans="2:2" ht="15.5" x14ac:dyDescent="0.35">
      <c r="B3050" s="853">
        <v>633864.78113840218</v>
      </c>
    </row>
    <row r="3051" spans="2:2" ht="15.5" x14ac:dyDescent="0.35">
      <c r="B3051" s="853">
        <v>375920.84987439279</v>
      </c>
    </row>
    <row r="3052" spans="2:2" ht="15.5" x14ac:dyDescent="0.35">
      <c r="B3052" s="853">
        <v>382839.67264969979</v>
      </c>
    </row>
    <row r="3053" spans="2:2" ht="15.5" x14ac:dyDescent="0.35">
      <c r="B3053" s="853">
        <v>382241.16646461363</v>
      </c>
    </row>
    <row r="3054" spans="2:2" ht="15.5" x14ac:dyDescent="0.35">
      <c r="B3054" s="853">
        <v>403970.49457861495</v>
      </c>
    </row>
    <row r="3055" spans="2:2" ht="15.5" x14ac:dyDescent="0.35">
      <c r="B3055" s="853">
        <v>382237.11446296191</v>
      </c>
    </row>
    <row r="3056" spans="2:2" ht="15.5" x14ac:dyDescent="0.35">
      <c r="B3056" s="853">
        <v>350491.38665275968</v>
      </c>
    </row>
    <row r="3057" spans="2:2" ht="15.5" x14ac:dyDescent="0.35">
      <c r="B3057" s="853">
        <v>261417.84170062351</v>
      </c>
    </row>
    <row r="3058" spans="2:2" ht="15.5" x14ac:dyDescent="0.35">
      <c r="B3058" s="853">
        <v>411023.96843529999</v>
      </c>
    </row>
    <row r="3059" spans="2:2" ht="15.5" x14ac:dyDescent="0.35">
      <c r="B3059" s="853">
        <v>221366.50304006966</v>
      </c>
    </row>
    <row r="3060" spans="2:2" ht="15.5" x14ac:dyDescent="0.35">
      <c r="B3060" s="853">
        <v>60248.54219958248</v>
      </c>
    </row>
    <row r="3061" spans="2:2" ht="15.5" x14ac:dyDescent="0.35">
      <c r="B3061" s="853">
        <v>159011.39473801159</v>
      </c>
    </row>
    <row r="3062" spans="2:2" ht="15.5" x14ac:dyDescent="0.35">
      <c r="B3062" s="853">
        <v>485769.83666769136</v>
      </c>
    </row>
    <row r="3063" spans="2:2" ht="15.5" x14ac:dyDescent="0.35">
      <c r="B3063" s="853">
        <v>292101.30480051477</v>
      </c>
    </row>
    <row r="3064" spans="2:2" ht="15.5" x14ac:dyDescent="0.35">
      <c r="B3064" s="853">
        <v>105867.05777841755</v>
      </c>
    </row>
    <row r="3065" spans="2:2" ht="15.5" x14ac:dyDescent="0.35">
      <c r="B3065" s="853">
        <v>460750.03988979862</v>
      </c>
    </row>
    <row r="3066" spans="2:2" ht="15.5" x14ac:dyDescent="0.35">
      <c r="B3066" s="853">
        <v>210340.52870510041</v>
      </c>
    </row>
    <row r="3067" spans="2:2" ht="15.5" x14ac:dyDescent="0.35">
      <c r="B3067" s="853">
        <v>113406.01086623609</v>
      </c>
    </row>
    <row r="3068" spans="2:2" ht="15.5" x14ac:dyDescent="0.35">
      <c r="B3068" s="853">
        <v>337278.27974756958</v>
      </c>
    </row>
    <row r="3069" spans="2:2" ht="15.5" x14ac:dyDescent="0.35">
      <c r="B3069" s="853">
        <v>232780.58651995985</v>
      </c>
    </row>
    <row r="3070" spans="2:2" ht="15.5" x14ac:dyDescent="0.35">
      <c r="B3070" s="853">
        <v>240970.94922659421</v>
      </c>
    </row>
    <row r="3071" spans="2:2" ht="15.5" x14ac:dyDescent="0.35">
      <c r="B3071" s="853">
        <v>322106.98664918297</v>
      </c>
    </row>
    <row r="3072" spans="2:2" ht="15.5" x14ac:dyDescent="0.35">
      <c r="B3072" s="853">
        <v>310310.95155211951</v>
      </c>
    </row>
    <row r="3073" spans="2:2" ht="15.5" x14ac:dyDescent="0.35">
      <c r="B3073" s="853">
        <v>298335.64362060162</v>
      </c>
    </row>
    <row r="3074" spans="2:2" ht="15.5" x14ac:dyDescent="0.35">
      <c r="B3074" s="853">
        <v>-109890.71243332101</v>
      </c>
    </row>
    <row r="3075" spans="2:2" ht="15.5" x14ac:dyDescent="0.35">
      <c r="B3075" s="853">
        <v>180378.40696233136</v>
      </c>
    </row>
    <row r="3076" spans="2:2" ht="15.5" x14ac:dyDescent="0.35">
      <c r="B3076" s="853">
        <v>544366.9994085494</v>
      </c>
    </row>
    <row r="3077" spans="2:2" ht="15.5" x14ac:dyDescent="0.35">
      <c r="B3077" s="853">
        <v>474516.56963326677</v>
      </c>
    </row>
    <row r="3078" spans="2:2" ht="15.5" x14ac:dyDescent="0.35">
      <c r="B3078" s="853">
        <v>489825.09249530773</v>
      </c>
    </row>
    <row r="3079" spans="2:2" ht="15.5" x14ac:dyDescent="0.35">
      <c r="B3079" s="853">
        <v>421674.27103599499</v>
      </c>
    </row>
    <row r="3080" spans="2:2" ht="15.5" x14ac:dyDescent="0.35">
      <c r="B3080" s="853">
        <v>236134.7952134794</v>
      </c>
    </row>
    <row r="3081" spans="2:2" ht="15.5" x14ac:dyDescent="0.35">
      <c r="B3081" s="853">
        <v>46233.524377918839</v>
      </c>
    </row>
    <row r="3082" spans="2:2" ht="15.5" x14ac:dyDescent="0.35">
      <c r="B3082" s="853">
        <v>507992.8712142352</v>
      </c>
    </row>
    <row r="3083" spans="2:2" ht="15.5" x14ac:dyDescent="0.35">
      <c r="B3083" s="853">
        <v>319946.2808927648</v>
      </c>
    </row>
    <row r="3084" spans="2:2" ht="15.5" x14ac:dyDescent="0.35">
      <c r="B3084" s="853">
        <v>322966.42931787012</v>
      </c>
    </row>
    <row r="3085" spans="2:2" ht="15.5" x14ac:dyDescent="0.35">
      <c r="B3085" s="853">
        <v>378247.04825194454</v>
      </c>
    </row>
    <row r="3086" spans="2:2" ht="15.5" x14ac:dyDescent="0.35">
      <c r="B3086" s="853">
        <v>178538.05999223152</v>
      </c>
    </row>
    <row r="3087" spans="2:2" ht="15.5" x14ac:dyDescent="0.35">
      <c r="B3087" s="853">
        <v>10308.882360354297</v>
      </c>
    </row>
    <row r="3088" spans="2:2" ht="15.5" x14ac:dyDescent="0.35">
      <c r="B3088" s="853">
        <v>120938.4803530277</v>
      </c>
    </row>
    <row r="3089" spans="2:2" ht="15.5" x14ac:dyDescent="0.35">
      <c r="B3089" s="853">
        <v>506945.10069899604</v>
      </c>
    </row>
    <row r="3090" spans="2:2" ht="15.5" x14ac:dyDescent="0.35">
      <c r="B3090" s="853">
        <v>107247.43839595561</v>
      </c>
    </row>
    <row r="3091" spans="2:2" ht="15.5" x14ac:dyDescent="0.35">
      <c r="B3091" s="853">
        <v>619623.22379341582</v>
      </c>
    </row>
    <row r="3092" spans="2:2" ht="15.5" x14ac:dyDescent="0.35">
      <c r="B3092" s="853">
        <v>67469.311618104883</v>
      </c>
    </row>
    <row r="3093" spans="2:2" ht="15.5" x14ac:dyDescent="0.35">
      <c r="B3093" s="853">
        <v>34301.324503146236</v>
      </c>
    </row>
    <row r="3094" spans="2:2" ht="15.5" x14ac:dyDescent="0.35">
      <c r="B3094" s="853">
        <v>421751.36713378684</v>
      </c>
    </row>
    <row r="3095" spans="2:2" ht="15.5" x14ac:dyDescent="0.35">
      <c r="B3095" s="853">
        <v>429246.0150979032</v>
      </c>
    </row>
    <row r="3096" spans="2:2" ht="15.5" x14ac:dyDescent="0.35">
      <c r="B3096" s="853">
        <v>55658.821221615115</v>
      </c>
    </row>
    <row r="3097" spans="2:2" ht="15.5" x14ac:dyDescent="0.35">
      <c r="B3097" s="853">
        <v>492008.29128032108</v>
      </c>
    </row>
    <row r="3098" spans="2:2" ht="15.5" x14ac:dyDescent="0.35">
      <c r="B3098" s="853">
        <v>345481.54915452644</v>
      </c>
    </row>
    <row r="3099" spans="2:2" ht="15.5" x14ac:dyDescent="0.35">
      <c r="B3099" s="853">
        <v>612767.82483843551</v>
      </c>
    </row>
    <row r="3100" spans="2:2" ht="15.5" x14ac:dyDescent="0.35">
      <c r="B3100" s="853">
        <v>347226.14060949744</v>
      </c>
    </row>
    <row r="3101" spans="2:2" ht="15.5" x14ac:dyDescent="0.35">
      <c r="B3101" s="853">
        <v>211471.37015545479</v>
      </c>
    </row>
    <row r="3102" spans="2:2" ht="15.5" x14ac:dyDescent="0.35">
      <c r="B3102" s="853">
        <v>187604.60625147616</v>
      </c>
    </row>
    <row r="3103" spans="2:2" ht="15.5" x14ac:dyDescent="0.35">
      <c r="B3103" s="853">
        <v>81766.965613400447</v>
      </c>
    </row>
    <row r="3104" spans="2:2" ht="15.5" x14ac:dyDescent="0.35">
      <c r="B3104" s="853">
        <v>217574.58364986858</v>
      </c>
    </row>
    <row r="3105" spans="2:2" ht="15.5" x14ac:dyDescent="0.35">
      <c r="B3105" s="853">
        <v>364558.85612640221</v>
      </c>
    </row>
    <row r="3106" spans="2:2" ht="15.5" x14ac:dyDescent="0.35">
      <c r="B3106" s="853">
        <v>140551.56853487491</v>
      </c>
    </row>
    <row r="3107" spans="2:2" ht="15.5" x14ac:dyDescent="0.35">
      <c r="B3107" s="853">
        <v>396131.8016257342</v>
      </c>
    </row>
    <row r="3108" spans="2:2" ht="15.5" x14ac:dyDescent="0.35">
      <c r="B3108" s="853">
        <v>277306.46152229188</v>
      </c>
    </row>
    <row r="3109" spans="2:2" ht="15.5" x14ac:dyDescent="0.35">
      <c r="B3109" s="853">
        <v>120400.78183530677</v>
      </c>
    </row>
    <row r="3110" spans="2:2" ht="15.5" x14ac:dyDescent="0.35">
      <c r="B3110" s="853">
        <v>248826.58526281346</v>
      </c>
    </row>
    <row r="3111" spans="2:2" ht="15.5" x14ac:dyDescent="0.35">
      <c r="B3111" s="853">
        <v>307339.85959015507</v>
      </c>
    </row>
    <row r="3112" spans="2:2" ht="15.5" x14ac:dyDescent="0.35">
      <c r="B3112" s="853">
        <v>495947.06814661686</v>
      </c>
    </row>
    <row r="3113" spans="2:2" ht="15.5" x14ac:dyDescent="0.35">
      <c r="B3113" s="853">
        <v>309969.68698225316</v>
      </c>
    </row>
    <row r="3114" spans="2:2" ht="15.5" x14ac:dyDescent="0.35">
      <c r="B3114" s="853">
        <v>439354.05657816894</v>
      </c>
    </row>
    <row r="3115" spans="2:2" ht="15.5" x14ac:dyDescent="0.35">
      <c r="B3115" s="853">
        <v>-35895.387582690273</v>
      </c>
    </row>
    <row r="3116" spans="2:2" ht="15.5" x14ac:dyDescent="0.35">
      <c r="B3116" s="853">
        <v>457236.43537443242</v>
      </c>
    </row>
    <row r="3117" spans="2:2" ht="15.5" x14ac:dyDescent="0.35">
      <c r="B3117" s="853">
        <v>3611.7869895317167</v>
      </c>
    </row>
    <row r="3118" spans="2:2" ht="15.5" x14ac:dyDescent="0.35">
      <c r="B3118" s="853">
        <v>262170.29783962906</v>
      </c>
    </row>
    <row r="3119" spans="2:2" ht="15.5" x14ac:dyDescent="0.35">
      <c r="B3119" s="853">
        <v>436085.39418898808</v>
      </c>
    </row>
    <row r="3120" spans="2:2" ht="15.5" x14ac:dyDescent="0.35">
      <c r="B3120" s="853">
        <v>183377.25370105996</v>
      </c>
    </row>
    <row r="3121" spans="2:2" ht="15.5" x14ac:dyDescent="0.35">
      <c r="B3121" s="853">
        <v>484722.24003436085</v>
      </c>
    </row>
    <row r="3122" spans="2:2" ht="15.5" x14ac:dyDescent="0.35">
      <c r="B3122" s="853">
        <v>213293.79982616671</v>
      </c>
    </row>
    <row r="3123" spans="2:2" ht="15.5" x14ac:dyDescent="0.35">
      <c r="B3123" s="853">
        <v>274809.01211485005</v>
      </c>
    </row>
    <row r="3124" spans="2:2" ht="15.5" x14ac:dyDescent="0.35">
      <c r="B3124" s="853">
        <v>100262.37645654312</v>
      </c>
    </row>
    <row r="3125" spans="2:2" ht="15.5" x14ac:dyDescent="0.35">
      <c r="B3125" s="853">
        <v>422174.27125269885</v>
      </c>
    </row>
    <row r="3126" spans="2:2" ht="15.5" x14ac:dyDescent="0.35">
      <c r="B3126" s="853">
        <v>1269.9283170476049</v>
      </c>
    </row>
    <row r="3127" spans="2:2" ht="15.5" x14ac:dyDescent="0.35">
      <c r="B3127" s="853">
        <v>425693.84795638098</v>
      </c>
    </row>
    <row r="3128" spans="2:2" ht="15.5" x14ac:dyDescent="0.35">
      <c r="B3128" s="853">
        <v>244256.35457284897</v>
      </c>
    </row>
    <row r="3129" spans="2:2" ht="15.5" x14ac:dyDescent="0.35">
      <c r="B3129" s="853">
        <v>157400.37049630802</v>
      </c>
    </row>
    <row r="3130" spans="2:2" ht="15.5" x14ac:dyDescent="0.35">
      <c r="B3130" s="853">
        <v>184049.93368321325</v>
      </c>
    </row>
    <row r="3131" spans="2:2" ht="15.5" x14ac:dyDescent="0.35">
      <c r="B3131" s="853">
        <v>-653.06417381669314</v>
      </c>
    </row>
    <row r="3132" spans="2:2" ht="15.5" x14ac:dyDescent="0.35">
      <c r="B3132" s="853">
        <v>304702.08560638013</v>
      </c>
    </row>
    <row r="3133" spans="2:2" ht="15.5" x14ac:dyDescent="0.35">
      <c r="B3133" s="853">
        <v>175180.57047432972</v>
      </c>
    </row>
    <row r="3134" spans="2:2" ht="15.5" x14ac:dyDescent="0.35">
      <c r="B3134" s="853">
        <v>431850.85903381865</v>
      </c>
    </row>
    <row r="3135" spans="2:2" ht="15.5" x14ac:dyDescent="0.35">
      <c r="B3135" s="853">
        <v>399444.1010491575</v>
      </c>
    </row>
    <row r="3136" spans="2:2" ht="15.5" x14ac:dyDescent="0.35">
      <c r="B3136" s="853">
        <v>162526.22145269887</v>
      </c>
    </row>
    <row r="3137" spans="2:2" ht="15.5" x14ac:dyDescent="0.35">
      <c r="B3137" s="853">
        <v>115715.31174587087</v>
      </c>
    </row>
    <row r="3138" spans="2:2" ht="15.5" x14ac:dyDescent="0.35">
      <c r="B3138" s="853">
        <v>571751.83780852356</v>
      </c>
    </row>
    <row r="3139" spans="2:2" ht="15.5" x14ac:dyDescent="0.35">
      <c r="B3139" s="853">
        <v>260722.76438483153</v>
      </c>
    </row>
    <row r="3140" spans="2:2" ht="15.5" x14ac:dyDescent="0.35">
      <c r="B3140" s="853">
        <v>577092.73759408121</v>
      </c>
    </row>
    <row r="3141" spans="2:2" ht="15.5" x14ac:dyDescent="0.35">
      <c r="B3141" s="853">
        <v>663089.18541601079</v>
      </c>
    </row>
    <row r="3142" spans="2:2" ht="15.5" x14ac:dyDescent="0.35">
      <c r="B3142" s="853">
        <v>470607.22356006107</v>
      </c>
    </row>
    <row r="3143" spans="2:2" ht="15.5" x14ac:dyDescent="0.35">
      <c r="B3143" s="853">
        <v>201116.59921878806</v>
      </c>
    </row>
    <row r="3144" spans="2:2" ht="15.5" x14ac:dyDescent="0.35">
      <c r="B3144" s="853">
        <v>402259.93467484124</v>
      </c>
    </row>
    <row r="3145" spans="2:2" ht="15.5" x14ac:dyDescent="0.35">
      <c r="B3145" s="853">
        <v>-7167.8626656497063</v>
      </c>
    </row>
    <row r="3146" spans="2:2" ht="15.5" x14ac:dyDescent="0.35">
      <c r="B3146" s="853">
        <v>342477.23104822234</v>
      </c>
    </row>
    <row r="3147" spans="2:2" ht="15.5" x14ac:dyDescent="0.35">
      <c r="B3147" s="853">
        <v>48325.182937488389</v>
      </c>
    </row>
    <row r="3148" spans="2:2" ht="15.5" x14ac:dyDescent="0.35">
      <c r="B3148" s="853">
        <v>461428.99628582189</v>
      </c>
    </row>
    <row r="3149" spans="2:2" ht="15.5" x14ac:dyDescent="0.35">
      <c r="B3149" s="853">
        <v>259603.89468922032</v>
      </c>
    </row>
    <row r="3150" spans="2:2" ht="15.5" x14ac:dyDescent="0.35">
      <c r="B3150" s="853">
        <v>274410.91087095079</v>
      </c>
    </row>
    <row r="3151" spans="2:2" ht="15.5" x14ac:dyDescent="0.35">
      <c r="B3151" s="853">
        <v>242713.91516437801</v>
      </c>
    </row>
    <row r="3152" spans="2:2" ht="15.5" x14ac:dyDescent="0.35">
      <c r="B3152" s="853">
        <v>264432.90977145341</v>
      </c>
    </row>
    <row r="3153" spans="2:2" ht="15.5" x14ac:dyDescent="0.35">
      <c r="B3153" s="853">
        <v>229484.48398271654</v>
      </c>
    </row>
    <row r="3154" spans="2:2" ht="15.5" x14ac:dyDescent="0.35">
      <c r="B3154" s="853">
        <v>662766.39060923539</v>
      </c>
    </row>
    <row r="3155" spans="2:2" ht="15.5" x14ac:dyDescent="0.35">
      <c r="B3155" s="853">
        <v>13416.189243545021</v>
      </c>
    </row>
    <row r="3156" spans="2:2" ht="15.5" x14ac:dyDescent="0.35">
      <c r="B3156" s="853">
        <v>500773.56691525894</v>
      </c>
    </row>
    <row r="3157" spans="2:2" ht="15.5" x14ac:dyDescent="0.35">
      <c r="B3157" s="853">
        <v>106908.64850424432</v>
      </c>
    </row>
    <row r="3158" spans="2:2" ht="15.5" x14ac:dyDescent="0.35">
      <c r="B3158" s="853">
        <v>184690.83013990408</v>
      </c>
    </row>
    <row r="3159" spans="2:2" ht="15.5" x14ac:dyDescent="0.35">
      <c r="B3159" s="853">
        <v>258869.45816972692</v>
      </c>
    </row>
    <row r="3160" spans="2:2" ht="15.5" x14ac:dyDescent="0.35">
      <c r="B3160" s="853">
        <v>335623.30622455012</v>
      </c>
    </row>
    <row r="3161" spans="2:2" ht="15.5" x14ac:dyDescent="0.35">
      <c r="B3161" s="853">
        <v>117003.00693059644</v>
      </c>
    </row>
    <row r="3162" spans="2:2" ht="15.5" x14ac:dyDescent="0.35">
      <c r="B3162" s="853">
        <v>288079.71784763585</v>
      </c>
    </row>
    <row r="3163" spans="2:2" ht="15.5" x14ac:dyDescent="0.35">
      <c r="B3163" s="853">
        <v>343909.39635104151</v>
      </c>
    </row>
    <row r="3164" spans="2:2" ht="15.5" x14ac:dyDescent="0.35">
      <c r="B3164" s="853">
        <v>510508.79151260958</v>
      </c>
    </row>
    <row r="3165" spans="2:2" ht="15.5" x14ac:dyDescent="0.35">
      <c r="B3165" s="853">
        <v>227020.41987496568</v>
      </c>
    </row>
    <row r="3166" spans="2:2" ht="15.5" x14ac:dyDescent="0.35">
      <c r="B3166" s="853">
        <v>205945.95056003385</v>
      </c>
    </row>
    <row r="3167" spans="2:2" ht="15.5" x14ac:dyDescent="0.35">
      <c r="B3167" s="853">
        <v>56559.007518517741</v>
      </c>
    </row>
    <row r="3168" spans="2:2" ht="15.5" x14ac:dyDescent="0.35">
      <c r="B3168" s="853">
        <v>203493.03648807365</v>
      </c>
    </row>
    <row r="3169" spans="2:2" ht="15.5" x14ac:dyDescent="0.35">
      <c r="B3169" s="853">
        <v>195114.29354432444</v>
      </c>
    </row>
    <row r="3170" spans="2:2" ht="15.5" x14ac:dyDescent="0.35">
      <c r="B3170" s="853">
        <v>176979.92962429833</v>
      </c>
    </row>
    <row r="3171" spans="2:2" ht="15.5" x14ac:dyDescent="0.35">
      <c r="B3171" s="853">
        <v>639078.12471614743</v>
      </c>
    </row>
    <row r="3172" spans="2:2" ht="15.5" x14ac:dyDescent="0.35">
      <c r="B3172" s="853">
        <v>285799.39041135192</v>
      </c>
    </row>
    <row r="3173" spans="2:2" ht="15.5" x14ac:dyDescent="0.35">
      <c r="B3173" s="853">
        <v>287093.06853035762</v>
      </c>
    </row>
    <row r="3174" spans="2:2" ht="15.5" x14ac:dyDescent="0.35">
      <c r="B3174" s="853">
        <v>164639.22761201966</v>
      </c>
    </row>
    <row r="3175" spans="2:2" ht="15.5" x14ac:dyDescent="0.35">
      <c r="B3175" s="853">
        <v>486769.26286318159</v>
      </c>
    </row>
    <row r="3176" spans="2:2" ht="15.5" x14ac:dyDescent="0.35">
      <c r="B3176" s="853">
        <v>239612.38113377528</v>
      </c>
    </row>
    <row r="3177" spans="2:2" ht="15.5" x14ac:dyDescent="0.35">
      <c r="B3177" s="853">
        <v>72680.958303208463</v>
      </c>
    </row>
    <row r="3178" spans="2:2" ht="15.5" x14ac:dyDescent="0.35">
      <c r="B3178" s="853">
        <v>312167.46952408459</v>
      </c>
    </row>
    <row r="3179" spans="2:2" ht="15.5" x14ac:dyDescent="0.35">
      <c r="B3179" s="853">
        <v>401981.72508107044</v>
      </c>
    </row>
    <row r="3180" spans="2:2" ht="15.5" x14ac:dyDescent="0.35">
      <c r="B3180" s="853">
        <v>336122.27779995167</v>
      </c>
    </row>
    <row r="3181" spans="2:2" ht="15.5" x14ac:dyDescent="0.35">
      <c r="B3181" s="853">
        <v>297939.0733439544</v>
      </c>
    </row>
    <row r="3182" spans="2:2" ht="15.5" x14ac:dyDescent="0.35">
      <c r="B3182" s="853">
        <v>197189.6264591857</v>
      </c>
    </row>
    <row r="3183" spans="2:2" ht="15.5" x14ac:dyDescent="0.35">
      <c r="B3183" s="853">
        <v>327783.34551029478</v>
      </c>
    </row>
    <row r="3184" spans="2:2" ht="15.5" x14ac:dyDescent="0.35">
      <c r="B3184" s="853">
        <v>251468.02795310423</v>
      </c>
    </row>
    <row r="3185" spans="2:2" ht="15.5" x14ac:dyDescent="0.35">
      <c r="B3185" s="853">
        <v>456563.0479580164</v>
      </c>
    </row>
    <row r="3186" spans="2:2" ht="15.5" x14ac:dyDescent="0.35">
      <c r="B3186" s="853">
        <v>698160.67280310183</v>
      </c>
    </row>
    <row r="3187" spans="2:2" ht="15.5" x14ac:dyDescent="0.35">
      <c r="B3187" s="853">
        <v>523064.57119614905</v>
      </c>
    </row>
    <row r="3188" spans="2:2" ht="15.5" x14ac:dyDescent="0.35">
      <c r="B3188" s="853">
        <v>507692.07077348151</v>
      </c>
    </row>
    <row r="3189" spans="2:2" ht="15.5" x14ac:dyDescent="0.35">
      <c r="B3189" s="853">
        <v>105398.53482953066</v>
      </c>
    </row>
    <row r="3190" spans="2:2" ht="15.5" x14ac:dyDescent="0.35">
      <c r="B3190" s="853">
        <v>394460.23714723828</v>
      </c>
    </row>
    <row r="3191" spans="2:2" ht="15.5" x14ac:dyDescent="0.35">
      <c r="B3191" s="853">
        <v>674736.29790169618</v>
      </c>
    </row>
    <row r="3192" spans="2:2" ht="15.5" x14ac:dyDescent="0.35">
      <c r="B3192" s="853">
        <v>380762.86711579782</v>
      </c>
    </row>
    <row r="3193" spans="2:2" ht="15.5" x14ac:dyDescent="0.35">
      <c r="B3193" s="853">
        <v>404638.92683846329</v>
      </c>
    </row>
    <row r="3194" spans="2:2" ht="15.5" x14ac:dyDescent="0.35">
      <c r="B3194" s="853">
        <v>354802.9121113838</v>
      </c>
    </row>
    <row r="3195" spans="2:2" ht="15.5" x14ac:dyDescent="0.35">
      <c r="B3195" s="853">
        <v>399751.26075379807</v>
      </c>
    </row>
    <row r="3196" spans="2:2" ht="15.5" x14ac:dyDescent="0.35">
      <c r="B3196" s="853">
        <v>416818.623814005</v>
      </c>
    </row>
    <row r="3197" spans="2:2" ht="15.5" x14ac:dyDescent="0.35">
      <c r="B3197" s="853">
        <v>269477.74847552227</v>
      </c>
    </row>
    <row r="3198" spans="2:2" ht="15.5" x14ac:dyDescent="0.35">
      <c r="B3198" s="853">
        <v>185623.91544246726</v>
      </c>
    </row>
    <row r="3199" spans="2:2" ht="15.5" x14ac:dyDescent="0.35">
      <c r="B3199" s="853">
        <v>281890.21971585904</v>
      </c>
    </row>
    <row r="3200" spans="2:2" ht="15.5" x14ac:dyDescent="0.35">
      <c r="B3200" s="853">
        <v>269060.06419901684</v>
      </c>
    </row>
    <row r="3201" spans="2:2" ht="15.5" x14ac:dyDescent="0.35">
      <c r="B3201" s="853">
        <v>338470.0591703378</v>
      </c>
    </row>
    <row r="3202" spans="2:2" ht="15.5" x14ac:dyDescent="0.35">
      <c r="B3202" s="853">
        <v>437314.44995774736</v>
      </c>
    </row>
    <row r="3203" spans="2:2" ht="15.5" x14ac:dyDescent="0.35">
      <c r="B3203" s="853">
        <v>397516.60859024682</v>
      </c>
    </row>
    <row r="3204" spans="2:2" ht="15.5" x14ac:dyDescent="0.35">
      <c r="B3204" s="853">
        <v>289254.47500914993</v>
      </c>
    </row>
    <row r="3205" spans="2:2" ht="15.5" x14ac:dyDescent="0.35">
      <c r="B3205" s="853">
        <v>259168.53118198022</v>
      </c>
    </row>
    <row r="3206" spans="2:2" ht="15.5" x14ac:dyDescent="0.35">
      <c r="B3206" s="853">
        <v>264528.02386005648</v>
      </c>
    </row>
    <row r="3207" spans="2:2" ht="15.5" x14ac:dyDescent="0.35">
      <c r="B3207" s="853">
        <v>212680.89980377717</v>
      </c>
    </row>
    <row r="3208" spans="2:2" ht="15.5" x14ac:dyDescent="0.35">
      <c r="B3208" s="853">
        <v>220203.8247087581</v>
      </c>
    </row>
    <row r="3209" spans="2:2" ht="15.5" x14ac:dyDescent="0.35">
      <c r="B3209" s="853">
        <v>323697.47063519375</v>
      </c>
    </row>
    <row r="3210" spans="2:2" ht="15.5" x14ac:dyDescent="0.35">
      <c r="B3210" s="853">
        <v>75392.061775602197</v>
      </c>
    </row>
    <row r="3211" spans="2:2" ht="15.5" x14ac:dyDescent="0.35">
      <c r="B3211" s="853">
        <v>441093.65957265656</v>
      </c>
    </row>
    <row r="3212" spans="2:2" ht="15.5" x14ac:dyDescent="0.35">
      <c r="B3212" s="853">
        <v>223887.34137542665</v>
      </c>
    </row>
    <row r="3213" spans="2:2" ht="15.5" x14ac:dyDescent="0.35">
      <c r="B3213" s="853">
        <v>40284.272330586631</v>
      </c>
    </row>
    <row r="3214" spans="2:2" ht="15.5" x14ac:dyDescent="0.35">
      <c r="B3214" s="853">
        <v>507628.75781479629</v>
      </c>
    </row>
    <row r="3215" spans="2:2" ht="15.5" x14ac:dyDescent="0.35">
      <c r="B3215" s="853">
        <v>371771.70226309466</v>
      </c>
    </row>
    <row r="3216" spans="2:2" ht="15.5" x14ac:dyDescent="0.35">
      <c r="B3216" s="853">
        <v>343878.08564607706</v>
      </c>
    </row>
    <row r="3217" spans="2:2" ht="15.5" x14ac:dyDescent="0.35">
      <c r="B3217" s="853">
        <v>207717.95643167218</v>
      </c>
    </row>
    <row r="3218" spans="2:2" ht="15.5" x14ac:dyDescent="0.35">
      <c r="B3218" s="853">
        <v>421122.05887853616</v>
      </c>
    </row>
    <row r="3219" spans="2:2" ht="15.5" x14ac:dyDescent="0.35">
      <c r="B3219" s="853">
        <v>601361.57973677455</v>
      </c>
    </row>
    <row r="3220" spans="2:2" ht="15.5" x14ac:dyDescent="0.35">
      <c r="B3220" s="853">
        <v>444682.37730773736</v>
      </c>
    </row>
    <row r="3221" spans="2:2" ht="15.5" x14ac:dyDescent="0.35">
      <c r="B3221" s="853">
        <v>120970.90425582579</v>
      </c>
    </row>
    <row r="3222" spans="2:2" ht="15.5" x14ac:dyDescent="0.35">
      <c r="B3222" s="853">
        <v>473428.8788298833</v>
      </c>
    </row>
    <row r="3223" spans="2:2" ht="15.5" x14ac:dyDescent="0.35">
      <c r="B3223" s="853">
        <v>552908.65519055631</v>
      </c>
    </row>
    <row r="3224" spans="2:2" ht="15.5" x14ac:dyDescent="0.35">
      <c r="B3224" s="853">
        <v>358666.84990091162</v>
      </c>
    </row>
    <row r="3225" spans="2:2" ht="15.5" x14ac:dyDescent="0.35">
      <c r="B3225" s="853">
        <v>464174.47948035371</v>
      </c>
    </row>
    <row r="3226" spans="2:2" ht="15.5" x14ac:dyDescent="0.35">
      <c r="B3226" s="853">
        <v>123079.46131053804</v>
      </c>
    </row>
    <row r="3227" spans="2:2" ht="15.5" x14ac:dyDescent="0.35">
      <c r="B3227" s="853">
        <v>511541.1195754871</v>
      </c>
    </row>
    <row r="3228" spans="2:2" ht="15.5" x14ac:dyDescent="0.35">
      <c r="B3228" s="853">
        <v>295108.21557296347</v>
      </c>
    </row>
    <row r="3229" spans="2:2" ht="15.5" x14ac:dyDescent="0.35">
      <c r="B3229" s="853">
        <v>269994.35501452576</v>
      </c>
    </row>
    <row r="3230" spans="2:2" ht="15.5" x14ac:dyDescent="0.35">
      <c r="B3230" s="853">
        <v>24098.981923842304</v>
      </c>
    </row>
    <row r="3231" spans="2:2" ht="15.5" x14ac:dyDescent="0.35">
      <c r="B3231" s="853">
        <v>314714.17655621696</v>
      </c>
    </row>
    <row r="3232" spans="2:2" ht="15.5" x14ac:dyDescent="0.35">
      <c r="B3232" s="853">
        <v>308329.23589991761</v>
      </c>
    </row>
    <row r="3233" spans="2:2" ht="15.5" x14ac:dyDescent="0.35">
      <c r="B3233" s="853">
        <v>186234.93662573592</v>
      </c>
    </row>
    <row r="3234" spans="2:2" ht="15.5" x14ac:dyDescent="0.35">
      <c r="B3234" s="853">
        <v>267309.12386482075</v>
      </c>
    </row>
    <row r="3235" spans="2:2" ht="15.5" x14ac:dyDescent="0.35">
      <c r="B3235" s="853">
        <v>334988.88502046542</v>
      </c>
    </row>
    <row r="3236" spans="2:2" ht="15.5" x14ac:dyDescent="0.35">
      <c r="B3236" s="853">
        <v>549330.87697256892</v>
      </c>
    </row>
    <row r="3237" spans="2:2" ht="15.5" x14ac:dyDescent="0.35">
      <c r="B3237" s="853">
        <v>239908.43470432298</v>
      </c>
    </row>
    <row r="3238" spans="2:2" ht="15.5" x14ac:dyDescent="0.35">
      <c r="B3238" s="853">
        <v>313718.6417427081</v>
      </c>
    </row>
    <row r="3239" spans="2:2" ht="15.5" x14ac:dyDescent="0.35">
      <c r="B3239" s="853">
        <v>286166.24090281792</v>
      </c>
    </row>
    <row r="3240" spans="2:2" ht="15.5" x14ac:dyDescent="0.35">
      <c r="B3240" s="853">
        <v>188742.24884279456</v>
      </c>
    </row>
    <row r="3241" spans="2:2" ht="15.5" x14ac:dyDescent="0.35">
      <c r="B3241" s="853">
        <v>302998.63609510509</v>
      </c>
    </row>
    <row r="3242" spans="2:2" ht="15.5" x14ac:dyDescent="0.35">
      <c r="B3242" s="853">
        <v>237056.84014815162</v>
      </c>
    </row>
    <row r="3243" spans="2:2" ht="15.5" x14ac:dyDescent="0.35">
      <c r="B3243" s="853">
        <v>452587.16762759961</v>
      </c>
    </row>
    <row r="3244" spans="2:2" ht="15.5" x14ac:dyDescent="0.35">
      <c r="B3244" s="853">
        <v>211522.51627157585</v>
      </c>
    </row>
    <row r="3245" spans="2:2" ht="15.5" x14ac:dyDescent="0.35">
      <c r="B3245" s="853">
        <v>222458.74551252282</v>
      </c>
    </row>
    <row r="3246" spans="2:2" ht="15.5" x14ac:dyDescent="0.35">
      <c r="B3246" s="853">
        <v>441805.58576594386</v>
      </c>
    </row>
    <row r="3247" spans="2:2" ht="15.5" x14ac:dyDescent="0.35">
      <c r="B3247" s="853">
        <v>379563.51040878531</v>
      </c>
    </row>
    <row r="3248" spans="2:2" ht="15.5" x14ac:dyDescent="0.35">
      <c r="B3248" s="853">
        <v>226108.51155042878</v>
      </c>
    </row>
    <row r="3249" spans="2:2" ht="15.5" x14ac:dyDescent="0.35">
      <c r="B3249" s="853">
        <v>428434.42980529164</v>
      </c>
    </row>
    <row r="3250" spans="2:2" ht="15.5" x14ac:dyDescent="0.35">
      <c r="B3250" s="853">
        <v>227193.65457215594</v>
      </c>
    </row>
    <row r="3251" spans="2:2" ht="15.5" x14ac:dyDescent="0.35">
      <c r="B3251" s="853">
        <v>244377.01355325471</v>
      </c>
    </row>
    <row r="3252" spans="2:2" ht="15.5" x14ac:dyDescent="0.35">
      <c r="B3252" s="853">
        <v>227209.54152951564</v>
      </c>
    </row>
    <row r="3253" spans="2:2" ht="15.5" x14ac:dyDescent="0.35">
      <c r="B3253" s="853">
        <v>484048.22058405168</v>
      </c>
    </row>
    <row r="3254" spans="2:2" ht="15.5" x14ac:dyDescent="0.35">
      <c r="B3254" s="853">
        <v>364456.55224317667</v>
      </c>
    </row>
    <row r="3255" spans="2:2" ht="15.5" x14ac:dyDescent="0.35">
      <c r="B3255" s="853">
        <v>257492.55664496578</v>
      </c>
    </row>
    <row r="3256" spans="2:2" ht="15.5" x14ac:dyDescent="0.35">
      <c r="B3256" s="853">
        <v>213040.68943009962</v>
      </c>
    </row>
    <row r="3257" spans="2:2" ht="15.5" x14ac:dyDescent="0.35">
      <c r="B3257" s="853">
        <v>414130.41888907866</v>
      </c>
    </row>
    <row r="3258" spans="2:2" ht="15.5" x14ac:dyDescent="0.35">
      <c r="B3258" s="853">
        <v>258474.18750184789</v>
      </c>
    </row>
    <row r="3259" spans="2:2" ht="15.5" x14ac:dyDescent="0.35">
      <c r="B3259" s="853">
        <v>75923.257580117875</v>
      </c>
    </row>
    <row r="3260" spans="2:2" ht="15.5" x14ac:dyDescent="0.35">
      <c r="B3260" s="853">
        <v>637309.76785941212</v>
      </c>
    </row>
    <row r="3261" spans="2:2" ht="15.5" x14ac:dyDescent="0.35">
      <c r="B3261" s="853">
        <v>424948.99241158593</v>
      </c>
    </row>
    <row r="3262" spans="2:2" ht="15.5" x14ac:dyDescent="0.35">
      <c r="B3262" s="853">
        <v>455720.62818413915</v>
      </c>
    </row>
    <row r="3263" spans="2:2" ht="15.5" x14ac:dyDescent="0.35">
      <c r="B3263" s="853">
        <v>305599.62553416746</v>
      </c>
    </row>
    <row r="3264" spans="2:2" ht="15.5" x14ac:dyDescent="0.35">
      <c r="B3264" s="853">
        <v>554855.56217812258</v>
      </c>
    </row>
    <row r="3265" spans="2:2" ht="15.5" x14ac:dyDescent="0.35">
      <c r="B3265" s="853">
        <v>27958.434782550568</v>
      </c>
    </row>
    <row r="3266" spans="2:2" ht="15.5" x14ac:dyDescent="0.35">
      <c r="B3266" s="853">
        <v>306744.29972295446</v>
      </c>
    </row>
    <row r="3267" spans="2:2" ht="15.5" x14ac:dyDescent="0.35">
      <c r="B3267" s="853">
        <v>738037.37186914182</v>
      </c>
    </row>
    <row r="3268" spans="2:2" ht="15.5" x14ac:dyDescent="0.35">
      <c r="B3268" s="853">
        <v>129687.54460893155</v>
      </c>
    </row>
    <row r="3269" spans="2:2" ht="15.5" x14ac:dyDescent="0.35">
      <c r="B3269" s="853">
        <v>310044.92456046003</v>
      </c>
    </row>
    <row r="3270" spans="2:2" ht="15.5" x14ac:dyDescent="0.35">
      <c r="B3270" s="853">
        <v>466235.14347022254</v>
      </c>
    </row>
    <row r="3271" spans="2:2" ht="15.5" x14ac:dyDescent="0.35">
      <c r="B3271" s="853">
        <v>580281.35099441221</v>
      </c>
    </row>
    <row r="3272" spans="2:2" ht="15.5" x14ac:dyDescent="0.35">
      <c r="B3272" s="853">
        <v>242159.18703584111</v>
      </c>
    </row>
    <row r="3273" spans="2:2" ht="15.5" x14ac:dyDescent="0.35">
      <c r="B3273" s="853">
        <v>103423.94618847698</v>
      </c>
    </row>
    <row r="3274" spans="2:2" ht="15.5" x14ac:dyDescent="0.35">
      <c r="B3274" s="853">
        <v>-115975.65277079403</v>
      </c>
    </row>
    <row r="3275" spans="2:2" ht="15.5" x14ac:dyDescent="0.35">
      <c r="B3275" s="853">
        <v>137043.08630824066</v>
      </c>
    </row>
    <row r="3276" spans="2:2" ht="15.5" x14ac:dyDescent="0.35">
      <c r="B3276" s="853">
        <v>237590.03686033751</v>
      </c>
    </row>
    <row r="3277" spans="2:2" ht="15.5" x14ac:dyDescent="0.35">
      <c r="B3277" s="853">
        <v>106698.57756506327</v>
      </c>
    </row>
    <row r="3278" spans="2:2" ht="15.5" x14ac:dyDescent="0.35">
      <c r="B3278" s="853">
        <v>262182.83862346533</v>
      </c>
    </row>
    <row r="3279" spans="2:2" ht="15.5" x14ac:dyDescent="0.35">
      <c r="B3279" s="853">
        <v>371266.92830340512</v>
      </c>
    </row>
    <row r="3280" spans="2:2" ht="15.5" x14ac:dyDescent="0.35">
      <c r="B3280" s="853">
        <v>197724.80327516771</v>
      </c>
    </row>
    <row r="3281" spans="2:2" ht="15.5" x14ac:dyDescent="0.35">
      <c r="B3281" s="853">
        <v>502356.28231176431</v>
      </c>
    </row>
    <row r="3282" spans="2:2" ht="15.5" x14ac:dyDescent="0.35">
      <c r="B3282" s="853">
        <v>209508.69080475386</v>
      </c>
    </row>
    <row r="3283" spans="2:2" ht="15.5" x14ac:dyDescent="0.35">
      <c r="B3283" s="853">
        <v>133689.77269501297</v>
      </c>
    </row>
    <row r="3284" spans="2:2" ht="15.5" x14ac:dyDescent="0.35">
      <c r="B3284" s="853">
        <v>373597.21440351312</v>
      </c>
    </row>
    <row r="3285" spans="2:2" ht="15.5" x14ac:dyDescent="0.35">
      <c r="B3285" s="853">
        <v>433912.19848221267</v>
      </c>
    </row>
    <row r="3286" spans="2:2" ht="15.5" x14ac:dyDescent="0.35">
      <c r="B3286" s="853">
        <v>522116.38437009969</v>
      </c>
    </row>
    <row r="3287" spans="2:2" ht="15.5" x14ac:dyDescent="0.35">
      <c r="B3287" s="853">
        <v>259451.62998032215</v>
      </c>
    </row>
    <row r="3288" spans="2:2" ht="15.5" x14ac:dyDescent="0.35">
      <c r="B3288" s="853">
        <v>385550.27837301581</v>
      </c>
    </row>
    <row r="3289" spans="2:2" ht="15.5" x14ac:dyDescent="0.35">
      <c r="B3289" s="853">
        <v>323186.26914080948</v>
      </c>
    </row>
    <row r="3290" spans="2:2" ht="15.5" x14ac:dyDescent="0.35">
      <c r="B3290" s="853">
        <v>397751.41219071083</v>
      </c>
    </row>
    <row r="3291" spans="2:2" ht="15.5" x14ac:dyDescent="0.35">
      <c r="B3291" s="853">
        <v>382795.79753739864</v>
      </c>
    </row>
    <row r="3292" spans="2:2" ht="15.5" x14ac:dyDescent="0.35">
      <c r="B3292" s="853">
        <v>182987.39251035362</v>
      </c>
    </row>
    <row r="3293" spans="2:2" ht="15.5" x14ac:dyDescent="0.35">
      <c r="B3293" s="853">
        <v>253497.09427644516</v>
      </c>
    </row>
    <row r="3294" spans="2:2" ht="15.5" x14ac:dyDescent="0.35">
      <c r="B3294" s="853">
        <v>226230.3815648708</v>
      </c>
    </row>
    <row r="3295" spans="2:2" ht="15.5" x14ac:dyDescent="0.35">
      <c r="B3295" s="853">
        <v>297752.91011773644</v>
      </c>
    </row>
    <row r="3296" spans="2:2" ht="15.5" x14ac:dyDescent="0.35">
      <c r="B3296" s="853">
        <v>179106.33310432962</v>
      </c>
    </row>
    <row r="3297" spans="2:2" ht="15.5" x14ac:dyDescent="0.35">
      <c r="B3297" s="853">
        <v>286045.51856281538</v>
      </c>
    </row>
    <row r="3298" spans="2:2" ht="15.5" x14ac:dyDescent="0.35">
      <c r="B3298" s="853">
        <v>98254.317996411162</v>
      </c>
    </row>
    <row r="3299" spans="2:2" ht="15.5" x14ac:dyDescent="0.35">
      <c r="B3299" s="853">
        <v>524537.32766692224</v>
      </c>
    </row>
    <row r="3300" spans="2:2" ht="15.5" x14ac:dyDescent="0.35">
      <c r="B3300" s="853">
        <v>151028.02424494937</v>
      </c>
    </row>
    <row r="3301" spans="2:2" ht="15.5" x14ac:dyDescent="0.35">
      <c r="B3301" s="853">
        <v>245880.94637223572</v>
      </c>
    </row>
    <row r="3302" spans="2:2" ht="15.5" x14ac:dyDescent="0.35">
      <c r="B3302" s="853">
        <v>379315.76851430093</v>
      </c>
    </row>
    <row r="3303" spans="2:2" ht="15.5" x14ac:dyDescent="0.35">
      <c r="B3303" s="853">
        <v>305221.05633044784</v>
      </c>
    </row>
    <row r="3304" spans="2:2" ht="15.5" x14ac:dyDescent="0.35">
      <c r="B3304" s="853">
        <v>328783.36665333551</v>
      </c>
    </row>
    <row r="3305" spans="2:2" ht="15.5" x14ac:dyDescent="0.35">
      <c r="B3305" s="853">
        <v>433294.34838323429</v>
      </c>
    </row>
    <row r="3306" spans="2:2" ht="15.5" x14ac:dyDescent="0.35">
      <c r="B3306" s="853">
        <v>317551.56722906994</v>
      </c>
    </row>
    <row r="3307" spans="2:2" ht="15.5" x14ac:dyDescent="0.35">
      <c r="B3307" s="853">
        <v>581306.68694208784</v>
      </c>
    </row>
    <row r="3308" spans="2:2" ht="15.5" x14ac:dyDescent="0.35">
      <c r="B3308" s="853">
        <v>393467.36748152779</v>
      </c>
    </row>
    <row r="3309" spans="2:2" ht="15.5" x14ac:dyDescent="0.35">
      <c r="B3309" s="853">
        <v>56391.408297969887</v>
      </c>
    </row>
    <row r="3310" spans="2:2" ht="15.5" x14ac:dyDescent="0.35">
      <c r="B3310" s="853">
        <v>349312.07515916479</v>
      </c>
    </row>
    <row r="3311" spans="2:2" ht="15.5" x14ac:dyDescent="0.35">
      <c r="B3311" s="853">
        <v>88582.548334497245</v>
      </c>
    </row>
    <row r="3312" spans="2:2" ht="15.5" x14ac:dyDescent="0.35">
      <c r="B3312" s="853">
        <v>447879.47370447521</v>
      </c>
    </row>
    <row r="3313" spans="2:2" ht="15.5" x14ac:dyDescent="0.35">
      <c r="B3313" s="853">
        <v>210743.17017328087</v>
      </c>
    </row>
    <row r="3314" spans="2:2" ht="15.5" x14ac:dyDescent="0.35">
      <c r="B3314" s="853">
        <v>359841.68098173215</v>
      </c>
    </row>
    <row r="3315" spans="2:2" ht="15.5" x14ac:dyDescent="0.35">
      <c r="B3315" s="853">
        <v>123682.56556355304</v>
      </c>
    </row>
    <row r="3316" spans="2:2" ht="15.5" x14ac:dyDescent="0.35">
      <c r="B3316" s="853">
        <v>28805.312204555623</v>
      </c>
    </row>
    <row r="3317" spans="2:2" ht="15.5" x14ac:dyDescent="0.35">
      <c r="B3317" s="853">
        <v>437916.17214045371</v>
      </c>
    </row>
    <row r="3318" spans="2:2" ht="15.5" x14ac:dyDescent="0.35">
      <c r="B3318" s="853">
        <v>314172.25180781342</v>
      </c>
    </row>
    <row r="3319" spans="2:2" ht="15.5" x14ac:dyDescent="0.35">
      <c r="B3319" s="853">
        <v>-109096.70347953802</v>
      </c>
    </row>
    <row r="3320" spans="2:2" ht="15.5" x14ac:dyDescent="0.35">
      <c r="B3320" s="853">
        <v>9029.4801976653689</v>
      </c>
    </row>
    <row r="3321" spans="2:2" ht="15.5" x14ac:dyDescent="0.35">
      <c r="B3321" s="853">
        <v>161129.08150326411</v>
      </c>
    </row>
    <row r="3322" spans="2:2" ht="15.5" x14ac:dyDescent="0.35">
      <c r="B3322" s="853">
        <v>18583.384647791187</v>
      </c>
    </row>
    <row r="3323" spans="2:2" ht="15.5" x14ac:dyDescent="0.35">
      <c r="B3323" s="853">
        <v>234103.4925545216</v>
      </c>
    </row>
    <row r="3324" spans="2:2" ht="15.5" x14ac:dyDescent="0.35">
      <c r="B3324" s="853">
        <v>427892.31884944963</v>
      </c>
    </row>
    <row r="3325" spans="2:2" ht="15.5" x14ac:dyDescent="0.35">
      <c r="B3325" s="853">
        <v>-12137.059808735961</v>
      </c>
    </row>
    <row r="3326" spans="2:2" ht="15.5" x14ac:dyDescent="0.35">
      <c r="B3326" s="853">
        <v>162156.73150444328</v>
      </c>
    </row>
    <row r="3327" spans="2:2" ht="15.5" x14ac:dyDescent="0.35">
      <c r="B3327" s="853">
        <v>381369.07297011517</v>
      </c>
    </row>
    <row r="3328" spans="2:2" ht="15.5" x14ac:dyDescent="0.35">
      <c r="B3328" s="853">
        <v>118298.42733566799</v>
      </c>
    </row>
    <row r="3329" spans="2:2" ht="15.5" x14ac:dyDescent="0.35">
      <c r="B3329" s="853">
        <v>404367.64570140548</v>
      </c>
    </row>
    <row r="3330" spans="2:2" ht="15.5" x14ac:dyDescent="0.35">
      <c r="B3330" s="853">
        <v>226342.40886861147</v>
      </c>
    </row>
    <row r="3331" spans="2:2" ht="15.5" x14ac:dyDescent="0.35">
      <c r="B3331" s="853">
        <v>580224.36006242025</v>
      </c>
    </row>
    <row r="3332" spans="2:2" ht="15.5" x14ac:dyDescent="0.35">
      <c r="B3332" s="853">
        <v>497667.27604721271</v>
      </c>
    </row>
    <row r="3333" spans="2:2" ht="15.5" x14ac:dyDescent="0.35">
      <c r="B3333" s="853">
        <v>616585.67861012416</v>
      </c>
    </row>
    <row r="3334" spans="2:2" ht="15.5" x14ac:dyDescent="0.35">
      <c r="B3334" s="853">
        <v>409505.72725571471</v>
      </c>
    </row>
    <row r="3335" spans="2:2" ht="15.5" x14ac:dyDescent="0.35">
      <c r="B3335" s="853">
        <v>306572.82816054154</v>
      </c>
    </row>
    <row r="3336" spans="2:2" ht="15.5" x14ac:dyDescent="0.35">
      <c r="B3336" s="853">
        <v>655384.73463356355</v>
      </c>
    </row>
    <row r="3337" spans="2:2" ht="15.5" x14ac:dyDescent="0.35">
      <c r="B3337" s="853">
        <v>257323.3934688122</v>
      </c>
    </row>
    <row r="3338" spans="2:2" ht="15.5" x14ac:dyDescent="0.35">
      <c r="B3338" s="853">
        <v>121881.84361524873</v>
      </c>
    </row>
    <row r="3339" spans="2:2" ht="15.5" x14ac:dyDescent="0.35">
      <c r="B3339" s="853">
        <v>547175.98898697749</v>
      </c>
    </row>
    <row r="3340" spans="2:2" ht="15.5" x14ac:dyDescent="0.35">
      <c r="B3340" s="853">
        <v>395066.27428553504</v>
      </c>
    </row>
    <row r="3341" spans="2:2" ht="15.5" x14ac:dyDescent="0.35">
      <c r="B3341" s="853">
        <v>278735.52070542052</v>
      </c>
    </row>
    <row r="3342" spans="2:2" ht="15.5" x14ac:dyDescent="0.35">
      <c r="B3342" s="853">
        <v>499660.4207423444</v>
      </c>
    </row>
    <row r="3343" spans="2:2" ht="15.5" x14ac:dyDescent="0.35">
      <c r="B3343" s="853">
        <v>216648.3477452262</v>
      </c>
    </row>
    <row r="3344" spans="2:2" ht="15.5" x14ac:dyDescent="0.35">
      <c r="B3344" s="853">
        <v>182208.61425792758</v>
      </c>
    </row>
    <row r="3345" spans="2:2" ht="15.5" x14ac:dyDescent="0.35">
      <c r="B3345" s="853">
        <v>272195.18590251997</v>
      </c>
    </row>
    <row r="3346" spans="2:2" ht="15.5" x14ac:dyDescent="0.35">
      <c r="B3346" s="853">
        <v>519581.90218545112</v>
      </c>
    </row>
    <row r="3347" spans="2:2" ht="15.5" x14ac:dyDescent="0.35">
      <c r="B3347" s="853">
        <v>528295.13860494073</v>
      </c>
    </row>
    <row r="3348" spans="2:2" ht="15.5" x14ac:dyDescent="0.35">
      <c r="B3348" s="853">
        <v>217046.96307655305</v>
      </c>
    </row>
    <row r="3349" spans="2:2" ht="15.5" x14ac:dyDescent="0.35">
      <c r="B3349" s="853">
        <v>208907.8285452034</v>
      </c>
    </row>
    <row r="3350" spans="2:2" ht="15.5" x14ac:dyDescent="0.35">
      <c r="B3350" s="853">
        <v>337960.00524327753</v>
      </c>
    </row>
    <row r="3351" spans="2:2" ht="15.5" x14ac:dyDescent="0.35">
      <c r="B3351" s="853">
        <v>659388.7867695695</v>
      </c>
    </row>
    <row r="3352" spans="2:2" ht="15.5" x14ac:dyDescent="0.35">
      <c r="B3352" s="853">
        <v>314130.02831016621</v>
      </c>
    </row>
    <row r="3353" spans="2:2" ht="15.5" x14ac:dyDescent="0.35">
      <c r="B3353" s="853">
        <v>157002.13067552724</v>
      </c>
    </row>
    <row r="3354" spans="2:2" ht="15.5" x14ac:dyDescent="0.35">
      <c r="B3354" s="853">
        <v>428104.97067235789</v>
      </c>
    </row>
    <row r="3355" spans="2:2" ht="15.5" x14ac:dyDescent="0.35">
      <c r="B3355" s="853">
        <v>386915.84457468195</v>
      </c>
    </row>
    <row r="3356" spans="2:2" ht="15.5" x14ac:dyDescent="0.35">
      <c r="B3356" s="853">
        <v>272790.18614562019</v>
      </c>
    </row>
    <row r="3357" spans="2:2" ht="15.5" x14ac:dyDescent="0.35">
      <c r="B3357" s="853">
        <v>277091.58569630212</v>
      </c>
    </row>
    <row r="3358" spans="2:2" ht="15.5" x14ac:dyDescent="0.35">
      <c r="B3358" s="853">
        <v>146419.52031270918</v>
      </c>
    </row>
    <row r="3359" spans="2:2" ht="15.5" x14ac:dyDescent="0.35">
      <c r="B3359" s="853">
        <v>174341.47462620441</v>
      </c>
    </row>
    <row r="3360" spans="2:2" ht="15.5" x14ac:dyDescent="0.35">
      <c r="B3360" s="853">
        <v>249195.27991444687</v>
      </c>
    </row>
    <row r="3361" spans="2:2" ht="15.5" x14ac:dyDescent="0.35">
      <c r="B3361" s="853">
        <v>112858.49497694784</v>
      </c>
    </row>
    <row r="3362" spans="2:2" ht="15.5" x14ac:dyDescent="0.35">
      <c r="B3362" s="853">
        <v>304537.26427759079</v>
      </c>
    </row>
    <row r="3363" spans="2:2" ht="15.5" x14ac:dyDescent="0.35">
      <c r="B3363" s="853">
        <v>307802.23245399195</v>
      </c>
    </row>
    <row r="3364" spans="2:2" ht="15.5" x14ac:dyDescent="0.35">
      <c r="B3364" s="853">
        <v>350900.36574428272</v>
      </c>
    </row>
    <row r="3365" spans="2:2" ht="15.5" x14ac:dyDescent="0.35">
      <c r="B3365" s="853">
        <v>381096.31726795185</v>
      </c>
    </row>
    <row r="3366" spans="2:2" ht="15.5" x14ac:dyDescent="0.35">
      <c r="B3366" s="853">
        <v>441546.37962752191</v>
      </c>
    </row>
    <row r="3367" spans="2:2" ht="15.5" x14ac:dyDescent="0.35">
      <c r="B3367" s="853">
        <v>340743.70269154938</v>
      </c>
    </row>
    <row r="3368" spans="2:2" ht="15.5" x14ac:dyDescent="0.35">
      <c r="B3368" s="853">
        <v>337191.96667052474</v>
      </c>
    </row>
    <row r="3369" spans="2:2" ht="15.5" x14ac:dyDescent="0.35">
      <c r="B3369" s="853">
        <v>126931.10315241152</v>
      </c>
    </row>
    <row r="3370" spans="2:2" ht="15.5" x14ac:dyDescent="0.35">
      <c r="B3370" s="853">
        <v>510620.78752756695</v>
      </c>
    </row>
    <row r="3371" spans="2:2" ht="15.5" x14ac:dyDescent="0.35">
      <c r="B3371" s="853">
        <v>197217.89184001228</v>
      </c>
    </row>
    <row r="3372" spans="2:2" ht="15.5" x14ac:dyDescent="0.35">
      <c r="B3372" s="853">
        <v>145075.88299569496</v>
      </c>
    </row>
    <row r="3373" spans="2:2" ht="15.5" x14ac:dyDescent="0.35">
      <c r="B3373" s="853">
        <v>246228.67354180553</v>
      </c>
    </row>
    <row r="3374" spans="2:2" ht="15.5" x14ac:dyDescent="0.35">
      <c r="B3374" s="853">
        <v>243933.1874820338</v>
      </c>
    </row>
    <row r="3375" spans="2:2" ht="15.5" x14ac:dyDescent="0.35">
      <c r="B3375" s="853">
        <v>400722.01749948418</v>
      </c>
    </row>
    <row r="3376" spans="2:2" ht="15.5" x14ac:dyDescent="0.35">
      <c r="B3376" s="853">
        <v>80322.713700245484</v>
      </c>
    </row>
    <row r="3377" spans="2:2" ht="15.5" x14ac:dyDescent="0.35">
      <c r="B3377" s="853">
        <v>339497.25221584039</v>
      </c>
    </row>
    <row r="3378" spans="2:2" ht="15.5" x14ac:dyDescent="0.35">
      <c r="B3378" s="853">
        <v>121795.99263418528</v>
      </c>
    </row>
    <row r="3379" spans="2:2" ht="15.5" x14ac:dyDescent="0.35">
      <c r="B3379" s="853">
        <v>468838.37417891482</v>
      </c>
    </row>
    <row r="3380" spans="2:2" ht="15.5" x14ac:dyDescent="0.35">
      <c r="B3380" s="853">
        <v>423211.85527726467</v>
      </c>
    </row>
    <row r="3381" spans="2:2" ht="15.5" x14ac:dyDescent="0.35">
      <c r="B3381" s="853">
        <v>168577.73869532908</v>
      </c>
    </row>
    <row r="3382" spans="2:2" ht="15.5" x14ac:dyDescent="0.35">
      <c r="B3382" s="853">
        <v>38735.932750885215</v>
      </c>
    </row>
    <row r="3383" spans="2:2" ht="15.5" x14ac:dyDescent="0.35">
      <c r="B3383" s="853">
        <v>212231.60878843768</v>
      </c>
    </row>
    <row r="3384" spans="2:2" ht="15.5" x14ac:dyDescent="0.35">
      <c r="B3384" s="853">
        <v>627501.52906763705</v>
      </c>
    </row>
    <row r="3385" spans="2:2" ht="15.5" x14ac:dyDescent="0.35">
      <c r="B3385" s="853">
        <v>476121.96070932987</v>
      </c>
    </row>
    <row r="3386" spans="2:2" ht="15.5" x14ac:dyDescent="0.35">
      <c r="B3386" s="853">
        <v>562727.76039283944</v>
      </c>
    </row>
    <row r="3387" spans="2:2" ht="15.5" x14ac:dyDescent="0.35">
      <c r="B3387" s="853">
        <v>233011.52434116148</v>
      </c>
    </row>
    <row r="3388" spans="2:2" ht="15.5" x14ac:dyDescent="0.35">
      <c r="B3388" s="853">
        <v>373559.946270013</v>
      </c>
    </row>
    <row r="3389" spans="2:2" ht="15.5" x14ac:dyDescent="0.35">
      <c r="B3389" s="853">
        <v>304793.63992624555</v>
      </c>
    </row>
    <row r="3390" spans="2:2" ht="15.5" x14ac:dyDescent="0.35">
      <c r="B3390" s="853">
        <v>588649.73023172363</v>
      </c>
    </row>
    <row r="3391" spans="2:2" ht="15.5" x14ac:dyDescent="0.35">
      <c r="B3391" s="853">
        <v>273737.37471288798</v>
      </c>
    </row>
    <row r="3392" spans="2:2" ht="15.5" x14ac:dyDescent="0.35">
      <c r="B3392" s="853">
        <v>375134.10653182189</v>
      </c>
    </row>
    <row r="3393" spans="2:2" ht="15.5" x14ac:dyDescent="0.35">
      <c r="B3393" s="853">
        <v>341720.14632928517</v>
      </c>
    </row>
    <row r="3394" spans="2:2" ht="15.5" x14ac:dyDescent="0.35">
      <c r="B3394" s="853">
        <v>158617.01837512502</v>
      </c>
    </row>
    <row r="3395" spans="2:2" ht="15.5" x14ac:dyDescent="0.35">
      <c r="B3395" s="853">
        <v>333261.14725671313</v>
      </c>
    </row>
    <row r="3396" spans="2:2" ht="15.5" x14ac:dyDescent="0.35">
      <c r="B3396" s="853">
        <v>497070.40230805386</v>
      </c>
    </row>
    <row r="3397" spans="2:2" ht="15.5" x14ac:dyDescent="0.35">
      <c r="B3397" s="853">
        <v>261980.34501749222</v>
      </c>
    </row>
    <row r="3398" spans="2:2" ht="15.5" x14ac:dyDescent="0.35">
      <c r="B3398" s="853">
        <v>639396.08784523536</v>
      </c>
    </row>
    <row r="3399" spans="2:2" ht="15.5" x14ac:dyDescent="0.35">
      <c r="B3399" s="853">
        <v>284289.67644791916</v>
      </c>
    </row>
    <row r="3400" spans="2:2" ht="15.5" x14ac:dyDescent="0.35">
      <c r="B3400" s="853">
        <v>217689.60116338017</v>
      </c>
    </row>
    <row r="3401" spans="2:2" ht="15.5" x14ac:dyDescent="0.35">
      <c r="B3401" s="853">
        <v>45176.318378207463</v>
      </c>
    </row>
    <row r="3402" spans="2:2" ht="15.5" x14ac:dyDescent="0.35">
      <c r="B3402" s="853">
        <v>61774.539791788782</v>
      </c>
    </row>
    <row r="3403" spans="2:2" ht="15.5" x14ac:dyDescent="0.35">
      <c r="B3403" s="853">
        <v>175410.16210264989</v>
      </c>
    </row>
    <row r="3404" spans="2:2" ht="15.5" x14ac:dyDescent="0.35">
      <c r="B3404" s="853">
        <v>604361.07243514422</v>
      </c>
    </row>
    <row r="3405" spans="2:2" ht="15.5" x14ac:dyDescent="0.35">
      <c r="B3405" s="853">
        <v>219190.2089629246</v>
      </c>
    </row>
    <row r="3406" spans="2:2" ht="15.5" x14ac:dyDescent="0.35">
      <c r="B3406" s="853">
        <v>424567.64995679184</v>
      </c>
    </row>
    <row r="3407" spans="2:2" ht="15.5" x14ac:dyDescent="0.35">
      <c r="B3407" s="853">
        <v>297685.14962358406</v>
      </c>
    </row>
    <row r="3408" spans="2:2" ht="15.5" x14ac:dyDescent="0.35">
      <c r="B3408" s="853">
        <v>365298.30852103251</v>
      </c>
    </row>
    <row r="3409" spans="2:2" ht="15.5" x14ac:dyDescent="0.35">
      <c r="B3409" s="853">
        <v>136381.22023956713</v>
      </c>
    </row>
    <row r="3410" spans="2:2" ht="15.5" x14ac:dyDescent="0.35">
      <c r="B3410" s="853">
        <v>170162.58465692529</v>
      </c>
    </row>
    <row r="3411" spans="2:2" ht="15.5" x14ac:dyDescent="0.35">
      <c r="B3411" s="853">
        <v>510653.36161797913</v>
      </c>
    </row>
    <row r="3412" spans="2:2" ht="15.5" x14ac:dyDescent="0.35">
      <c r="B3412" s="853">
        <v>306801.07647090568</v>
      </c>
    </row>
    <row r="3413" spans="2:2" ht="15.5" x14ac:dyDescent="0.35">
      <c r="B3413" s="853">
        <v>373822.79658227199</v>
      </c>
    </row>
    <row r="3414" spans="2:2" ht="15.5" x14ac:dyDescent="0.35">
      <c r="B3414" s="853">
        <v>319136.2435459898</v>
      </c>
    </row>
    <row r="3415" spans="2:2" ht="15.5" x14ac:dyDescent="0.35">
      <c r="B3415" s="853">
        <v>135958.37282602498</v>
      </c>
    </row>
    <row r="3416" spans="2:2" ht="15.5" x14ac:dyDescent="0.35">
      <c r="B3416" s="853">
        <v>300674.59982919681</v>
      </c>
    </row>
    <row r="3417" spans="2:2" ht="15.5" x14ac:dyDescent="0.35">
      <c r="B3417" s="853">
        <v>453208.99607710348</v>
      </c>
    </row>
    <row r="3418" spans="2:2" ht="15.5" x14ac:dyDescent="0.35">
      <c r="B3418" s="853">
        <v>448826.87476210261</v>
      </c>
    </row>
    <row r="3419" spans="2:2" ht="15.5" x14ac:dyDescent="0.35">
      <c r="B3419" s="853">
        <v>227855.71328329315</v>
      </c>
    </row>
    <row r="3420" spans="2:2" ht="15.5" x14ac:dyDescent="0.35">
      <c r="B3420" s="853">
        <v>214112.52853250233</v>
      </c>
    </row>
    <row r="3421" spans="2:2" ht="15.5" x14ac:dyDescent="0.35">
      <c r="B3421" s="853">
        <v>246732.92538795964</v>
      </c>
    </row>
    <row r="3422" spans="2:2" ht="15.5" x14ac:dyDescent="0.35">
      <c r="B3422" s="853">
        <v>291110.7759347487</v>
      </c>
    </row>
    <row r="3423" spans="2:2" ht="15.5" x14ac:dyDescent="0.35">
      <c r="B3423" s="853">
        <v>227635.65820958946</v>
      </c>
    </row>
    <row r="3424" spans="2:2" ht="15.5" x14ac:dyDescent="0.35">
      <c r="B3424" s="853">
        <v>95416.956406250625</v>
      </c>
    </row>
    <row r="3425" spans="2:2" ht="15.5" x14ac:dyDescent="0.35">
      <c r="B3425" s="853">
        <v>488500.56365583342</v>
      </c>
    </row>
    <row r="3426" spans="2:2" ht="15.5" x14ac:dyDescent="0.35">
      <c r="B3426" s="853">
        <v>270262.96744910179</v>
      </c>
    </row>
    <row r="3427" spans="2:2" ht="15.5" x14ac:dyDescent="0.35">
      <c r="B3427" s="853">
        <v>357027.31786105206</v>
      </c>
    </row>
    <row r="3428" spans="2:2" ht="15.5" x14ac:dyDescent="0.35">
      <c r="B3428" s="853">
        <v>411278.61969454394</v>
      </c>
    </row>
    <row r="3429" spans="2:2" ht="15.5" x14ac:dyDescent="0.35">
      <c r="B3429" s="853">
        <v>204406.34213175956</v>
      </c>
    </row>
    <row r="3430" spans="2:2" ht="15.5" x14ac:dyDescent="0.35">
      <c r="B3430" s="853">
        <v>513672.82065669145</v>
      </c>
    </row>
    <row r="3431" spans="2:2" ht="15.5" x14ac:dyDescent="0.35">
      <c r="B3431" s="853">
        <v>182202.85735441861</v>
      </c>
    </row>
    <row r="3432" spans="2:2" ht="15.5" x14ac:dyDescent="0.35">
      <c r="B3432" s="853">
        <v>279559.21814033174</v>
      </c>
    </row>
    <row r="3433" spans="2:2" ht="15.5" x14ac:dyDescent="0.35">
      <c r="B3433" s="853">
        <v>336215.3068638728</v>
      </c>
    </row>
    <row r="3434" spans="2:2" ht="15.5" x14ac:dyDescent="0.35">
      <c r="B3434" s="853">
        <v>108476.30313369467</v>
      </c>
    </row>
    <row r="3435" spans="2:2" ht="15.5" x14ac:dyDescent="0.35">
      <c r="B3435" s="853">
        <v>342273.87668423477</v>
      </c>
    </row>
    <row r="3436" spans="2:2" ht="15.5" x14ac:dyDescent="0.35">
      <c r="B3436" s="853">
        <v>182188.51559476249</v>
      </c>
    </row>
    <row r="3437" spans="2:2" ht="15.5" x14ac:dyDescent="0.35">
      <c r="B3437" s="853">
        <v>227428.54381925811</v>
      </c>
    </row>
    <row r="3438" spans="2:2" ht="15.5" x14ac:dyDescent="0.35">
      <c r="B3438" s="853">
        <v>515130.53741658881</v>
      </c>
    </row>
    <row r="3439" spans="2:2" ht="15.5" x14ac:dyDescent="0.35">
      <c r="B3439" s="853">
        <v>245337.45248338769</v>
      </c>
    </row>
    <row r="3440" spans="2:2" ht="15.5" x14ac:dyDescent="0.35">
      <c r="B3440" s="853">
        <v>354489.65988012665</v>
      </c>
    </row>
    <row r="3441" spans="2:2" ht="15.5" x14ac:dyDescent="0.35">
      <c r="B3441" s="853">
        <v>278123.76593518932</v>
      </c>
    </row>
    <row r="3442" spans="2:2" ht="15.5" x14ac:dyDescent="0.35">
      <c r="B3442" s="853">
        <v>346684.05772676563</v>
      </c>
    </row>
    <row r="3443" spans="2:2" ht="15.5" x14ac:dyDescent="0.35">
      <c r="B3443" s="853">
        <v>291373.98537542898</v>
      </c>
    </row>
    <row r="3444" spans="2:2" ht="15.5" x14ac:dyDescent="0.35">
      <c r="B3444" s="853">
        <v>431263.1942426649</v>
      </c>
    </row>
    <row r="3445" spans="2:2" ht="15.5" x14ac:dyDescent="0.35">
      <c r="B3445" s="853">
        <v>238743.51709783269</v>
      </c>
    </row>
    <row r="3446" spans="2:2" ht="15.5" x14ac:dyDescent="0.35">
      <c r="B3446" s="853">
        <v>304247.43794737011</v>
      </c>
    </row>
    <row r="3447" spans="2:2" ht="15.5" x14ac:dyDescent="0.35">
      <c r="B3447" s="853">
        <v>599489.35492027865</v>
      </c>
    </row>
    <row r="3448" spans="2:2" ht="15.5" x14ac:dyDescent="0.35">
      <c r="B3448" s="853">
        <v>137776.83269331473</v>
      </c>
    </row>
    <row r="3449" spans="2:2" ht="15.5" x14ac:dyDescent="0.35">
      <c r="B3449" s="853">
        <v>630924.2935179777</v>
      </c>
    </row>
    <row r="3450" spans="2:2" ht="15.5" x14ac:dyDescent="0.35">
      <c r="B3450" s="853">
        <v>261503.42111625426</v>
      </c>
    </row>
    <row r="3451" spans="2:2" ht="15.5" x14ac:dyDescent="0.35">
      <c r="B3451" s="853">
        <v>459160.40122123261</v>
      </c>
    </row>
    <row r="3452" spans="2:2" ht="15.5" x14ac:dyDescent="0.35">
      <c r="B3452" s="853">
        <v>446489.29950825323</v>
      </c>
    </row>
    <row r="3453" spans="2:2" ht="15.5" x14ac:dyDescent="0.35">
      <c r="B3453" s="853">
        <v>414803.12266506144</v>
      </c>
    </row>
    <row r="3454" spans="2:2" ht="15.5" x14ac:dyDescent="0.35">
      <c r="B3454" s="853">
        <v>301532.17217299866</v>
      </c>
    </row>
    <row r="3455" spans="2:2" ht="15.5" x14ac:dyDescent="0.35">
      <c r="B3455" s="853">
        <v>222653.26698501903</v>
      </c>
    </row>
    <row r="3456" spans="2:2" ht="15.5" x14ac:dyDescent="0.35">
      <c r="B3456" s="853">
        <v>329583.12644183089</v>
      </c>
    </row>
    <row r="3457" spans="2:2" ht="15.5" x14ac:dyDescent="0.35">
      <c r="B3457" s="853">
        <v>296035.93366846774</v>
      </c>
    </row>
    <row r="3458" spans="2:2" ht="15.5" x14ac:dyDescent="0.35">
      <c r="B3458" s="853">
        <v>83048.436914665115</v>
      </c>
    </row>
    <row r="3459" spans="2:2" ht="15.5" x14ac:dyDescent="0.35">
      <c r="B3459" s="853">
        <v>405690.89260088414</v>
      </c>
    </row>
    <row r="3460" spans="2:2" ht="15.5" x14ac:dyDescent="0.35">
      <c r="B3460" s="853">
        <v>198735.79039403686</v>
      </c>
    </row>
    <row r="3461" spans="2:2" ht="15.5" x14ac:dyDescent="0.35">
      <c r="B3461" s="853">
        <v>386270.54496010597</v>
      </c>
    </row>
    <row r="3462" spans="2:2" ht="15.5" x14ac:dyDescent="0.35">
      <c r="B3462" s="853">
        <v>264430.50362118747</v>
      </c>
    </row>
    <row r="3463" spans="2:2" ht="15.5" x14ac:dyDescent="0.35">
      <c r="B3463" s="853">
        <v>140495.09544919472</v>
      </c>
    </row>
    <row r="3464" spans="2:2" ht="15.5" x14ac:dyDescent="0.35">
      <c r="B3464" s="853">
        <v>177994.54516615652</v>
      </c>
    </row>
    <row r="3465" spans="2:2" ht="15.5" x14ac:dyDescent="0.35">
      <c r="B3465" s="853">
        <v>391103.4458113733</v>
      </c>
    </row>
    <row r="3466" spans="2:2" ht="15.5" x14ac:dyDescent="0.35">
      <c r="B3466" s="853">
        <v>343062.3524988119</v>
      </c>
    </row>
    <row r="3467" spans="2:2" ht="15.5" x14ac:dyDescent="0.35">
      <c r="B3467" s="853">
        <v>309260.41817714949</v>
      </c>
    </row>
    <row r="3468" spans="2:2" ht="15.5" x14ac:dyDescent="0.35">
      <c r="B3468" s="853">
        <v>68777.264001743592</v>
      </c>
    </row>
    <row r="3469" spans="2:2" ht="15.5" x14ac:dyDescent="0.35">
      <c r="B3469" s="853">
        <v>217820.92357084795</v>
      </c>
    </row>
    <row r="3470" spans="2:2" ht="15.5" x14ac:dyDescent="0.35">
      <c r="B3470" s="853">
        <v>168609.24350284788</v>
      </c>
    </row>
    <row r="3471" spans="2:2" ht="15.5" x14ac:dyDescent="0.35">
      <c r="B3471" s="853">
        <v>265685.4535665781</v>
      </c>
    </row>
    <row r="3472" spans="2:2" ht="15.5" x14ac:dyDescent="0.35">
      <c r="B3472" s="853">
        <v>298513.8928980882</v>
      </c>
    </row>
    <row r="3473" spans="2:2" ht="15.5" x14ac:dyDescent="0.35">
      <c r="B3473" s="853">
        <v>320117.69595694687</v>
      </c>
    </row>
    <row r="3474" spans="2:2" ht="15.5" x14ac:dyDescent="0.35">
      <c r="B3474" s="853">
        <v>125492.26167717237</v>
      </c>
    </row>
    <row r="3475" spans="2:2" ht="15.5" x14ac:dyDescent="0.35">
      <c r="B3475" s="853">
        <v>296544.95352609927</v>
      </c>
    </row>
    <row r="3476" spans="2:2" ht="15.5" x14ac:dyDescent="0.35">
      <c r="B3476" s="853">
        <v>249910.69499738381</v>
      </c>
    </row>
    <row r="3477" spans="2:2" ht="15.5" x14ac:dyDescent="0.35">
      <c r="B3477" s="853">
        <v>390282.69648930692</v>
      </c>
    </row>
    <row r="3478" spans="2:2" ht="15.5" x14ac:dyDescent="0.35">
      <c r="B3478" s="853">
        <v>485516.26383979298</v>
      </c>
    </row>
    <row r="3479" spans="2:2" ht="15.5" x14ac:dyDescent="0.35">
      <c r="B3479" s="853">
        <v>234030.53667983747</v>
      </c>
    </row>
    <row r="3480" spans="2:2" ht="15.5" x14ac:dyDescent="0.35">
      <c r="B3480" s="853">
        <v>249655.38449519835</v>
      </c>
    </row>
    <row r="3481" spans="2:2" ht="15.5" x14ac:dyDescent="0.35">
      <c r="B3481" s="853">
        <v>131678.44516875935</v>
      </c>
    </row>
    <row r="3482" spans="2:2" ht="15.5" x14ac:dyDescent="0.35">
      <c r="B3482" s="853">
        <v>201438.88969029114</v>
      </c>
    </row>
    <row r="3483" spans="2:2" ht="15.5" x14ac:dyDescent="0.35">
      <c r="B3483" s="853">
        <v>351293.12553874648</v>
      </c>
    </row>
    <row r="3484" spans="2:2" ht="15.5" x14ac:dyDescent="0.35">
      <c r="B3484" s="853">
        <v>338327.92465468904</v>
      </c>
    </row>
    <row r="3485" spans="2:2" ht="15.5" x14ac:dyDescent="0.35">
      <c r="B3485" s="853">
        <v>231667.03410694256</v>
      </c>
    </row>
    <row r="3486" spans="2:2" ht="15.5" x14ac:dyDescent="0.35">
      <c r="B3486" s="853">
        <v>157491.51647993783</v>
      </c>
    </row>
    <row r="3487" spans="2:2" ht="15.5" x14ac:dyDescent="0.35">
      <c r="B3487" s="853">
        <v>342561.56296714855</v>
      </c>
    </row>
    <row r="3488" spans="2:2" ht="15.5" x14ac:dyDescent="0.35">
      <c r="B3488" s="853">
        <v>358649.1381134016</v>
      </c>
    </row>
    <row r="3489" spans="2:2" ht="15.5" x14ac:dyDescent="0.35">
      <c r="B3489" s="853">
        <v>291800.75042705843</v>
      </c>
    </row>
    <row r="3490" spans="2:2" ht="15.5" x14ac:dyDescent="0.35">
      <c r="B3490" s="853">
        <v>197230.45733847452</v>
      </c>
    </row>
    <row r="3491" spans="2:2" ht="15.5" x14ac:dyDescent="0.35">
      <c r="B3491" s="853">
        <v>64960.134429502759</v>
      </c>
    </row>
    <row r="3492" spans="2:2" ht="15.5" x14ac:dyDescent="0.35">
      <c r="B3492" s="853">
        <v>338753.55539736582</v>
      </c>
    </row>
    <row r="3493" spans="2:2" ht="15.5" x14ac:dyDescent="0.35">
      <c r="B3493" s="853">
        <v>241929.84032597483</v>
      </c>
    </row>
    <row r="3494" spans="2:2" ht="15.5" x14ac:dyDescent="0.35">
      <c r="B3494" s="853">
        <v>529374.77453508112</v>
      </c>
    </row>
    <row r="3495" spans="2:2" ht="15.5" x14ac:dyDescent="0.35">
      <c r="B3495" s="853">
        <v>379515.04849654349</v>
      </c>
    </row>
    <row r="3496" spans="2:2" ht="15.5" x14ac:dyDescent="0.35">
      <c r="B3496" s="853">
        <v>206021.20830400393</v>
      </c>
    </row>
    <row r="3497" spans="2:2" ht="15.5" x14ac:dyDescent="0.35">
      <c r="B3497" s="853">
        <v>367899.80171999376</v>
      </c>
    </row>
    <row r="3498" spans="2:2" ht="15.5" x14ac:dyDescent="0.35">
      <c r="B3498" s="853">
        <v>492012.44043097366</v>
      </c>
    </row>
    <row r="3499" spans="2:2" ht="15.5" x14ac:dyDescent="0.35">
      <c r="B3499" s="853">
        <v>105062.11103924093</v>
      </c>
    </row>
    <row r="3500" spans="2:2" ht="15.5" x14ac:dyDescent="0.35">
      <c r="B3500" s="853">
        <v>433586.73296579061</v>
      </c>
    </row>
    <row r="3501" spans="2:2" ht="15.5" x14ac:dyDescent="0.35">
      <c r="B3501" s="853">
        <v>266683.83892353618</v>
      </c>
    </row>
    <row r="3502" spans="2:2" ht="15.5" x14ac:dyDescent="0.35">
      <c r="B3502" s="853">
        <v>166715.6982665394</v>
      </c>
    </row>
    <row r="3503" spans="2:2" ht="15.5" x14ac:dyDescent="0.35">
      <c r="B3503" s="853">
        <v>98809.486709804725</v>
      </c>
    </row>
    <row r="3504" spans="2:2" ht="15.5" x14ac:dyDescent="0.35">
      <c r="B3504" s="853">
        <v>446600.26819429238</v>
      </c>
    </row>
    <row r="3505" spans="2:2" ht="15.5" x14ac:dyDescent="0.35">
      <c r="B3505" s="853">
        <v>306528.71134726919</v>
      </c>
    </row>
    <row r="3506" spans="2:2" ht="15.5" x14ac:dyDescent="0.35">
      <c r="B3506" s="853">
        <v>449619.80940681277</v>
      </c>
    </row>
    <row r="3507" spans="2:2" ht="15.5" x14ac:dyDescent="0.35">
      <c r="B3507" s="853">
        <v>-8536.2154818776271</v>
      </c>
    </row>
    <row r="3508" spans="2:2" ht="15.5" x14ac:dyDescent="0.35">
      <c r="B3508" s="853">
        <v>360787.71982904035</v>
      </c>
    </row>
    <row r="3509" spans="2:2" ht="15.5" x14ac:dyDescent="0.35">
      <c r="B3509" s="853">
        <v>94291.817513545568</v>
      </c>
    </row>
    <row r="3510" spans="2:2" ht="15.5" x14ac:dyDescent="0.35">
      <c r="B3510" s="853">
        <v>214198.92127516295</v>
      </c>
    </row>
    <row r="3511" spans="2:2" ht="15.5" x14ac:dyDescent="0.35">
      <c r="B3511" s="853">
        <v>194396.73150088574</v>
      </c>
    </row>
    <row r="3512" spans="2:2" ht="15.5" x14ac:dyDescent="0.35">
      <c r="B3512" s="853">
        <v>650290.89055729099</v>
      </c>
    </row>
    <row r="3513" spans="2:2" ht="15.5" x14ac:dyDescent="0.35">
      <c r="B3513" s="853">
        <v>317932.10772231215</v>
      </c>
    </row>
    <row r="3514" spans="2:2" ht="15.5" x14ac:dyDescent="0.35">
      <c r="B3514" s="853">
        <v>265206.31550878263</v>
      </c>
    </row>
    <row r="3515" spans="2:2" ht="15.5" x14ac:dyDescent="0.35">
      <c r="B3515" s="853">
        <v>20558.738082379019</v>
      </c>
    </row>
    <row r="3516" spans="2:2" ht="15.5" x14ac:dyDescent="0.35">
      <c r="B3516" s="853">
        <v>348334.79304178839</v>
      </c>
    </row>
    <row r="3517" spans="2:2" ht="15.5" x14ac:dyDescent="0.35">
      <c r="B3517" s="853">
        <v>178889.63877355854</v>
      </c>
    </row>
    <row r="3518" spans="2:2" ht="15.5" x14ac:dyDescent="0.35">
      <c r="B3518" s="853">
        <v>333301.68227671157</v>
      </c>
    </row>
    <row r="3519" spans="2:2" ht="15.5" x14ac:dyDescent="0.35">
      <c r="B3519" s="853">
        <v>433873.67877929728</v>
      </c>
    </row>
    <row r="3520" spans="2:2" ht="15.5" x14ac:dyDescent="0.35">
      <c r="B3520" s="853">
        <v>260934.68420176202</v>
      </c>
    </row>
    <row r="3521" spans="2:2" ht="15.5" x14ac:dyDescent="0.35">
      <c r="B3521" s="853">
        <v>253542.04456681124</v>
      </c>
    </row>
    <row r="3522" spans="2:2" ht="15.5" x14ac:dyDescent="0.35">
      <c r="B3522" s="853">
        <v>226661.62512357323</v>
      </c>
    </row>
    <row r="3523" spans="2:2" ht="15.5" x14ac:dyDescent="0.35">
      <c r="B3523" s="853">
        <v>78006.132478830797</v>
      </c>
    </row>
    <row r="3524" spans="2:2" ht="15.5" x14ac:dyDescent="0.35">
      <c r="B3524" s="853">
        <v>292321.59393872449</v>
      </c>
    </row>
    <row r="3525" spans="2:2" ht="15.5" x14ac:dyDescent="0.35">
      <c r="B3525" s="853">
        <v>503463.88181171741</v>
      </c>
    </row>
    <row r="3526" spans="2:2" ht="15.5" x14ac:dyDescent="0.35">
      <c r="B3526" s="853">
        <v>187774.59332508119</v>
      </c>
    </row>
    <row r="3527" spans="2:2" ht="15.5" x14ac:dyDescent="0.35">
      <c r="B3527" s="853">
        <v>391825.38460075704</v>
      </c>
    </row>
    <row r="3528" spans="2:2" ht="15.5" x14ac:dyDescent="0.35">
      <c r="B3528" s="853">
        <v>400597.73455792188</v>
      </c>
    </row>
    <row r="3529" spans="2:2" ht="15.5" x14ac:dyDescent="0.35">
      <c r="B3529" s="853">
        <v>335969.88974280993</v>
      </c>
    </row>
    <row r="3530" spans="2:2" ht="15.5" x14ac:dyDescent="0.35">
      <c r="B3530" s="853">
        <v>334224.88176814938</v>
      </c>
    </row>
    <row r="3531" spans="2:2" ht="15.5" x14ac:dyDescent="0.35">
      <c r="B3531" s="853">
        <v>299938.04656309471</v>
      </c>
    </row>
    <row r="3532" spans="2:2" ht="15.5" x14ac:dyDescent="0.35">
      <c r="B3532" s="853">
        <v>48228.526031682275</v>
      </c>
    </row>
    <row r="3533" spans="2:2" ht="15.5" x14ac:dyDescent="0.35">
      <c r="B3533" s="853">
        <v>510952.92604972469</v>
      </c>
    </row>
    <row r="3534" spans="2:2" ht="15.5" x14ac:dyDescent="0.35">
      <c r="B3534" s="853">
        <v>235588.67752306198</v>
      </c>
    </row>
    <row r="3535" spans="2:2" ht="15.5" x14ac:dyDescent="0.35">
      <c r="B3535" s="853">
        <v>-85815.179930421946</v>
      </c>
    </row>
    <row r="3536" spans="2:2" ht="15.5" x14ac:dyDescent="0.35">
      <c r="B3536" s="853">
        <v>344233.50682333566</v>
      </c>
    </row>
    <row r="3537" spans="2:2" ht="15.5" x14ac:dyDescent="0.35">
      <c r="B3537" s="853">
        <v>305743.28913870029</v>
      </c>
    </row>
    <row r="3538" spans="2:2" ht="15.5" x14ac:dyDescent="0.35">
      <c r="B3538" s="853">
        <v>357345.60186464945</v>
      </c>
    </row>
    <row r="3539" spans="2:2" ht="15.5" x14ac:dyDescent="0.35">
      <c r="B3539" s="853">
        <v>284480.61547558516</v>
      </c>
    </row>
    <row r="3540" spans="2:2" ht="15.5" x14ac:dyDescent="0.35">
      <c r="B3540" s="853">
        <v>246608.29244385398</v>
      </c>
    </row>
    <row r="3541" spans="2:2" ht="15.5" x14ac:dyDescent="0.35">
      <c r="B3541" s="853">
        <v>416469.80977772956</v>
      </c>
    </row>
    <row r="3542" spans="2:2" ht="15.5" x14ac:dyDescent="0.35">
      <c r="B3542" s="853">
        <v>308119.66138763539</v>
      </c>
    </row>
    <row r="3543" spans="2:2" ht="15.5" x14ac:dyDescent="0.35">
      <c r="B3543" s="853">
        <v>334582.97687880549</v>
      </c>
    </row>
    <row r="3544" spans="2:2" ht="15.5" x14ac:dyDescent="0.35">
      <c r="B3544" s="853">
        <v>234584.30828809479</v>
      </c>
    </row>
    <row r="3545" spans="2:2" ht="15.5" x14ac:dyDescent="0.35">
      <c r="B3545" s="853">
        <v>392730.54391551635</v>
      </c>
    </row>
    <row r="3546" spans="2:2" ht="15.5" x14ac:dyDescent="0.35">
      <c r="B3546" s="853">
        <v>191943.29319008472</v>
      </c>
    </row>
    <row r="3547" spans="2:2" ht="15.5" x14ac:dyDescent="0.35">
      <c r="B3547" s="853">
        <v>395770.83667432674</v>
      </c>
    </row>
    <row r="3548" spans="2:2" ht="15.5" x14ac:dyDescent="0.35">
      <c r="B3548" s="853">
        <v>210023.84648502077</v>
      </c>
    </row>
    <row r="3549" spans="2:2" ht="15.5" x14ac:dyDescent="0.35">
      <c r="B3549" s="853">
        <v>325025.70316408883</v>
      </c>
    </row>
    <row r="3550" spans="2:2" ht="15.5" x14ac:dyDescent="0.35">
      <c r="B3550" s="853">
        <v>406475.71606291935</v>
      </c>
    </row>
    <row r="3551" spans="2:2" ht="15.5" x14ac:dyDescent="0.35">
      <c r="B3551" s="853">
        <v>605562.62142914394</v>
      </c>
    </row>
    <row r="3552" spans="2:2" ht="15.5" x14ac:dyDescent="0.35">
      <c r="B3552" s="853">
        <v>516530.27159035788</v>
      </c>
    </row>
    <row r="3553" spans="2:2" ht="15.5" x14ac:dyDescent="0.35">
      <c r="B3553" s="853">
        <v>223313.14247474377</v>
      </c>
    </row>
    <row r="3554" spans="2:2" ht="15.5" x14ac:dyDescent="0.35">
      <c r="B3554" s="853">
        <v>215427.47424276738</v>
      </c>
    </row>
    <row r="3555" spans="2:2" ht="15.5" x14ac:dyDescent="0.35">
      <c r="B3555" s="853">
        <v>118924.35269949833</v>
      </c>
    </row>
    <row r="3556" spans="2:2" ht="15.5" x14ac:dyDescent="0.35">
      <c r="B3556" s="853">
        <v>-112974.74663133624</v>
      </c>
    </row>
    <row r="3557" spans="2:2" ht="15.5" x14ac:dyDescent="0.35">
      <c r="B3557" s="853">
        <v>331992.25761798921</v>
      </c>
    </row>
    <row r="3558" spans="2:2" ht="15.5" x14ac:dyDescent="0.35">
      <c r="B3558" s="853">
        <v>36945.501582519886</v>
      </c>
    </row>
    <row r="3559" spans="2:2" ht="15.5" x14ac:dyDescent="0.35">
      <c r="B3559" s="853">
        <v>45575.875580742497</v>
      </c>
    </row>
    <row r="3560" spans="2:2" ht="15.5" x14ac:dyDescent="0.35">
      <c r="B3560" s="853">
        <v>384629.31737308548</v>
      </c>
    </row>
    <row r="3561" spans="2:2" ht="15.5" x14ac:dyDescent="0.35">
      <c r="B3561" s="853">
        <v>472990.58232623199</v>
      </c>
    </row>
    <row r="3562" spans="2:2" ht="15.5" x14ac:dyDescent="0.35">
      <c r="B3562" s="853">
        <v>498663.34401350684</v>
      </c>
    </row>
    <row r="3563" spans="2:2" ht="15.5" x14ac:dyDescent="0.35">
      <c r="B3563" s="853">
        <v>135676.54694803566</v>
      </c>
    </row>
    <row r="3564" spans="2:2" ht="15.5" x14ac:dyDescent="0.35">
      <c r="B3564" s="853">
        <v>160607.49606087842</v>
      </c>
    </row>
    <row r="3565" spans="2:2" ht="15.5" x14ac:dyDescent="0.35">
      <c r="B3565" s="853">
        <v>690875.80741465557</v>
      </c>
    </row>
    <row r="3566" spans="2:2" ht="15.5" x14ac:dyDescent="0.35">
      <c r="B3566" s="853">
        <v>313378.08622747462</v>
      </c>
    </row>
    <row r="3567" spans="2:2" ht="15.5" x14ac:dyDescent="0.35">
      <c r="B3567" s="853">
        <v>229089.35987773465</v>
      </c>
    </row>
    <row r="3568" spans="2:2" ht="15.5" x14ac:dyDescent="0.35">
      <c r="B3568" s="853">
        <v>831247.11478451069</v>
      </c>
    </row>
    <row r="3569" spans="2:2" ht="15.5" x14ac:dyDescent="0.35">
      <c r="B3569" s="853">
        <v>175574.36747350227</v>
      </c>
    </row>
    <row r="3570" spans="2:2" ht="15.5" x14ac:dyDescent="0.35">
      <c r="B3570" s="853">
        <v>177854.97703545139</v>
      </c>
    </row>
    <row r="3571" spans="2:2" ht="15.5" x14ac:dyDescent="0.35">
      <c r="B3571" s="853">
        <v>246620.49898852393</v>
      </c>
    </row>
    <row r="3572" spans="2:2" ht="15.5" x14ac:dyDescent="0.35">
      <c r="B3572" s="853">
        <v>318038.49024070456</v>
      </c>
    </row>
    <row r="3573" spans="2:2" ht="15.5" x14ac:dyDescent="0.35">
      <c r="B3573" s="853">
        <v>266357.62573032622</v>
      </c>
    </row>
    <row r="3574" spans="2:2" ht="15.5" x14ac:dyDescent="0.35">
      <c r="B3574" s="853">
        <v>306113.90052567399</v>
      </c>
    </row>
    <row r="3575" spans="2:2" ht="15.5" x14ac:dyDescent="0.35">
      <c r="B3575" s="853">
        <v>30892.109965083611</v>
      </c>
    </row>
    <row r="3576" spans="2:2" ht="15.5" x14ac:dyDescent="0.35">
      <c r="B3576" s="853">
        <v>282449.24935542699</v>
      </c>
    </row>
    <row r="3577" spans="2:2" ht="15.5" x14ac:dyDescent="0.35">
      <c r="B3577" s="853">
        <v>306636.90756301495</v>
      </c>
    </row>
    <row r="3578" spans="2:2" ht="15.5" x14ac:dyDescent="0.35">
      <c r="B3578" s="853">
        <v>420635.51497360406</v>
      </c>
    </row>
    <row r="3579" spans="2:2" ht="15.5" x14ac:dyDescent="0.35">
      <c r="B3579" s="853">
        <v>265017.14925589098</v>
      </c>
    </row>
    <row r="3580" spans="2:2" ht="15.5" x14ac:dyDescent="0.35">
      <c r="B3580" s="853">
        <v>432158.23104029289</v>
      </c>
    </row>
    <row r="3581" spans="2:2" ht="15.5" x14ac:dyDescent="0.35">
      <c r="B3581" s="853">
        <v>181053.15137692777</v>
      </c>
    </row>
    <row r="3582" spans="2:2" ht="15.5" x14ac:dyDescent="0.35">
      <c r="B3582" s="853">
        <v>415859.0010438101</v>
      </c>
    </row>
    <row r="3583" spans="2:2" ht="15.5" x14ac:dyDescent="0.35">
      <c r="B3583" s="853">
        <v>175580.35149111095</v>
      </c>
    </row>
    <row r="3584" spans="2:2" ht="15.5" x14ac:dyDescent="0.35">
      <c r="B3584" s="853">
        <v>485753.54746006138</v>
      </c>
    </row>
    <row r="3585" spans="2:2" ht="15.5" x14ac:dyDescent="0.35">
      <c r="B3585" s="853">
        <v>121329.34407458629</v>
      </c>
    </row>
    <row r="3586" spans="2:2" ht="15.5" x14ac:dyDescent="0.35">
      <c r="B3586" s="853">
        <v>337240.89262055443</v>
      </c>
    </row>
    <row r="3587" spans="2:2" ht="15.5" x14ac:dyDescent="0.35">
      <c r="B3587" s="853">
        <v>307103.12876723084</v>
      </c>
    </row>
    <row r="3588" spans="2:2" ht="15.5" x14ac:dyDescent="0.35">
      <c r="B3588" s="853">
        <v>129298.33384754886</v>
      </c>
    </row>
    <row r="3589" spans="2:2" ht="15.5" x14ac:dyDescent="0.35">
      <c r="B3589" s="853">
        <v>35219.087334843454</v>
      </c>
    </row>
    <row r="3590" spans="2:2" ht="15.5" x14ac:dyDescent="0.35">
      <c r="B3590" s="853">
        <v>572765.53773131117</v>
      </c>
    </row>
    <row r="3591" spans="2:2" ht="15.5" x14ac:dyDescent="0.35">
      <c r="B3591" s="853">
        <v>84215.461321541836</v>
      </c>
    </row>
    <row r="3592" spans="2:2" ht="15.5" x14ac:dyDescent="0.35">
      <c r="B3592" s="853">
        <v>246691.96058107572</v>
      </c>
    </row>
    <row r="3593" spans="2:2" ht="15.5" x14ac:dyDescent="0.35">
      <c r="B3593" s="853">
        <v>665132.49212904542</v>
      </c>
    </row>
    <row r="3594" spans="2:2" ht="15.5" x14ac:dyDescent="0.35">
      <c r="B3594" s="853">
        <v>336265.12179455318</v>
      </c>
    </row>
    <row r="3595" spans="2:2" ht="15.5" x14ac:dyDescent="0.35">
      <c r="B3595" s="853">
        <v>440411.63148634945</v>
      </c>
    </row>
    <row r="3596" spans="2:2" ht="15.5" x14ac:dyDescent="0.35">
      <c r="B3596" s="853">
        <v>557615.65270163061</v>
      </c>
    </row>
    <row r="3597" spans="2:2" ht="15.5" x14ac:dyDescent="0.35">
      <c r="B3597" s="853">
        <v>280159.69259701401</v>
      </c>
    </row>
    <row r="3598" spans="2:2" ht="15.5" x14ac:dyDescent="0.35">
      <c r="B3598" s="853">
        <v>180149.96198391079</v>
      </c>
    </row>
    <row r="3599" spans="2:2" ht="15.5" x14ac:dyDescent="0.35">
      <c r="B3599" s="853">
        <v>450192.44714196015</v>
      </c>
    </row>
    <row r="3600" spans="2:2" ht="15.5" x14ac:dyDescent="0.35">
      <c r="B3600" s="853">
        <v>240130.07288849293</v>
      </c>
    </row>
    <row r="3601" spans="2:2" ht="15.5" x14ac:dyDescent="0.35">
      <c r="B3601" s="853">
        <v>146922.50858432421</v>
      </c>
    </row>
    <row r="3602" spans="2:2" ht="15.5" x14ac:dyDescent="0.35">
      <c r="B3602" s="853">
        <v>250436.96137506113</v>
      </c>
    </row>
    <row r="3603" spans="2:2" ht="15.5" x14ac:dyDescent="0.35">
      <c r="B3603" s="853">
        <v>244866.73889705676</v>
      </c>
    </row>
    <row r="3604" spans="2:2" ht="15.5" x14ac:dyDescent="0.35">
      <c r="B3604" s="853">
        <v>116654.9926214092</v>
      </c>
    </row>
    <row r="3605" spans="2:2" ht="15.5" x14ac:dyDescent="0.35">
      <c r="B3605" s="853">
        <v>266049.91627393541</v>
      </c>
    </row>
    <row r="3606" spans="2:2" ht="15.5" x14ac:dyDescent="0.35">
      <c r="B3606" s="853">
        <v>121348.16045338204</v>
      </c>
    </row>
    <row r="3607" spans="2:2" ht="15.5" x14ac:dyDescent="0.35">
      <c r="B3607" s="853">
        <v>330296.67478180508</v>
      </c>
    </row>
    <row r="3608" spans="2:2" ht="15.5" x14ac:dyDescent="0.35">
      <c r="B3608" s="853">
        <v>127460.78083417183</v>
      </c>
    </row>
    <row r="3609" spans="2:2" ht="15.5" x14ac:dyDescent="0.35">
      <c r="B3609" s="853">
        <v>381300.71962178877</v>
      </c>
    </row>
    <row r="3610" spans="2:2" ht="15.5" x14ac:dyDescent="0.35">
      <c r="B3610" s="853">
        <v>407021.59662015218</v>
      </c>
    </row>
    <row r="3611" spans="2:2" ht="15.5" x14ac:dyDescent="0.35">
      <c r="B3611" s="853">
        <v>541182.68081944052</v>
      </c>
    </row>
    <row r="3612" spans="2:2" ht="15.5" x14ac:dyDescent="0.35">
      <c r="B3612" s="853">
        <v>212822.66758567333</v>
      </c>
    </row>
    <row r="3613" spans="2:2" ht="15.5" x14ac:dyDescent="0.35">
      <c r="B3613" s="853">
        <v>140504.59194904295</v>
      </c>
    </row>
    <row r="3614" spans="2:2" ht="15.5" x14ac:dyDescent="0.35">
      <c r="B3614" s="853">
        <v>376393.30807447544</v>
      </c>
    </row>
    <row r="3615" spans="2:2" ht="15.5" x14ac:dyDescent="0.35">
      <c r="B3615" s="853">
        <v>201499.96744603227</v>
      </c>
    </row>
    <row r="3616" spans="2:2" ht="15.5" x14ac:dyDescent="0.35">
      <c r="B3616" s="853">
        <v>317897.3070851799</v>
      </c>
    </row>
    <row r="3617" spans="2:2" ht="15.5" x14ac:dyDescent="0.35">
      <c r="B3617" s="853">
        <v>215885.80939867863</v>
      </c>
    </row>
    <row r="3618" spans="2:2" ht="15.5" x14ac:dyDescent="0.35">
      <c r="B3618" s="853">
        <v>77341.146607832823</v>
      </c>
    </row>
    <row r="3619" spans="2:2" ht="15.5" x14ac:dyDescent="0.35">
      <c r="B3619" s="853">
        <v>27667.23679093114</v>
      </c>
    </row>
    <row r="3620" spans="2:2" ht="15.5" x14ac:dyDescent="0.35">
      <c r="B3620" s="853">
        <v>415079.21663659019</v>
      </c>
    </row>
    <row r="3621" spans="2:2" ht="15.5" x14ac:dyDescent="0.35">
      <c r="B3621" s="853">
        <v>267007.2754062051</v>
      </c>
    </row>
    <row r="3622" spans="2:2" ht="15.5" x14ac:dyDescent="0.35">
      <c r="B3622" s="853">
        <v>371354.71034192445</v>
      </c>
    </row>
    <row r="3623" spans="2:2" ht="15.5" x14ac:dyDescent="0.35">
      <c r="B3623" s="853">
        <v>200677.57497017743</v>
      </c>
    </row>
    <row r="3624" spans="2:2" ht="15.5" x14ac:dyDescent="0.35">
      <c r="B3624" s="853">
        <v>468561.08075749461</v>
      </c>
    </row>
    <row r="3625" spans="2:2" ht="15.5" x14ac:dyDescent="0.35">
      <c r="B3625" s="853">
        <v>294001.35170717677</v>
      </c>
    </row>
    <row r="3626" spans="2:2" ht="15.5" x14ac:dyDescent="0.35">
      <c r="B3626" s="853">
        <v>48033.080593024126</v>
      </c>
    </row>
    <row r="3627" spans="2:2" ht="15.5" x14ac:dyDescent="0.35">
      <c r="B3627" s="853">
        <v>379922.29380222288</v>
      </c>
    </row>
    <row r="3628" spans="2:2" ht="15.5" x14ac:dyDescent="0.35">
      <c r="B3628" s="853">
        <v>411294.60744504689</v>
      </c>
    </row>
    <row r="3629" spans="2:2" ht="15.5" x14ac:dyDescent="0.35">
      <c r="B3629" s="853">
        <v>174018.69099228337</v>
      </c>
    </row>
    <row r="3630" spans="2:2" ht="15.5" x14ac:dyDescent="0.35">
      <c r="B3630" s="853">
        <v>294344.42704442074</v>
      </c>
    </row>
    <row r="3631" spans="2:2" ht="15.5" x14ac:dyDescent="0.35">
      <c r="B3631" s="853">
        <v>67897.842885700113</v>
      </c>
    </row>
    <row r="3632" spans="2:2" ht="15.5" x14ac:dyDescent="0.35">
      <c r="B3632" s="853">
        <v>186307.9069786717</v>
      </c>
    </row>
    <row r="3633" spans="2:2" ht="15.5" x14ac:dyDescent="0.35">
      <c r="B3633" s="853">
        <v>23543.276842341711</v>
      </c>
    </row>
    <row r="3634" spans="2:2" ht="15.5" x14ac:dyDescent="0.35">
      <c r="B3634" s="853">
        <v>261453.26266657331</v>
      </c>
    </row>
    <row r="3635" spans="2:2" ht="15.5" x14ac:dyDescent="0.35">
      <c r="B3635" s="853">
        <v>194520.51442033038</v>
      </c>
    </row>
    <row r="3636" spans="2:2" ht="15.5" x14ac:dyDescent="0.35">
      <c r="B3636" s="853">
        <v>291405.29953367863</v>
      </c>
    </row>
    <row r="3637" spans="2:2" ht="15.5" x14ac:dyDescent="0.35">
      <c r="B3637" s="853">
        <v>442186.34692502656</v>
      </c>
    </row>
    <row r="3638" spans="2:2" ht="15.5" x14ac:dyDescent="0.35">
      <c r="B3638" s="853">
        <v>259518.81029605292</v>
      </c>
    </row>
    <row r="3639" spans="2:2" ht="15.5" x14ac:dyDescent="0.35">
      <c r="B3639" s="853">
        <v>535383.40455826977</v>
      </c>
    </row>
    <row r="3640" spans="2:2" ht="15.5" x14ac:dyDescent="0.35">
      <c r="B3640" s="853">
        <v>268288.27464934252</v>
      </c>
    </row>
    <row r="3641" spans="2:2" ht="15.5" x14ac:dyDescent="0.35">
      <c r="B3641" s="853">
        <v>305665.08816907153</v>
      </c>
    </row>
    <row r="3642" spans="2:2" ht="15.5" x14ac:dyDescent="0.35">
      <c r="B3642" s="853">
        <v>147098.94517611305</v>
      </c>
    </row>
    <row r="3643" spans="2:2" ht="15.5" x14ac:dyDescent="0.35">
      <c r="B3643" s="853">
        <v>339383.51861183956</v>
      </c>
    </row>
    <row r="3644" spans="2:2" ht="15.5" x14ac:dyDescent="0.35">
      <c r="B3644" s="853">
        <v>49590.936287697536</v>
      </c>
    </row>
    <row r="3645" spans="2:2" ht="15.5" x14ac:dyDescent="0.35">
      <c r="B3645" s="853">
        <v>479691.44040156045</v>
      </c>
    </row>
    <row r="3646" spans="2:2" ht="15.5" x14ac:dyDescent="0.35">
      <c r="B3646" s="853">
        <v>317438.40981280716</v>
      </c>
    </row>
    <row r="3647" spans="2:2" ht="15.5" x14ac:dyDescent="0.35">
      <c r="B3647" s="853">
        <v>64164.820803512346</v>
      </c>
    </row>
    <row r="3648" spans="2:2" ht="15.5" x14ac:dyDescent="0.35">
      <c r="B3648" s="853">
        <v>379833.17441194353</v>
      </c>
    </row>
    <row r="3649" spans="2:2" ht="15.5" x14ac:dyDescent="0.35">
      <c r="B3649" s="853">
        <v>438907.52856445475</v>
      </c>
    </row>
    <row r="3650" spans="2:2" ht="15.5" x14ac:dyDescent="0.35">
      <c r="B3650" s="853">
        <v>373146.47613302484</v>
      </c>
    </row>
    <row r="3651" spans="2:2" ht="15.5" x14ac:dyDescent="0.35">
      <c r="B3651" s="853">
        <v>112941.17584408648</v>
      </c>
    </row>
    <row r="3652" spans="2:2" ht="15.5" x14ac:dyDescent="0.35">
      <c r="B3652" s="853">
        <v>350902.39291690278</v>
      </c>
    </row>
    <row r="3653" spans="2:2" ht="15.5" x14ac:dyDescent="0.35">
      <c r="B3653" s="853">
        <v>68879.878376405919</v>
      </c>
    </row>
    <row r="3654" spans="2:2" ht="15.5" x14ac:dyDescent="0.35">
      <c r="B3654" s="853">
        <v>468587.56058789545</v>
      </c>
    </row>
    <row r="3655" spans="2:2" ht="15.5" x14ac:dyDescent="0.35">
      <c r="B3655" s="853">
        <v>252911.58393110998</v>
      </c>
    </row>
    <row r="3656" spans="2:2" ht="15.5" x14ac:dyDescent="0.35">
      <c r="B3656" s="853">
        <v>513860.38537061139</v>
      </c>
    </row>
    <row r="3657" spans="2:2" ht="15.5" x14ac:dyDescent="0.35">
      <c r="B3657" s="853">
        <v>290410.86952938972</v>
      </c>
    </row>
    <row r="3658" spans="2:2" ht="15.5" x14ac:dyDescent="0.35">
      <c r="B3658" s="853">
        <v>262386.09506610438</v>
      </c>
    </row>
    <row r="3659" spans="2:2" ht="15.5" x14ac:dyDescent="0.35">
      <c r="B3659" s="853">
        <v>349691.83251147374</v>
      </c>
    </row>
    <row r="3660" spans="2:2" ht="15.5" x14ac:dyDescent="0.35">
      <c r="B3660" s="853">
        <v>103756.73463548748</v>
      </c>
    </row>
    <row r="3661" spans="2:2" ht="15.5" x14ac:dyDescent="0.35">
      <c r="B3661" s="853">
        <v>324034.85247266339</v>
      </c>
    </row>
    <row r="3662" spans="2:2" ht="15.5" x14ac:dyDescent="0.35">
      <c r="B3662" s="853">
        <v>466585.74885840813</v>
      </c>
    </row>
    <row r="3663" spans="2:2" ht="15.5" x14ac:dyDescent="0.35">
      <c r="B3663" s="853">
        <v>-17051.055710537436</v>
      </c>
    </row>
    <row r="3664" spans="2:2" ht="15.5" x14ac:dyDescent="0.35">
      <c r="B3664" s="853">
        <v>417110.09538014542</v>
      </c>
    </row>
    <row r="3665" spans="2:2" ht="15.5" x14ac:dyDescent="0.35">
      <c r="B3665" s="853">
        <v>250019.40200880857</v>
      </c>
    </row>
    <row r="3666" spans="2:2" ht="15.5" x14ac:dyDescent="0.35">
      <c r="B3666" s="853">
        <v>172442.1175826049</v>
      </c>
    </row>
    <row r="3667" spans="2:2" ht="15.5" x14ac:dyDescent="0.35">
      <c r="B3667" s="853">
        <v>381575.68352648645</v>
      </c>
    </row>
    <row r="3668" spans="2:2" ht="15.5" x14ac:dyDescent="0.35">
      <c r="B3668" s="853">
        <v>29498.228313005922</v>
      </c>
    </row>
    <row r="3669" spans="2:2" ht="15.5" x14ac:dyDescent="0.35">
      <c r="B3669" s="853">
        <v>103050.62600760948</v>
      </c>
    </row>
    <row r="3670" spans="2:2" ht="15.5" x14ac:dyDescent="0.35">
      <c r="B3670" s="853">
        <v>557191.05594780715</v>
      </c>
    </row>
    <row r="3671" spans="2:2" ht="15.5" x14ac:dyDescent="0.35">
      <c r="B3671" s="853">
        <v>343763.01294821466</v>
      </c>
    </row>
    <row r="3672" spans="2:2" ht="15.5" x14ac:dyDescent="0.35">
      <c r="B3672" s="853">
        <v>443388.13646973588</v>
      </c>
    </row>
    <row r="3673" spans="2:2" ht="15.5" x14ac:dyDescent="0.35">
      <c r="B3673" s="853">
        <v>360207.02114668686</v>
      </c>
    </row>
    <row r="3674" spans="2:2" ht="15.5" x14ac:dyDescent="0.35">
      <c r="B3674" s="853">
        <v>435846.89379781066</v>
      </c>
    </row>
    <row r="3675" spans="2:2" ht="15.5" x14ac:dyDescent="0.35">
      <c r="B3675" s="853">
        <v>489586.78820653819</v>
      </c>
    </row>
    <row r="3676" spans="2:2" ht="15.5" x14ac:dyDescent="0.35">
      <c r="B3676" s="853">
        <v>526034.90959911386</v>
      </c>
    </row>
    <row r="3677" spans="2:2" ht="15.5" x14ac:dyDescent="0.35">
      <c r="B3677" s="853">
        <v>587273.54257623921</v>
      </c>
    </row>
    <row r="3678" spans="2:2" ht="15.5" x14ac:dyDescent="0.35">
      <c r="B3678" s="853">
        <v>169750.26159848971</v>
      </c>
    </row>
    <row r="3679" spans="2:2" ht="15.5" x14ac:dyDescent="0.35">
      <c r="B3679" s="853">
        <v>132765.09366415601</v>
      </c>
    </row>
    <row r="3680" spans="2:2" ht="15.5" x14ac:dyDescent="0.35">
      <c r="B3680" s="853">
        <v>362278.11805737205</v>
      </c>
    </row>
    <row r="3681" spans="2:2" ht="15.5" x14ac:dyDescent="0.35">
      <c r="B3681" s="853">
        <v>312224.59009827231</v>
      </c>
    </row>
    <row r="3682" spans="2:2" ht="15.5" x14ac:dyDescent="0.35">
      <c r="B3682" s="853">
        <v>358899.9098401615</v>
      </c>
    </row>
    <row r="3683" spans="2:2" ht="15.5" x14ac:dyDescent="0.35">
      <c r="B3683" s="853">
        <v>142029.28485667284</v>
      </c>
    </row>
    <row r="3684" spans="2:2" ht="15.5" x14ac:dyDescent="0.35">
      <c r="B3684" s="853">
        <v>634573.44501087093</v>
      </c>
    </row>
    <row r="3685" spans="2:2" ht="15.5" x14ac:dyDescent="0.35">
      <c r="B3685" s="853">
        <v>164954.50268252616</v>
      </c>
    </row>
    <row r="3686" spans="2:2" ht="15.5" x14ac:dyDescent="0.35">
      <c r="B3686" s="853">
        <v>309734.36322184047</v>
      </c>
    </row>
    <row r="3687" spans="2:2" ht="15.5" x14ac:dyDescent="0.35">
      <c r="B3687" s="853">
        <v>196243.2123173305</v>
      </c>
    </row>
    <row r="3688" spans="2:2" ht="15.5" x14ac:dyDescent="0.35">
      <c r="B3688" s="853">
        <v>156181.53951182775</v>
      </c>
    </row>
    <row r="3689" spans="2:2" ht="15.5" x14ac:dyDescent="0.35">
      <c r="B3689" s="853">
        <v>44776.853982804794</v>
      </c>
    </row>
    <row r="3690" spans="2:2" ht="15.5" x14ac:dyDescent="0.35">
      <c r="B3690" s="853">
        <v>293819.94416031742</v>
      </c>
    </row>
    <row r="3691" spans="2:2" ht="15.5" x14ac:dyDescent="0.35">
      <c r="B3691" s="853">
        <v>561155.69585109048</v>
      </c>
    </row>
    <row r="3692" spans="2:2" ht="15.5" x14ac:dyDescent="0.35">
      <c r="B3692" s="853">
        <v>85165.117970788968</v>
      </c>
    </row>
    <row r="3693" spans="2:2" ht="15.5" x14ac:dyDescent="0.35">
      <c r="B3693" s="853">
        <v>156776.3017998361</v>
      </c>
    </row>
    <row r="3694" spans="2:2" ht="15.5" x14ac:dyDescent="0.35">
      <c r="B3694" s="853">
        <v>27831.339640360489</v>
      </c>
    </row>
    <row r="3695" spans="2:2" ht="15.5" x14ac:dyDescent="0.35">
      <c r="B3695" s="853">
        <v>221916.41394753789</v>
      </c>
    </row>
    <row r="3696" spans="2:2" ht="15.5" x14ac:dyDescent="0.35">
      <c r="B3696" s="853">
        <v>439873.49171970692</v>
      </c>
    </row>
    <row r="3697" spans="2:2" ht="15.5" x14ac:dyDescent="0.35">
      <c r="B3697" s="853">
        <v>436500.71534703783</v>
      </c>
    </row>
    <row r="3698" spans="2:2" ht="15.5" x14ac:dyDescent="0.35">
      <c r="B3698" s="853">
        <v>271558.54097626731</v>
      </c>
    </row>
    <row r="3699" spans="2:2" ht="15.5" x14ac:dyDescent="0.35">
      <c r="B3699" s="853">
        <v>233246.40480070867</v>
      </c>
    </row>
    <row r="3700" spans="2:2" ht="15.5" x14ac:dyDescent="0.35">
      <c r="B3700" s="853">
        <v>356401.05201895226</v>
      </c>
    </row>
    <row r="3701" spans="2:2" ht="15.5" x14ac:dyDescent="0.35">
      <c r="B3701" s="853">
        <v>477805.49916765862</v>
      </c>
    </row>
    <row r="3702" spans="2:2" ht="15.5" x14ac:dyDescent="0.35">
      <c r="B3702" s="853">
        <v>440177.33763486927</v>
      </c>
    </row>
    <row r="3703" spans="2:2" ht="15.5" x14ac:dyDescent="0.35">
      <c r="B3703" s="853">
        <v>252140.27984414299</v>
      </c>
    </row>
    <row r="3704" spans="2:2" ht="15.5" x14ac:dyDescent="0.35">
      <c r="B3704" s="853">
        <v>209323.15901982339</v>
      </c>
    </row>
    <row r="3705" spans="2:2" ht="15.5" x14ac:dyDescent="0.35">
      <c r="B3705" s="853">
        <v>142830.3132259399</v>
      </c>
    </row>
    <row r="3706" spans="2:2" ht="15.5" x14ac:dyDescent="0.35">
      <c r="B3706" s="853">
        <v>510641.99815984746</v>
      </c>
    </row>
    <row r="3707" spans="2:2" ht="15.5" x14ac:dyDescent="0.35">
      <c r="B3707" s="853">
        <v>363905.42096296314</v>
      </c>
    </row>
    <row r="3708" spans="2:2" ht="15.5" x14ac:dyDescent="0.35">
      <c r="B3708" s="853">
        <v>507683.69095498743</v>
      </c>
    </row>
    <row r="3709" spans="2:2" ht="15.5" x14ac:dyDescent="0.35">
      <c r="B3709" s="853">
        <v>311192.14235379768</v>
      </c>
    </row>
    <row r="3710" spans="2:2" ht="15.5" x14ac:dyDescent="0.35">
      <c r="B3710" s="853">
        <v>442073.0110728243</v>
      </c>
    </row>
    <row r="3711" spans="2:2" ht="15.5" x14ac:dyDescent="0.35">
      <c r="B3711" s="853">
        <v>261647.47670391074</v>
      </c>
    </row>
    <row r="3712" spans="2:2" ht="15.5" x14ac:dyDescent="0.35">
      <c r="B3712" s="853">
        <v>305271.37184491305</v>
      </c>
    </row>
    <row r="3713" spans="2:2" ht="15.5" x14ac:dyDescent="0.35">
      <c r="B3713" s="853">
        <v>455123.10889198567</v>
      </c>
    </row>
    <row r="3714" spans="2:2" ht="15.5" x14ac:dyDescent="0.35">
      <c r="B3714" s="853">
        <v>521291.64751816861</v>
      </c>
    </row>
    <row r="3715" spans="2:2" ht="15.5" x14ac:dyDescent="0.35">
      <c r="B3715" s="853">
        <v>331875.15276135848</v>
      </c>
    </row>
    <row r="3716" spans="2:2" ht="15.5" x14ac:dyDescent="0.35">
      <c r="B3716" s="853">
        <v>378752.66581746237</v>
      </c>
    </row>
    <row r="3717" spans="2:2" ht="15.5" x14ac:dyDescent="0.35">
      <c r="B3717" s="853">
        <v>275954.71136494988</v>
      </c>
    </row>
    <row r="3718" spans="2:2" ht="15.5" x14ac:dyDescent="0.35">
      <c r="B3718" s="853">
        <v>299961.68396389531</v>
      </c>
    </row>
    <row r="3719" spans="2:2" ht="15.5" x14ac:dyDescent="0.35">
      <c r="B3719" s="853">
        <v>175041.5480968722</v>
      </c>
    </row>
    <row r="3720" spans="2:2" ht="15.5" x14ac:dyDescent="0.35">
      <c r="B3720" s="853">
        <v>437489.45007726224</v>
      </c>
    </row>
    <row r="3721" spans="2:2" ht="15.5" x14ac:dyDescent="0.35">
      <c r="B3721" s="853">
        <v>471779.58774684457</v>
      </c>
    </row>
    <row r="3722" spans="2:2" ht="15.5" x14ac:dyDescent="0.35">
      <c r="B3722" s="853">
        <v>378065.62450705213</v>
      </c>
    </row>
    <row r="3723" spans="2:2" ht="15.5" x14ac:dyDescent="0.35">
      <c r="B3723" s="853">
        <v>327506.5936828081</v>
      </c>
    </row>
    <row r="3724" spans="2:2" ht="15.5" x14ac:dyDescent="0.35">
      <c r="B3724" s="853">
        <v>240163.52861118957</v>
      </c>
    </row>
    <row r="3725" spans="2:2" ht="15.5" x14ac:dyDescent="0.35">
      <c r="B3725" s="853">
        <v>155154.08793217302</v>
      </c>
    </row>
    <row r="3726" spans="2:2" ht="15.5" x14ac:dyDescent="0.35">
      <c r="B3726" s="853">
        <v>207255.23574779325</v>
      </c>
    </row>
    <row r="3727" spans="2:2" ht="15.5" x14ac:dyDescent="0.35">
      <c r="B3727" s="853">
        <v>371581.95206052181</v>
      </c>
    </row>
    <row r="3728" spans="2:2" ht="15.5" x14ac:dyDescent="0.35">
      <c r="B3728" s="853">
        <v>222891.38871032689</v>
      </c>
    </row>
    <row r="3729" spans="2:2" ht="15.5" x14ac:dyDescent="0.35">
      <c r="B3729" s="853">
        <v>256055.15107888993</v>
      </c>
    </row>
    <row r="3730" spans="2:2" ht="15.5" x14ac:dyDescent="0.35">
      <c r="B3730" s="853">
        <v>452925.8486902148</v>
      </c>
    </row>
    <row r="3731" spans="2:2" ht="15.5" x14ac:dyDescent="0.35">
      <c r="B3731" s="853">
        <v>360615.05810553231</v>
      </c>
    </row>
    <row r="3732" spans="2:2" ht="15.5" x14ac:dyDescent="0.35">
      <c r="B3732" s="853">
        <v>385106.86901202018</v>
      </c>
    </row>
    <row r="3733" spans="2:2" ht="15.5" x14ac:dyDescent="0.35">
      <c r="B3733" s="853">
        <v>416779.15093469789</v>
      </c>
    </row>
    <row r="3734" spans="2:2" ht="15.5" x14ac:dyDescent="0.35">
      <c r="B3734" s="853">
        <v>451766.65850383526</v>
      </c>
    </row>
    <row r="3735" spans="2:2" ht="15.5" x14ac:dyDescent="0.35">
      <c r="B3735" s="853">
        <v>431791.53813503118</v>
      </c>
    </row>
    <row r="3736" spans="2:2" ht="15.5" x14ac:dyDescent="0.35">
      <c r="B3736" s="853">
        <v>261412.71724437317</v>
      </c>
    </row>
    <row r="3737" spans="2:2" ht="15.5" x14ac:dyDescent="0.35">
      <c r="B3737" s="853">
        <v>437136.27202150575</v>
      </c>
    </row>
    <row r="3738" spans="2:2" ht="15.5" x14ac:dyDescent="0.35">
      <c r="B3738" s="853">
        <v>21180.66714269339</v>
      </c>
    </row>
    <row r="3739" spans="2:2" ht="15.5" x14ac:dyDescent="0.35">
      <c r="B3739" s="853">
        <v>519434.4739493822</v>
      </c>
    </row>
    <row r="3740" spans="2:2" ht="15.5" x14ac:dyDescent="0.35">
      <c r="B3740" s="853">
        <v>292058.41929866228</v>
      </c>
    </row>
    <row r="3741" spans="2:2" ht="15.5" x14ac:dyDescent="0.35">
      <c r="B3741" s="853">
        <v>346135.58805399109</v>
      </c>
    </row>
    <row r="3742" spans="2:2" ht="15.5" x14ac:dyDescent="0.35">
      <c r="B3742" s="853">
        <v>293875.21388104209</v>
      </c>
    </row>
    <row r="3743" spans="2:2" ht="15.5" x14ac:dyDescent="0.35">
      <c r="B3743" s="853">
        <v>524662.13852858229</v>
      </c>
    </row>
    <row r="3744" spans="2:2" ht="15.5" x14ac:dyDescent="0.35">
      <c r="B3744" s="853">
        <v>347013.56810477108</v>
      </c>
    </row>
    <row r="3745" spans="2:2" ht="15.5" x14ac:dyDescent="0.35">
      <c r="B3745" s="853">
        <v>-48290.62776228453</v>
      </c>
    </row>
    <row r="3746" spans="2:2" ht="15.5" x14ac:dyDescent="0.35">
      <c r="B3746" s="853">
        <v>194062.83051445638</v>
      </c>
    </row>
    <row r="3747" spans="2:2" ht="15.5" x14ac:dyDescent="0.35">
      <c r="B3747" s="853">
        <v>137139.67981366871</v>
      </c>
    </row>
    <row r="3748" spans="2:2" ht="15.5" x14ac:dyDescent="0.35">
      <c r="B3748" s="853">
        <v>193814.87432096459</v>
      </c>
    </row>
    <row r="3749" spans="2:2" ht="15.5" x14ac:dyDescent="0.35">
      <c r="B3749" s="853">
        <v>27983.687842719242</v>
      </c>
    </row>
    <row r="3750" spans="2:2" ht="15.5" x14ac:dyDescent="0.35">
      <c r="B3750" s="853">
        <v>308504.28245096951</v>
      </c>
    </row>
    <row r="3751" spans="2:2" ht="15.5" x14ac:dyDescent="0.35">
      <c r="B3751" s="853">
        <v>227947.49706741527</v>
      </c>
    </row>
    <row r="3752" spans="2:2" ht="15.5" x14ac:dyDescent="0.35">
      <c r="B3752" s="853">
        <v>108840.10858957615</v>
      </c>
    </row>
    <row r="3753" spans="2:2" ht="15.5" x14ac:dyDescent="0.35">
      <c r="B3753" s="853">
        <v>142343.61719534511</v>
      </c>
    </row>
    <row r="3754" spans="2:2" ht="15.5" x14ac:dyDescent="0.35">
      <c r="B3754" s="853">
        <v>269871.68503869529</v>
      </c>
    </row>
    <row r="3755" spans="2:2" ht="15.5" x14ac:dyDescent="0.35">
      <c r="B3755" s="853">
        <v>218976.35234361494</v>
      </c>
    </row>
    <row r="3756" spans="2:2" ht="15.5" x14ac:dyDescent="0.35">
      <c r="B3756" s="853">
        <v>74818.25140392789</v>
      </c>
    </row>
    <row r="3757" spans="2:2" ht="15.5" x14ac:dyDescent="0.35">
      <c r="B3757" s="853">
        <v>405659.05357415642</v>
      </c>
    </row>
    <row r="3758" spans="2:2" ht="15.5" x14ac:dyDescent="0.35">
      <c r="B3758" s="853">
        <v>323525.36028588726</v>
      </c>
    </row>
    <row r="3759" spans="2:2" ht="15.5" x14ac:dyDescent="0.35">
      <c r="B3759" s="853">
        <v>37240.680484600402</v>
      </c>
    </row>
    <row r="3760" spans="2:2" ht="15.5" x14ac:dyDescent="0.35">
      <c r="B3760" s="853">
        <v>170383.70601584579</v>
      </c>
    </row>
    <row r="3761" spans="2:2" ht="15.5" x14ac:dyDescent="0.35">
      <c r="B3761" s="853">
        <v>599419.15076967224</v>
      </c>
    </row>
    <row r="3762" spans="2:2" ht="15.5" x14ac:dyDescent="0.35">
      <c r="B3762" s="853">
        <v>355844.40413944604</v>
      </c>
    </row>
    <row r="3763" spans="2:2" ht="15.5" x14ac:dyDescent="0.35">
      <c r="B3763" s="853">
        <v>236339.97001108585</v>
      </c>
    </row>
    <row r="3764" spans="2:2" ht="15.5" x14ac:dyDescent="0.35">
      <c r="B3764" s="853">
        <v>278069.21508468781</v>
      </c>
    </row>
    <row r="3765" spans="2:2" ht="15.5" x14ac:dyDescent="0.35">
      <c r="B3765" s="853">
        <v>387104.19533987553</v>
      </c>
    </row>
    <row r="3766" spans="2:2" ht="15.5" x14ac:dyDescent="0.35">
      <c r="B3766" s="853">
        <v>495615.05074627628</v>
      </c>
    </row>
    <row r="3767" spans="2:2" ht="15.5" x14ac:dyDescent="0.35">
      <c r="B3767" s="853">
        <v>271683.94175812579</v>
      </c>
    </row>
    <row r="3768" spans="2:2" ht="15.5" x14ac:dyDescent="0.35">
      <c r="B3768" s="853">
        <v>432556.7836156626</v>
      </c>
    </row>
    <row r="3769" spans="2:2" ht="15.5" x14ac:dyDescent="0.35">
      <c r="B3769" s="853">
        <v>481726.84325003991</v>
      </c>
    </row>
    <row r="3770" spans="2:2" ht="15.5" x14ac:dyDescent="0.35">
      <c r="B3770" s="853">
        <v>410472.45828655869</v>
      </c>
    </row>
    <row r="3771" spans="2:2" ht="15.5" x14ac:dyDescent="0.35">
      <c r="B3771" s="853">
        <v>193755.01475650989</v>
      </c>
    </row>
    <row r="3772" spans="2:2" ht="15.5" x14ac:dyDescent="0.35">
      <c r="B3772" s="853">
        <v>-68600.365133549276</v>
      </c>
    </row>
    <row r="3773" spans="2:2" ht="15.5" x14ac:dyDescent="0.35">
      <c r="B3773" s="853">
        <v>644868.66707598639</v>
      </c>
    </row>
    <row r="3774" spans="2:2" ht="15.5" x14ac:dyDescent="0.35">
      <c r="B3774" s="853">
        <v>164811.00830779411</v>
      </c>
    </row>
    <row r="3775" spans="2:2" ht="15.5" x14ac:dyDescent="0.35">
      <c r="B3775" s="853">
        <v>256446.13971687693</v>
      </c>
    </row>
    <row r="3776" spans="2:2" ht="15.5" x14ac:dyDescent="0.35">
      <c r="B3776" s="853">
        <v>232423.32040185714</v>
      </c>
    </row>
    <row r="3777" spans="2:2" ht="15.5" x14ac:dyDescent="0.35">
      <c r="B3777" s="853">
        <v>195138.9962074467</v>
      </c>
    </row>
    <row r="3778" spans="2:2" ht="15.5" x14ac:dyDescent="0.35">
      <c r="B3778" s="853">
        <v>406715.72475698672</v>
      </c>
    </row>
    <row r="3779" spans="2:2" ht="15.5" x14ac:dyDescent="0.35">
      <c r="B3779" s="853">
        <v>354671.44014705793</v>
      </c>
    </row>
    <row r="3780" spans="2:2" ht="15.5" x14ac:dyDescent="0.35">
      <c r="B3780" s="853">
        <v>328860.97928760323</v>
      </c>
    </row>
    <row r="3781" spans="2:2" ht="15.5" x14ac:dyDescent="0.35">
      <c r="B3781" s="853">
        <v>198138.99155188032</v>
      </c>
    </row>
    <row r="3782" spans="2:2" ht="15.5" x14ac:dyDescent="0.35">
      <c r="B3782" s="853">
        <v>317474.49692193762</v>
      </c>
    </row>
    <row r="3783" spans="2:2" ht="15.5" x14ac:dyDescent="0.35">
      <c r="B3783" s="853">
        <v>314563.88479964394</v>
      </c>
    </row>
    <row r="3784" spans="2:2" ht="15.5" x14ac:dyDescent="0.35">
      <c r="B3784" s="853">
        <v>-45958.011489524244</v>
      </c>
    </row>
    <row r="3785" spans="2:2" ht="15.5" x14ac:dyDescent="0.35">
      <c r="B3785" s="853">
        <v>197440.97632101073</v>
      </c>
    </row>
    <row r="3786" spans="2:2" ht="15.5" x14ac:dyDescent="0.35">
      <c r="B3786" s="853">
        <v>376015.72590759158</v>
      </c>
    </row>
    <row r="3787" spans="2:2" ht="15.5" x14ac:dyDescent="0.35">
      <c r="B3787" s="853">
        <v>303520.90061929863</v>
      </c>
    </row>
    <row r="3788" spans="2:2" ht="15.5" x14ac:dyDescent="0.35">
      <c r="B3788" s="853">
        <v>368499.89152537711</v>
      </c>
    </row>
    <row r="3789" spans="2:2" ht="15.5" x14ac:dyDescent="0.35">
      <c r="B3789" s="853">
        <v>360980.82532042847</v>
      </c>
    </row>
    <row r="3790" spans="2:2" ht="15.5" x14ac:dyDescent="0.35">
      <c r="B3790" s="853">
        <v>594628.23033947533</v>
      </c>
    </row>
    <row r="3791" spans="2:2" ht="15.5" x14ac:dyDescent="0.35">
      <c r="B3791" s="853">
        <v>30445.401584512696</v>
      </c>
    </row>
    <row r="3792" spans="2:2" ht="15.5" x14ac:dyDescent="0.35">
      <c r="B3792" s="853">
        <v>221122.54240012242</v>
      </c>
    </row>
    <row r="3793" spans="2:2" ht="15.5" x14ac:dyDescent="0.35">
      <c r="B3793" s="853">
        <v>259504.49814510887</v>
      </c>
    </row>
    <row r="3794" spans="2:2" ht="15.5" x14ac:dyDescent="0.35">
      <c r="B3794" s="853">
        <v>282074.7668940844</v>
      </c>
    </row>
    <row r="3795" spans="2:2" ht="15.5" x14ac:dyDescent="0.35">
      <c r="B3795" s="853">
        <v>198687.90889120931</v>
      </c>
    </row>
    <row r="3796" spans="2:2" ht="15.5" x14ac:dyDescent="0.35">
      <c r="B3796" s="853">
        <v>130302.28851648115</v>
      </c>
    </row>
    <row r="3797" spans="2:2" ht="15.5" x14ac:dyDescent="0.35">
      <c r="B3797" s="853">
        <v>370705.85470884835</v>
      </c>
    </row>
    <row r="3798" spans="2:2" ht="15.5" x14ac:dyDescent="0.35">
      <c r="B3798" s="853">
        <v>294619.20110158913</v>
      </c>
    </row>
    <row r="3799" spans="2:2" ht="15.5" x14ac:dyDescent="0.35">
      <c r="B3799" s="853">
        <v>264178.22746838216</v>
      </c>
    </row>
    <row r="3800" spans="2:2" ht="15.5" x14ac:dyDescent="0.35">
      <c r="B3800" s="853">
        <v>247787.28924048069</v>
      </c>
    </row>
    <row r="3801" spans="2:2" ht="15.5" x14ac:dyDescent="0.35">
      <c r="B3801" s="853">
        <v>399142.17441307555</v>
      </c>
    </row>
    <row r="3802" spans="2:2" ht="15.5" x14ac:dyDescent="0.35">
      <c r="B3802" s="853">
        <v>270796.11463289324</v>
      </c>
    </row>
    <row r="3803" spans="2:2" ht="15.5" x14ac:dyDescent="0.35">
      <c r="B3803" s="853">
        <v>612503.49011727993</v>
      </c>
    </row>
    <row r="3804" spans="2:2" ht="15.5" x14ac:dyDescent="0.35">
      <c r="B3804" s="853">
        <v>240881.04090746291</v>
      </c>
    </row>
    <row r="3805" spans="2:2" ht="15.5" x14ac:dyDescent="0.35">
      <c r="B3805" s="853">
        <v>107736.40693649939</v>
      </c>
    </row>
    <row r="3806" spans="2:2" ht="15.5" x14ac:dyDescent="0.35">
      <c r="B3806" s="853">
        <v>355741.85618861904</v>
      </c>
    </row>
    <row r="3807" spans="2:2" ht="15.5" x14ac:dyDescent="0.35">
      <c r="B3807" s="853">
        <v>557953.71362150449</v>
      </c>
    </row>
    <row r="3808" spans="2:2" ht="15.5" x14ac:dyDescent="0.35">
      <c r="B3808" s="853">
        <v>96550.274101324583</v>
      </c>
    </row>
    <row r="3809" spans="2:2" ht="15.5" x14ac:dyDescent="0.35">
      <c r="B3809" s="853">
        <v>103962.27734890468</v>
      </c>
    </row>
    <row r="3810" spans="2:2" ht="15.5" x14ac:dyDescent="0.35">
      <c r="B3810" s="853">
        <v>279421.31294854713</v>
      </c>
    </row>
    <row r="3811" spans="2:2" ht="15.5" x14ac:dyDescent="0.35">
      <c r="B3811" s="853">
        <v>253278.21401271844</v>
      </c>
    </row>
    <row r="3812" spans="2:2" ht="15.5" x14ac:dyDescent="0.35">
      <c r="B3812" s="853">
        <v>573245.43296058476</v>
      </c>
    </row>
    <row r="3813" spans="2:2" ht="15.5" x14ac:dyDescent="0.35">
      <c r="B3813" s="853">
        <v>411670.43136944488</v>
      </c>
    </row>
    <row r="3814" spans="2:2" ht="15.5" x14ac:dyDescent="0.35">
      <c r="B3814" s="853">
        <v>148906.15678183944</v>
      </c>
    </row>
    <row r="3815" spans="2:2" ht="15.5" x14ac:dyDescent="0.35">
      <c r="B3815" s="853">
        <v>279012.94306924002</v>
      </c>
    </row>
    <row r="3816" spans="2:2" ht="15.5" x14ac:dyDescent="0.35">
      <c r="B3816" s="853">
        <v>495689.01626973983</v>
      </c>
    </row>
    <row r="3817" spans="2:2" ht="15.5" x14ac:dyDescent="0.35">
      <c r="B3817" s="853">
        <v>544819.06351592182</v>
      </c>
    </row>
    <row r="3818" spans="2:2" ht="15.5" x14ac:dyDescent="0.35">
      <c r="B3818" s="853">
        <v>357093.34404763585</v>
      </c>
    </row>
    <row r="3819" spans="2:2" ht="15.5" x14ac:dyDescent="0.35">
      <c r="B3819" s="853">
        <v>183989.17232633452</v>
      </c>
    </row>
    <row r="3820" spans="2:2" ht="15.5" x14ac:dyDescent="0.35">
      <c r="B3820" s="853">
        <v>313057.14694829052</v>
      </c>
    </row>
    <row r="3821" spans="2:2" ht="15.5" x14ac:dyDescent="0.35">
      <c r="B3821" s="853">
        <v>421376.19911808247</v>
      </c>
    </row>
    <row r="3822" spans="2:2" ht="15.5" x14ac:dyDescent="0.35">
      <c r="B3822" s="853">
        <v>444516.55212977907</v>
      </c>
    </row>
    <row r="3823" spans="2:2" ht="15.5" x14ac:dyDescent="0.35">
      <c r="B3823" s="853">
        <v>386815.89735336235</v>
      </c>
    </row>
    <row r="3824" spans="2:2" ht="15.5" x14ac:dyDescent="0.35">
      <c r="B3824" s="853">
        <v>421968.43592183205</v>
      </c>
    </row>
    <row r="3825" spans="2:2" ht="15.5" x14ac:dyDescent="0.35">
      <c r="B3825" s="853">
        <v>357403.0477730931</v>
      </c>
    </row>
    <row r="3826" spans="2:2" ht="15.5" x14ac:dyDescent="0.35">
      <c r="B3826" s="853">
        <v>440112.9342659876</v>
      </c>
    </row>
    <row r="3827" spans="2:2" ht="15.5" x14ac:dyDescent="0.35">
      <c r="B3827" s="853">
        <v>597996.42660983419</v>
      </c>
    </row>
    <row r="3828" spans="2:2" ht="15.5" x14ac:dyDescent="0.35">
      <c r="B3828" s="853">
        <v>116193.68792079015</v>
      </c>
    </row>
    <row r="3829" spans="2:2" ht="15.5" x14ac:dyDescent="0.35">
      <c r="B3829" s="853">
        <v>377413.74457858392</v>
      </c>
    </row>
    <row r="3830" spans="2:2" ht="15.5" x14ac:dyDescent="0.35">
      <c r="B3830" s="853">
        <v>247874.69091993771</v>
      </c>
    </row>
    <row r="3831" spans="2:2" ht="15.5" x14ac:dyDescent="0.35">
      <c r="B3831" s="853">
        <v>356966.24417101109</v>
      </c>
    </row>
    <row r="3832" spans="2:2" ht="15.5" x14ac:dyDescent="0.35">
      <c r="B3832" s="853">
        <v>263212.9485441224</v>
      </c>
    </row>
    <row r="3833" spans="2:2" ht="15.5" x14ac:dyDescent="0.35">
      <c r="B3833" s="853">
        <v>546067.53715839284</v>
      </c>
    </row>
    <row r="3834" spans="2:2" ht="15.5" x14ac:dyDescent="0.35">
      <c r="B3834" s="853">
        <v>210123.40183792729</v>
      </c>
    </row>
    <row r="3835" spans="2:2" ht="15.5" x14ac:dyDescent="0.35">
      <c r="B3835" s="853">
        <v>491638.10222752846</v>
      </c>
    </row>
    <row r="3836" spans="2:2" ht="15.5" x14ac:dyDescent="0.35">
      <c r="B3836" s="853">
        <v>122858.52818810729</v>
      </c>
    </row>
    <row r="3837" spans="2:2" ht="15.5" x14ac:dyDescent="0.35">
      <c r="B3837" s="853">
        <v>341114.01617782895</v>
      </c>
    </row>
    <row r="3838" spans="2:2" ht="15.5" x14ac:dyDescent="0.35">
      <c r="B3838" s="853">
        <v>256196.50120737928</v>
      </c>
    </row>
    <row r="3839" spans="2:2" ht="15.5" x14ac:dyDescent="0.35">
      <c r="B3839" s="853">
        <v>328771.45750848734</v>
      </c>
    </row>
    <row r="3840" spans="2:2" ht="15.5" x14ac:dyDescent="0.35">
      <c r="B3840" s="853">
        <v>483425.54920638609</v>
      </c>
    </row>
    <row r="3841" spans="2:2" ht="15.5" x14ac:dyDescent="0.35">
      <c r="B3841" s="853">
        <v>175546.24541855385</v>
      </c>
    </row>
    <row r="3842" spans="2:2" ht="15.5" x14ac:dyDescent="0.35">
      <c r="B3842" s="853">
        <v>415378.21974288375</v>
      </c>
    </row>
    <row r="3843" spans="2:2" ht="15.5" x14ac:dyDescent="0.35">
      <c r="B3843" s="853">
        <v>399659.81927072507</v>
      </c>
    </row>
    <row r="3844" spans="2:2" ht="15.5" x14ac:dyDescent="0.35">
      <c r="B3844" s="853">
        <v>149799.87602894599</v>
      </c>
    </row>
    <row r="3845" spans="2:2" ht="15.5" x14ac:dyDescent="0.35">
      <c r="B3845" s="853">
        <v>419361.00661718321</v>
      </c>
    </row>
    <row r="3846" spans="2:2" ht="15.5" x14ac:dyDescent="0.35">
      <c r="B3846" s="853">
        <v>279334.01561224036</v>
      </c>
    </row>
    <row r="3847" spans="2:2" ht="15.5" x14ac:dyDescent="0.35">
      <c r="B3847" s="853">
        <v>451041.22888242087</v>
      </c>
    </row>
    <row r="3848" spans="2:2" ht="15.5" x14ac:dyDescent="0.35">
      <c r="B3848" s="853">
        <v>373310.05337188492</v>
      </c>
    </row>
    <row r="3849" spans="2:2" ht="15.5" x14ac:dyDescent="0.35">
      <c r="B3849" s="853">
        <v>324563.65360249911</v>
      </c>
    </row>
    <row r="3850" spans="2:2" ht="15.5" x14ac:dyDescent="0.35">
      <c r="B3850" s="853">
        <v>256543.49132972135</v>
      </c>
    </row>
    <row r="3851" spans="2:2" ht="15.5" x14ac:dyDescent="0.35">
      <c r="B3851" s="853">
        <v>333398.3274942977</v>
      </c>
    </row>
    <row r="3852" spans="2:2" ht="15.5" x14ac:dyDescent="0.35">
      <c r="B3852" s="853">
        <v>350780.11210041621</v>
      </c>
    </row>
    <row r="3853" spans="2:2" ht="15.5" x14ac:dyDescent="0.35">
      <c r="B3853" s="853">
        <v>235442.1746240716</v>
      </c>
    </row>
    <row r="3854" spans="2:2" ht="15.5" x14ac:dyDescent="0.35">
      <c r="B3854" s="853">
        <v>413122.37379598542</v>
      </c>
    </row>
    <row r="3855" spans="2:2" ht="15.5" x14ac:dyDescent="0.35">
      <c r="B3855" s="853">
        <v>500554.779049351</v>
      </c>
    </row>
    <row r="3856" spans="2:2" ht="15.5" x14ac:dyDescent="0.35">
      <c r="B3856" s="853">
        <v>431663.41228088242</v>
      </c>
    </row>
    <row r="3857" spans="2:2" ht="15.5" x14ac:dyDescent="0.35">
      <c r="B3857" s="853">
        <v>129392.08401815282</v>
      </c>
    </row>
    <row r="3858" spans="2:2" ht="15.5" x14ac:dyDescent="0.35">
      <c r="B3858" s="853">
        <v>151724.09739351971</v>
      </c>
    </row>
    <row r="3859" spans="2:2" ht="15.5" x14ac:dyDescent="0.35">
      <c r="B3859" s="853">
        <v>63761.136889089721</v>
      </c>
    </row>
    <row r="3860" spans="2:2" ht="15.5" x14ac:dyDescent="0.35">
      <c r="B3860" s="853">
        <v>74288.135934059217</v>
      </c>
    </row>
    <row r="3861" spans="2:2" ht="15.5" x14ac:dyDescent="0.35">
      <c r="B3861" s="853">
        <v>450623.31759186724</v>
      </c>
    </row>
    <row r="3862" spans="2:2" ht="15.5" x14ac:dyDescent="0.35">
      <c r="B3862" s="853">
        <v>346491.98407171736</v>
      </c>
    </row>
    <row r="3863" spans="2:2" ht="15.5" x14ac:dyDescent="0.35">
      <c r="B3863" s="853">
        <v>377142.13408706867</v>
      </c>
    </row>
    <row r="3864" spans="2:2" ht="15.5" x14ac:dyDescent="0.35">
      <c r="B3864" s="853">
        <v>158058.97140462318</v>
      </c>
    </row>
    <row r="3865" spans="2:2" ht="15.5" x14ac:dyDescent="0.35">
      <c r="B3865" s="853">
        <v>254096.41277286451</v>
      </c>
    </row>
    <row r="3866" spans="2:2" ht="15.5" x14ac:dyDescent="0.35">
      <c r="B3866" s="853">
        <v>34562.651325493331</v>
      </c>
    </row>
    <row r="3867" spans="2:2" ht="15.5" x14ac:dyDescent="0.35">
      <c r="B3867" s="853">
        <v>405098.1810656868</v>
      </c>
    </row>
    <row r="3868" spans="2:2" ht="15.5" x14ac:dyDescent="0.35">
      <c r="B3868" s="853">
        <v>87155.10731871915</v>
      </c>
    </row>
    <row r="3869" spans="2:2" ht="15.5" x14ac:dyDescent="0.35">
      <c r="B3869" s="853">
        <v>363732.44823390222</v>
      </c>
    </row>
    <row r="3870" spans="2:2" ht="15.5" x14ac:dyDescent="0.35">
      <c r="B3870" s="853">
        <v>268203.85098060459</v>
      </c>
    </row>
    <row r="3871" spans="2:2" ht="15.5" x14ac:dyDescent="0.35">
      <c r="B3871" s="853">
        <v>180292.75872959604</v>
      </c>
    </row>
    <row r="3872" spans="2:2" ht="15.5" x14ac:dyDescent="0.35">
      <c r="B3872" s="853">
        <v>378431.32419616659</v>
      </c>
    </row>
    <row r="3873" spans="2:2" ht="15.5" x14ac:dyDescent="0.35">
      <c r="B3873" s="853">
        <v>461040.29635647923</v>
      </c>
    </row>
    <row r="3874" spans="2:2" ht="15.5" x14ac:dyDescent="0.35">
      <c r="B3874" s="853">
        <v>479469.3724378809</v>
      </c>
    </row>
    <row r="3875" spans="2:2" ht="15.5" x14ac:dyDescent="0.35">
      <c r="B3875" s="853">
        <v>255212.63984112622</v>
      </c>
    </row>
    <row r="3876" spans="2:2" ht="15.5" x14ac:dyDescent="0.35">
      <c r="B3876" s="853">
        <v>461280.37790321565</v>
      </c>
    </row>
    <row r="3877" spans="2:2" ht="15.5" x14ac:dyDescent="0.35">
      <c r="B3877" s="853">
        <v>484392.81499979337</v>
      </c>
    </row>
    <row r="3878" spans="2:2" ht="15.5" x14ac:dyDescent="0.35">
      <c r="B3878" s="853">
        <v>75836.894483718905</v>
      </c>
    </row>
    <row r="3879" spans="2:2" ht="15.5" x14ac:dyDescent="0.35">
      <c r="B3879" s="853">
        <v>142316.13636312354</v>
      </c>
    </row>
    <row r="3880" spans="2:2" ht="15.5" x14ac:dyDescent="0.35">
      <c r="B3880" s="853">
        <v>426403.98562114692</v>
      </c>
    </row>
    <row r="3881" spans="2:2" ht="15.5" x14ac:dyDescent="0.35">
      <c r="B3881" s="853">
        <v>125271.37576733864</v>
      </c>
    </row>
    <row r="3882" spans="2:2" ht="15.5" x14ac:dyDescent="0.35">
      <c r="B3882" s="853">
        <v>99187.767586631933</v>
      </c>
    </row>
    <row r="3883" spans="2:2" ht="15.5" x14ac:dyDescent="0.35">
      <c r="B3883" s="853">
        <v>361334.04657387437</v>
      </c>
    </row>
    <row r="3884" spans="2:2" ht="15.5" x14ac:dyDescent="0.35">
      <c r="B3884" s="853">
        <v>158680.54933425967</v>
      </c>
    </row>
    <row r="3885" spans="2:2" ht="15.5" x14ac:dyDescent="0.35">
      <c r="B3885" s="853">
        <v>523724.86801070668</v>
      </c>
    </row>
    <row r="3886" spans="2:2" ht="15.5" x14ac:dyDescent="0.35">
      <c r="B3886" s="853">
        <v>134774.61862712921</v>
      </c>
    </row>
    <row r="3887" spans="2:2" ht="15.5" x14ac:dyDescent="0.35">
      <c r="B3887" s="853">
        <v>257865.04555055161</v>
      </c>
    </row>
    <row r="3888" spans="2:2" ht="15.5" x14ac:dyDescent="0.35">
      <c r="B3888" s="853">
        <v>173994.68637345789</v>
      </c>
    </row>
    <row r="3889" spans="2:2" ht="15.5" x14ac:dyDescent="0.35">
      <c r="B3889" s="853">
        <v>128582.48413825444</v>
      </c>
    </row>
    <row r="3890" spans="2:2" ht="15.5" x14ac:dyDescent="0.35">
      <c r="B3890" s="853">
        <v>451091.96249072981</v>
      </c>
    </row>
    <row r="3891" spans="2:2" ht="15.5" x14ac:dyDescent="0.35">
      <c r="B3891" s="853">
        <v>380793.6497067645</v>
      </c>
    </row>
    <row r="3892" spans="2:2" ht="15.5" x14ac:dyDescent="0.35">
      <c r="B3892" s="853">
        <v>89374.29778670524</v>
      </c>
    </row>
    <row r="3893" spans="2:2" ht="15.5" x14ac:dyDescent="0.35">
      <c r="B3893" s="853">
        <v>218007.6049784066</v>
      </c>
    </row>
    <row r="3894" spans="2:2" ht="15.5" x14ac:dyDescent="0.35">
      <c r="B3894" s="853">
        <v>124852.40378986845</v>
      </c>
    </row>
    <row r="3895" spans="2:2" ht="15.5" x14ac:dyDescent="0.35">
      <c r="B3895" s="853">
        <v>235901.57792022201</v>
      </c>
    </row>
    <row r="3896" spans="2:2" ht="15.5" x14ac:dyDescent="0.35">
      <c r="B3896" s="853">
        <v>325843.85886648245</v>
      </c>
    </row>
    <row r="3897" spans="2:2" ht="15.5" x14ac:dyDescent="0.35">
      <c r="B3897" s="853">
        <v>583337.121782918</v>
      </c>
    </row>
    <row r="3898" spans="2:2" ht="15.5" x14ac:dyDescent="0.35">
      <c r="B3898" s="853">
        <v>452578.9997829842</v>
      </c>
    </row>
    <row r="3899" spans="2:2" ht="15.5" x14ac:dyDescent="0.35">
      <c r="B3899" s="853">
        <v>310892.44178195013</v>
      </c>
    </row>
    <row r="3900" spans="2:2" ht="15.5" x14ac:dyDescent="0.35">
      <c r="B3900" s="853">
        <v>111747.5780939369</v>
      </c>
    </row>
    <row r="3901" spans="2:2" ht="15.5" x14ac:dyDescent="0.35">
      <c r="B3901" s="853">
        <v>374486.34252740041</v>
      </c>
    </row>
    <row r="3902" spans="2:2" ht="15.5" x14ac:dyDescent="0.35">
      <c r="B3902" s="853">
        <v>664724.09489677008</v>
      </c>
    </row>
    <row r="3903" spans="2:2" ht="15.5" x14ac:dyDescent="0.35">
      <c r="B3903" s="853">
        <v>350869.22982541611</v>
      </c>
    </row>
    <row r="3904" spans="2:2" ht="15.5" x14ac:dyDescent="0.35">
      <c r="B3904" s="853">
        <v>427165.80072828376</v>
      </c>
    </row>
    <row r="3905" spans="2:2" ht="15.5" x14ac:dyDescent="0.35">
      <c r="B3905" s="853">
        <v>320396.96531438828</v>
      </c>
    </row>
    <row r="3906" spans="2:2" ht="15.5" x14ac:dyDescent="0.35">
      <c r="B3906" s="853">
        <v>473724.93534932967</v>
      </c>
    </row>
    <row r="3907" spans="2:2" ht="15.5" x14ac:dyDescent="0.35">
      <c r="B3907" s="853">
        <v>235293.04176213488</v>
      </c>
    </row>
    <row r="3908" spans="2:2" ht="15.5" x14ac:dyDescent="0.35">
      <c r="B3908" s="853">
        <v>141441.27730386681</v>
      </c>
    </row>
    <row r="3909" spans="2:2" ht="15.5" x14ac:dyDescent="0.35">
      <c r="B3909" s="853">
        <v>252811.41701640867</v>
      </c>
    </row>
    <row r="3910" spans="2:2" ht="15.5" x14ac:dyDescent="0.35">
      <c r="B3910" s="853">
        <v>450077.23309813294</v>
      </c>
    </row>
    <row r="3911" spans="2:2" ht="15.5" x14ac:dyDescent="0.35">
      <c r="B3911" s="853">
        <v>418769.07588313584</v>
      </c>
    </row>
    <row r="3912" spans="2:2" ht="15.5" x14ac:dyDescent="0.35">
      <c r="B3912" s="853">
        <v>120596.84550726447</v>
      </c>
    </row>
    <row r="3913" spans="2:2" ht="15.5" x14ac:dyDescent="0.35">
      <c r="B3913" s="853">
        <v>265833.85976770462</v>
      </c>
    </row>
    <row r="3914" spans="2:2" ht="15.5" x14ac:dyDescent="0.35">
      <c r="B3914" s="853">
        <v>116752.87702521554</v>
      </c>
    </row>
    <row r="3915" spans="2:2" ht="15.5" x14ac:dyDescent="0.35">
      <c r="B3915" s="853">
        <v>515803.83775373263</v>
      </c>
    </row>
    <row r="3916" spans="2:2" ht="15.5" x14ac:dyDescent="0.35">
      <c r="B3916" s="853">
        <v>514485.11982366198</v>
      </c>
    </row>
    <row r="3917" spans="2:2" ht="15.5" x14ac:dyDescent="0.35">
      <c r="B3917" s="853">
        <v>752259.17153864761</v>
      </c>
    </row>
    <row r="3918" spans="2:2" ht="15.5" x14ac:dyDescent="0.35">
      <c r="B3918" s="853">
        <v>236986.78119716974</v>
      </c>
    </row>
    <row r="3919" spans="2:2" ht="15.5" x14ac:dyDescent="0.35">
      <c r="B3919" s="853">
        <v>251960.55502327968</v>
      </c>
    </row>
    <row r="3920" spans="2:2" ht="15.5" x14ac:dyDescent="0.35">
      <c r="B3920" s="853">
        <v>233905.36717823043</v>
      </c>
    </row>
    <row r="3921" spans="2:2" ht="15.5" x14ac:dyDescent="0.35">
      <c r="B3921" s="853">
        <v>369745.25411550328</v>
      </c>
    </row>
    <row r="3922" spans="2:2" ht="15.5" x14ac:dyDescent="0.35">
      <c r="B3922" s="853">
        <v>579608.67462477833</v>
      </c>
    </row>
    <row r="3923" spans="2:2" ht="15.5" x14ac:dyDescent="0.35">
      <c r="B3923" s="853">
        <v>503610.28964897856</v>
      </c>
    </row>
    <row r="3924" spans="2:2" ht="15.5" x14ac:dyDescent="0.35">
      <c r="B3924" s="853">
        <v>429903.47892818862</v>
      </c>
    </row>
    <row r="3925" spans="2:2" ht="15.5" x14ac:dyDescent="0.35">
      <c r="B3925" s="853">
        <v>454508.44210923149</v>
      </c>
    </row>
    <row r="3926" spans="2:2" ht="15.5" x14ac:dyDescent="0.35">
      <c r="B3926" s="853">
        <v>250978.61897108372</v>
      </c>
    </row>
    <row r="3927" spans="2:2" ht="15.5" x14ac:dyDescent="0.35">
      <c r="B3927" s="853">
        <v>279251.27292994555</v>
      </c>
    </row>
    <row r="3928" spans="2:2" ht="15.5" x14ac:dyDescent="0.35">
      <c r="B3928" s="853">
        <v>484724.59151962784</v>
      </c>
    </row>
    <row r="3929" spans="2:2" ht="15.5" x14ac:dyDescent="0.35">
      <c r="B3929" s="853">
        <v>395008.95013319264</v>
      </c>
    </row>
    <row r="3930" spans="2:2" ht="15.5" x14ac:dyDescent="0.35">
      <c r="B3930" s="853">
        <v>306779.95932671498</v>
      </c>
    </row>
    <row r="3931" spans="2:2" ht="15.5" x14ac:dyDescent="0.35">
      <c r="B3931" s="853">
        <v>273967.94486388215</v>
      </c>
    </row>
    <row r="3932" spans="2:2" ht="15.5" x14ac:dyDescent="0.35">
      <c r="B3932" s="853">
        <v>382795.75172596372</v>
      </c>
    </row>
    <row r="3933" spans="2:2" ht="15.5" x14ac:dyDescent="0.35">
      <c r="B3933" s="853">
        <v>245051.74478013793</v>
      </c>
    </row>
    <row r="3934" spans="2:2" ht="15.5" x14ac:dyDescent="0.35">
      <c r="B3934" s="853">
        <v>402432.06279823818</v>
      </c>
    </row>
    <row r="3935" spans="2:2" ht="15.5" x14ac:dyDescent="0.35">
      <c r="B3935" s="853">
        <v>357143.82597205043</v>
      </c>
    </row>
    <row r="3936" spans="2:2" ht="15.5" x14ac:dyDescent="0.35">
      <c r="B3936" s="853">
        <v>83217.416898477008</v>
      </c>
    </row>
    <row r="3937" spans="2:2" ht="15.5" x14ac:dyDescent="0.35">
      <c r="B3937" s="853">
        <v>299353.13218461489</v>
      </c>
    </row>
    <row r="3938" spans="2:2" ht="15.5" x14ac:dyDescent="0.35">
      <c r="B3938" s="853">
        <v>160897.84590127369</v>
      </c>
    </row>
    <row r="3939" spans="2:2" ht="15.5" x14ac:dyDescent="0.35">
      <c r="B3939" s="853">
        <v>334229.51279750274</v>
      </c>
    </row>
    <row r="3940" spans="2:2" ht="15.5" x14ac:dyDescent="0.35">
      <c r="B3940" s="853">
        <v>260100.68940210401</v>
      </c>
    </row>
    <row r="3941" spans="2:2" ht="15.5" x14ac:dyDescent="0.35">
      <c r="B3941" s="853">
        <v>215948.50525474161</v>
      </c>
    </row>
    <row r="3942" spans="2:2" ht="15.5" x14ac:dyDescent="0.35">
      <c r="B3942" s="853">
        <v>360374.33294981899</v>
      </c>
    </row>
    <row r="3943" spans="2:2" ht="15.5" x14ac:dyDescent="0.35">
      <c r="B3943" s="853">
        <v>496698.25148200721</v>
      </c>
    </row>
    <row r="3944" spans="2:2" ht="15.5" x14ac:dyDescent="0.35">
      <c r="B3944" s="853">
        <v>507250.39241476275</v>
      </c>
    </row>
    <row r="3945" spans="2:2" ht="15.5" x14ac:dyDescent="0.35">
      <c r="B3945" s="853">
        <v>328356.43417619262</v>
      </c>
    </row>
    <row r="3946" spans="2:2" ht="15.5" x14ac:dyDescent="0.35">
      <c r="B3946" s="853">
        <v>210300.60822469209</v>
      </c>
    </row>
    <row r="3947" spans="2:2" ht="15.5" x14ac:dyDescent="0.35">
      <c r="B3947" s="853">
        <v>116928.16719483146</v>
      </c>
    </row>
    <row r="3948" spans="2:2" ht="15.5" x14ac:dyDescent="0.35">
      <c r="B3948" s="853">
        <v>432972.72934993374</v>
      </c>
    </row>
    <row r="3949" spans="2:2" ht="15.5" x14ac:dyDescent="0.35">
      <c r="B3949" s="853">
        <v>209238.87698066566</v>
      </c>
    </row>
    <row r="3950" spans="2:2" ht="15.5" x14ac:dyDescent="0.35">
      <c r="B3950" s="853">
        <v>341840.60259743064</v>
      </c>
    </row>
    <row r="3951" spans="2:2" ht="15.5" x14ac:dyDescent="0.35">
      <c r="B3951" s="853">
        <v>240339.89169571546</v>
      </c>
    </row>
    <row r="3952" spans="2:2" ht="15.5" x14ac:dyDescent="0.35">
      <c r="B3952" s="853">
        <v>395899.31352890457</v>
      </c>
    </row>
    <row r="3953" spans="2:2" ht="15.5" x14ac:dyDescent="0.35">
      <c r="B3953" s="853">
        <v>419601.48494571657</v>
      </c>
    </row>
    <row r="3954" spans="2:2" ht="15.5" x14ac:dyDescent="0.35">
      <c r="B3954" s="853">
        <v>319008.02002177323</v>
      </c>
    </row>
    <row r="3955" spans="2:2" ht="15.5" x14ac:dyDescent="0.35">
      <c r="B3955" s="853">
        <v>94207.851047965742</v>
      </c>
    </row>
    <row r="3956" spans="2:2" ht="15.5" x14ac:dyDescent="0.35">
      <c r="B3956" s="853">
        <v>402642.64249562158</v>
      </c>
    </row>
    <row r="3957" spans="2:2" ht="15.5" x14ac:dyDescent="0.35">
      <c r="B3957" s="853">
        <v>433139.70565282239</v>
      </c>
    </row>
    <row r="3958" spans="2:2" ht="15.5" x14ac:dyDescent="0.35">
      <c r="B3958" s="853">
        <v>193786.45799761865</v>
      </c>
    </row>
    <row r="3959" spans="2:2" ht="15.5" x14ac:dyDescent="0.35">
      <c r="B3959" s="853">
        <v>255101.38376081464</v>
      </c>
    </row>
    <row r="3960" spans="2:2" ht="15.5" x14ac:dyDescent="0.35">
      <c r="B3960" s="853">
        <v>316052.99480903492</v>
      </c>
    </row>
    <row r="3961" spans="2:2" ht="15.5" x14ac:dyDescent="0.35">
      <c r="B3961" s="853">
        <v>280404.9767656466</v>
      </c>
    </row>
    <row r="3962" spans="2:2" ht="15.5" x14ac:dyDescent="0.35">
      <c r="B3962" s="853">
        <v>142054.72943246854</v>
      </c>
    </row>
    <row r="3963" spans="2:2" ht="15.5" x14ac:dyDescent="0.35">
      <c r="B3963" s="853">
        <v>263352.6086053006</v>
      </c>
    </row>
    <row r="3964" spans="2:2" ht="15.5" x14ac:dyDescent="0.35">
      <c r="B3964" s="853">
        <v>276150.70243484562</v>
      </c>
    </row>
    <row r="3965" spans="2:2" ht="15.5" x14ac:dyDescent="0.35">
      <c r="B3965" s="853">
        <v>271807.80688335263</v>
      </c>
    </row>
    <row r="3966" spans="2:2" ht="15.5" x14ac:dyDescent="0.35">
      <c r="B3966" s="853">
        <v>155026.86465402026</v>
      </c>
    </row>
    <row r="3967" spans="2:2" ht="15.5" x14ac:dyDescent="0.35">
      <c r="B3967" s="853">
        <v>-31634.318725850939</v>
      </c>
    </row>
    <row r="3968" spans="2:2" ht="15.5" x14ac:dyDescent="0.35">
      <c r="B3968" s="853">
        <v>453379.40307468682</v>
      </c>
    </row>
    <row r="3969" spans="2:2" ht="15.5" x14ac:dyDescent="0.35">
      <c r="B3969" s="853">
        <v>226031.74001170296</v>
      </c>
    </row>
    <row r="3970" spans="2:2" ht="15.5" x14ac:dyDescent="0.35">
      <c r="B3970" s="853">
        <v>426448.5951586701</v>
      </c>
    </row>
    <row r="3971" spans="2:2" ht="15.5" x14ac:dyDescent="0.35">
      <c r="B3971" s="853">
        <v>400103.58726944245</v>
      </c>
    </row>
    <row r="3972" spans="2:2" ht="15.5" x14ac:dyDescent="0.35">
      <c r="B3972" s="853">
        <v>-10989.727432861138</v>
      </c>
    </row>
    <row r="3973" spans="2:2" ht="15.5" x14ac:dyDescent="0.35">
      <c r="B3973" s="853">
        <v>275924.03812825936</v>
      </c>
    </row>
    <row r="3974" spans="2:2" ht="15.5" x14ac:dyDescent="0.35">
      <c r="B3974" s="853">
        <v>229866.32530150996</v>
      </c>
    </row>
    <row r="3975" spans="2:2" ht="15.5" x14ac:dyDescent="0.35">
      <c r="B3975" s="853">
        <v>37016.528868659501</v>
      </c>
    </row>
    <row r="3976" spans="2:2" ht="15.5" x14ac:dyDescent="0.35">
      <c r="B3976" s="853">
        <v>286061.33928250137</v>
      </c>
    </row>
    <row r="3977" spans="2:2" ht="15.5" x14ac:dyDescent="0.35">
      <c r="B3977" s="853">
        <v>210281.22238740444</v>
      </c>
    </row>
    <row r="3978" spans="2:2" ht="15.5" x14ac:dyDescent="0.35">
      <c r="B3978" s="853">
        <v>378092.02915699244</v>
      </c>
    </row>
    <row r="3979" spans="2:2" ht="15.5" x14ac:dyDescent="0.35">
      <c r="B3979" s="853">
        <v>330550.55770370469</v>
      </c>
    </row>
    <row r="3980" spans="2:2" ht="15.5" x14ac:dyDescent="0.35">
      <c r="B3980" s="853">
        <v>357001.06567028404</v>
      </c>
    </row>
    <row r="3981" spans="2:2" ht="15.5" x14ac:dyDescent="0.35">
      <c r="B3981" s="853">
        <v>260763.38881909515</v>
      </c>
    </row>
    <row r="3982" spans="2:2" ht="15.5" x14ac:dyDescent="0.35">
      <c r="B3982" s="853">
        <v>299825.50419068016</v>
      </c>
    </row>
    <row r="3983" spans="2:2" ht="15.5" x14ac:dyDescent="0.35">
      <c r="B3983" s="853">
        <v>305818.16320651362</v>
      </c>
    </row>
    <row r="3984" spans="2:2" ht="15.5" x14ac:dyDescent="0.35">
      <c r="B3984" s="853">
        <v>216995.29434449357</v>
      </c>
    </row>
    <row r="3985" spans="2:2" ht="15.5" x14ac:dyDescent="0.35">
      <c r="B3985" s="853">
        <v>174115.00449873589</v>
      </c>
    </row>
    <row r="3986" spans="2:2" ht="15.5" x14ac:dyDescent="0.35">
      <c r="B3986" s="853">
        <v>9273.2212067122891</v>
      </c>
    </row>
    <row r="3987" spans="2:2" ht="15.5" x14ac:dyDescent="0.35">
      <c r="B3987" s="853">
        <v>194074.4712628196</v>
      </c>
    </row>
    <row r="3988" spans="2:2" ht="15.5" x14ac:dyDescent="0.35">
      <c r="B3988" s="853">
        <v>220848.3592440309</v>
      </c>
    </row>
    <row r="3989" spans="2:2" ht="15.5" x14ac:dyDescent="0.35">
      <c r="B3989" s="853">
        <v>281780.7827301214</v>
      </c>
    </row>
    <row r="3990" spans="2:2" ht="15.5" x14ac:dyDescent="0.35">
      <c r="B3990" s="853">
        <v>360879.38373578963</v>
      </c>
    </row>
    <row r="3991" spans="2:2" ht="15.5" x14ac:dyDescent="0.35">
      <c r="B3991" s="853">
        <v>276523.02239568101</v>
      </c>
    </row>
    <row r="3992" spans="2:2" ht="15.5" x14ac:dyDescent="0.35">
      <c r="B3992" s="853">
        <v>190941.65480046431</v>
      </c>
    </row>
    <row r="3993" spans="2:2" ht="15.5" x14ac:dyDescent="0.35">
      <c r="B3993" s="853">
        <v>94125.659795942032</v>
      </c>
    </row>
    <row r="3994" spans="2:2" ht="15.5" x14ac:dyDescent="0.35">
      <c r="B3994" s="853">
        <v>425353.36135646683</v>
      </c>
    </row>
    <row r="3995" spans="2:2" ht="15.5" x14ac:dyDescent="0.35">
      <c r="B3995" s="853">
        <v>398732.0693553295</v>
      </c>
    </row>
    <row r="3996" spans="2:2" ht="15.5" x14ac:dyDescent="0.35">
      <c r="B3996" s="853">
        <v>259652.15851931926</v>
      </c>
    </row>
    <row r="3997" spans="2:2" ht="15.5" x14ac:dyDescent="0.35">
      <c r="B3997" s="853">
        <v>382301.42716022173</v>
      </c>
    </row>
    <row r="3998" spans="2:2" ht="15.5" x14ac:dyDescent="0.35">
      <c r="B3998" s="853">
        <v>393767.11300855613</v>
      </c>
    </row>
    <row r="3999" spans="2:2" ht="15.5" x14ac:dyDescent="0.35">
      <c r="B3999" s="853">
        <v>372941.53391923552</v>
      </c>
    </row>
    <row r="4000" spans="2:2" ht="15.5" x14ac:dyDescent="0.35">
      <c r="B4000" s="853">
        <v>445872.57365941146</v>
      </c>
    </row>
    <row r="4001" spans="2:2" ht="15.5" x14ac:dyDescent="0.35">
      <c r="B4001" s="853">
        <v>474777.65153753449</v>
      </c>
    </row>
    <row r="4002" spans="2:2" ht="15.5" x14ac:dyDescent="0.35">
      <c r="B4002" s="853">
        <v>346888.74124075187</v>
      </c>
    </row>
    <row r="4003" spans="2:2" ht="15.5" x14ac:dyDescent="0.35">
      <c r="B4003" s="853">
        <v>224151.89155581463</v>
      </c>
    </row>
    <row r="4004" spans="2:2" ht="15.5" x14ac:dyDescent="0.35">
      <c r="B4004" s="853">
        <v>263614.0284188409</v>
      </c>
    </row>
    <row r="4005" spans="2:2" ht="15.5" x14ac:dyDescent="0.35">
      <c r="B4005" s="853">
        <v>338584.30749690352</v>
      </c>
    </row>
    <row r="4006" spans="2:2" ht="15.5" x14ac:dyDescent="0.35">
      <c r="B4006" s="853">
        <v>237313.76274790938</v>
      </c>
    </row>
    <row r="4007" spans="2:2" ht="15.5" x14ac:dyDescent="0.35">
      <c r="B4007" s="853">
        <v>345741.5265775196</v>
      </c>
    </row>
    <row r="4008" spans="2:2" ht="15.5" x14ac:dyDescent="0.35">
      <c r="B4008" s="853">
        <v>411406.7484394749</v>
      </c>
    </row>
    <row r="4009" spans="2:2" ht="15.5" x14ac:dyDescent="0.35">
      <c r="B4009" s="853">
        <v>89737.310827698166</v>
      </c>
    </row>
    <row r="4010" spans="2:2" ht="15.5" x14ac:dyDescent="0.35">
      <c r="B4010" s="853">
        <v>424567.12613514019</v>
      </c>
    </row>
    <row r="4011" spans="2:2" ht="15.5" x14ac:dyDescent="0.35">
      <c r="B4011" s="853">
        <v>517546.47495291143</v>
      </c>
    </row>
    <row r="4012" spans="2:2" ht="15.5" x14ac:dyDescent="0.35">
      <c r="B4012" s="853">
        <v>238519.59868410986</v>
      </c>
    </row>
    <row r="4013" spans="2:2" ht="15.5" x14ac:dyDescent="0.35">
      <c r="B4013" s="853">
        <v>109083.41588514854</v>
      </c>
    </row>
    <row r="4014" spans="2:2" ht="15.5" x14ac:dyDescent="0.35">
      <c r="B4014" s="853">
        <v>518512.96426041995</v>
      </c>
    </row>
    <row r="4015" spans="2:2" ht="15.5" x14ac:dyDescent="0.35">
      <c r="B4015" s="853">
        <v>419566.66013319424</v>
      </c>
    </row>
    <row r="4016" spans="2:2" ht="15.5" x14ac:dyDescent="0.35">
      <c r="B4016" s="853">
        <v>339853.66351539153</v>
      </c>
    </row>
    <row r="4017" spans="2:2" ht="15.5" x14ac:dyDescent="0.35">
      <c r="B4017" s="853">
        <v>358907.85055197956</v>
      </c>
    </row>
    <row r="4018" spans="2:2" ht="15.5" x14ac:dyDescent="0.35">
      <c r="B4018" s="853">
        <v>378928.6691507831</v>
      </c>
    </row>
    <row r="4019" spans="2:2" ht="15.5" x14ac:dyDescent="0.35">
      <c r="B4019" s="853">
        <v>-122303.24278133373</v>
      </c>
    </row>
    <row r="4020" spans="2:2" ht="15.5" x14ac:dyDescent="0.35">
      <c r="B4020" s="853">
        <v>276951.66958881257</v>
      </c>
    </row>
    <row r="4021" spans="2:2" ht="15.5" x14ac:dyDescent="0.35">
      <c r="B4021" s="853">
        <v>342244.60584077786</v>
      </c>
    </row>
    <row r="4022" spans="2:2" ht="15.5" x14ac:dyDescent="0.35">
      <c r="B4022" s="853">
        <v>422967.1216122171</v>
      </c>
    </row>
    <row r="4023" spans="2:2" ht="15.5" x14ac:dyDescent="0.35">
      <c r="B4023" s="853">
        <v>169967.70060403997</v>
      </c>
    </row>
    <row r="4024" spans="2:2" ht="15.5" x14ac:dyDescent="0.35">
      <c r="B4024" s="853">
        <v>391779.7622745338</v>
      </c>
    </row>
    <row r="4025" spans="2:2" ht="15.5" x14ac:dyDescent="0.35">
      <c r="B4025" s="853">
        <v>157474.9724436262</v>
      </c>
    </row>
    <row r="4026" spans="2:2" ht="15.5" x14ac:dyDescent="0.35">
      <c r="B4026" s="853">
        <v>495884.47667576896</v>
      </c>
    </row>
    <row r="4027" spans="2:2" ht="15.5" x14ac:dyDescent="0.35">
      <c r="B4027" s="853">
        <v>306781.58393602277</v>
      </c>
    </row>
    <row r="4028" spans="2:2" ht="15.5" x14ac:dyDescent="0.35">
      <c r="B4028" s="853">
        <v>-1828.7897823813246</v>
      </c>
    </row>
    <row r="4029" spans="2:2" ht="15.5" x14ac:dyDescent="0.35">
      <c r="B4029" s="853">
        <v>237892.00715932791</v>
      </c>
    </row>
    <row r="4030" spans="2:2" ht="15.5" x14ac:dyDescent="0.35">
      <c r="B4030" s="853">
        <v>424870.80348576163</v>
      </c>
    </row>
    <row r="4031" spans="2:2" ht="15.5" x14ac:dyDescent="0.35">
      <c r="B4031" s="853">
        <v>322578.56266912352</v>
      </c>
    </row>
    <row r="4032" spans="2:2" ht="15.5" x14ac:dyDescent="0.35">
      <c r="B4032" s="853">
        <v>198456.95236772261</v>
      </c>
    </row>
    <row r="4033" spans="2:2" ht="15.5" x14ac:dyDescent="0.35">
      <c r="B4033" s="853">
        <v>257107.22818105543</v>
      </c>
    </row>
    <row r="4034" spans="2:2" ht="15.5" x14ac:dyDescent="0.35">
      <c r="B4034" s="853">
        <v>160863.61710599871</v>
      </c>
    </row>
    <row r="4035" spans="2:2" ht="15.5" x14ac:dyDescent="0.35">
      <c r="B4035" s="853">
        <v>317778.7449681813</v>
      </c>
    </row>
    <row r="4036" spans="2:2" ht="15.5" x14ac:dyDescent="0.35">
      <c r="B4036" s="853">
        <v>281238.06790770625</v>
      </c>
    </row>
    <row r="4037" spans="2:2" ht="15.5" x14ac:dyDescent="0.35">
      <c r="B4037" s="853">
        <v>490732.81176006579</v>
      </c>
    </row>
    <row r="4038" spans="2:2" ht="15.5" x14ac:dyDescent="0.35">
      <c r="B4038" s="853">
        <v>338640.16822450073</v>
      </c>
    </row>
    <row r="4039" spans="2:2" ht="15.5" x14ac:dyDescent="0.35">
      <c r="B4039" s="853">
        <v>221898.86982910641</v>
      </c>
    </row>
    <row r="4040" spans="2:2" ht="15.5" x14ac:dyDescent="0.35">
      <c r="B4040" s="853">
        <v>494842.69638994033</v>
      </c>
    </row>
    <row r="4041" spans="2:2" ht="15.5" x14ac:dyDescent="0.35">
      <c r="B4041" s="853">
        <v>247530.16781094976</v>
      </c>
    </row>
    <row r="4042" spans="2:2" ht="15.5" x14ac:dyDescent="0.35">
      <c r="B4042" s="853">
        <v>412085.64559795026</v>
      </c>
    </row>
    <row r="4043" spans="2:2" ht="15.5" x14ac:dyDescent="0.35">
      <c r="B4043" s="853">
        <v>196135.65889353098</v>
      </c>
    </row>
    <row r="4044" spans="2:2" ht="15.5" x14ac:dyDescent="0.35">
      <c r="B4044" s="853">
        <v>329303.33590442839</v>
      </c>
    </row>
    <row r="4045" spans="2:2" ht="15.5" x14ac:dyDescent="0.35">
      <c r="B4045" s="853">
        <v>243389.56933102303</v>
      </c>
    </row>
    <row r="4046" spans="2:2" ht="15.5" x14ac:dyDescent="0.35">
      <c r="B4046" s="853">
        <v>340536.10423898109</v>
      </c>
    </row>
    <row r="4047" spans="2:2" ht="15.5" x14ac:dyDescent="0.35">
      <c r="B4047" s="853">
        <v>-29927.607587224957</v>
      </c>
    </row>
    <row r="4048" spans="2:2" ht="15.5" x14ac:dyDescent="0.35">
      <c r="B4048" s="853">
        <v>130112.15602439552</v>
      </c>
    </row>
    <row r="4049" spans="2:2" ht="15.5" x14ac:dyDescent="0.35">
      <c r="B4049" s="853">
        <v>473242.39168352645</v>
      </c>
    </row>
    <row r="4050" spans="2:2" ht="15.5" x14ac:dyDescent="0.35">
      <c r="B4050" s="853">
        <v>471792.5253077352</v>
      </c>
    </row>
    <row r="4051" spans="2:2" ht="15.5" x14ac:dyDescent="0.35">
      <c r="B4051" s="853">
        <v>307610.65739630599</v>
      </c>
    </row>
    <row r="4052" spans="2:2" ht="15.5" x14ac:dyDescent="0.35">
      <c r="B4052" s="853">
        <v>321807.76987051754</v>
      </c>
    </row>
    <row r="4053" spans="2:2" ht="15.5" x14ac:dyDescent="0.35">
      <c r="B4053" s="853">
        <v>348131.33408787387</v>
      </c>
    </row>
    <row r="4054" spans="2:2" ht="15.5" x14ac:dyDescent="0.35">
      <c r="B4054" s="853">
        <v>170999.59135927242</v>
      </c>
    </row>
    <row r="4055" spans="2:2" ht="15.5" x14ac:dyDescent="0.35">
      <c r="B4055" s="853">
        <v>186757.74065267714</v>
      </c>
    </row>
    <row r="4056" spans="2:2" ht="15.5" x14ac:dyDescent="0.35">
      <c r="B4056" s="853">
        <v>349816.8198912873</v>
      </c>
    </row>
    <row r="4057" spans="2:2" ht="15.5" x14ac:dyDescent="0.35">
      <c r="B4057" s="853">
        <v>110642.63873956485</v>
      </c>
    </row>
    <row r="4058" spans="2:2" ht="15.5" x14ac:dyDescent="0.35">
      <c r="B4058" s="853">
        <v>292199.44159978419</v>
      </c>
    </row>
    <row r="4059" spans="2:2" ht="15.5" x14ac:dyDescent="0.35">
      <c r="B4059" s="853">
        <v>319604.98463536392</v>
      </c>
    </row>
    <row r="4060" spans="2:2" ht="15.5" x14ac:dyDescent="0.35">
      <c r="B4060" s="853">
        <v>386528.32492559362</v>
      </c>
    </row>
    <row r="4061" spans="2:2" ht="15.5" x14ac:dyDescent="0.35">
      <c r="B4061" s="853">
        <v>238166.00589424805</v>
      </c>
    </row>
    <row r="4062" spans="2:2" ht="15.5" x14ac:dyDescent="0.35">
      <c r="B4062" s="853">
        <v>438120.29455492127</v>
      </c>
    </row>
    <row r="4063" spans="2:2" ht="15.5" x14ac:dyDescent="0.35">
      <c r="B4063" s="853">
        <v>234839.03643918305</v>
      </c>
    </row>
    <row r="4064" spans="2:2" ht="15.5" x14ac:dyDescent="0.35">
      <c r="B4064" s="853">
        <v>263343.48830708297</v>
      </c>
    </row>
    <row r="4065" spans="2:2" ht="15.5" x14ac:dyDescent="0.35">
      <c r="B4065" s="853">
        <v>173065.60264624975</v>
      </c>
    </row>
    <row r="4066" spans="2:2" ht="15.5" x14ac:dyDescent="0.35">
      <c r="B4066" s="853">
        <v>109440.79810766767</v>
      </c>
    </row>
    <row r="4067" spans="2:2" ht="15.5" x14ac:dyDescent="0.35">
      <c r="B4067" s="853">
        <v>48889.89039365873</v>
      </c>
    </row>
    <row r="4068" spans="2:2" ht="15.5" x14ac:dyDescent="0.35">
      <c r="B4068" s="853">
        <v>223615.82854284355</v>
      </c>
    </row>
    <row r="4069" spans="2:2" ht="15.5" x14ac:dyDescent="0.35">
      <c r="B4069" s="853">
        <v>331145.3311199781</v>
      </c>
    </row>
    <row r="4070" spans="2:2" ht="15.5" x14ac:dyDescent="0.35">
      <c r="B4070" s="853">
        <v>305801.3147834618</v>
      </c>
    </row>
    <row r="4071" spans="2:2" ht="15.5" x14ac:dyDescent="0.35">
      <c r="B4071" s="853">
        <v>318161.82127495139</v>
      </c>
    </row>
    <row r="4072" spans="2:2" ht="15.5" x14ac:dyDescent="0.35">
      <c r="B4072" s="853">
        <v>202987.73592095057</v>
      </c>
    </row>
    <row r="4073" spans="2:2" ht="15.5" x14ac:dyDescent="0.35">
      <c r="B4073" s="853">
        <v>555243.60859841737</v>
      </c>
    </row>
    <row r="4074" spans="2:2" ht="15.5" x14ac:dyDescent="0.35">
      <c r="B4074" s="853">
        <v>153112.27956863982</v>
      </c>
    </row>
    <row r="4075" spans="2:2" ht="15.5" x14ac:dyDescent="0.35">
      <c r="B4075" s="853">
        <v>263093.46505796927</v>
      </c>
    </row>
    <row r="4076" spans="2:2" ht="15.5" x14ac:dyDescent="0.35">
      <c r="B4076" s="853">
        <v>270351.51147348352</v>
      </c>
    </row>
    <row r="4077" spans="2:2" ht="15.5" x14ac:dyDescent="0.35">
      <c r="B4077" s="853">
        <v>413992.46038495429</v>
      </c>
    </row>
    <row r="4078" spans="2:2" ht="15.5" x14ac:dyDescent="0.35">
      <c r="B4078" s="853">
        <v>164552.23402887658</v>
      </c>
    </row>
    <row r="4079" spans="2:2" ht="15.5" x14ac:dyDescent="0.35">
      <c r="B4079" s="853">
        <v>78024.67339708416</v>
      </c>
    </row>
    <row r="4080" spans="2:2" ht="15.5" x14ac:dyDescent="0.35">
      <c r="B4080" s="853">
        <v>264237.53809096303</v>
      </c>
    </row>
    <row r="4081" spans="2:2" ht="15.5" x14ac:dyDescent="0.35">
      <c r="B4081" s="853">
        <v>362659.06891993422</v>
      </c>
    </row>
    <row r="4082" spans="2:2" ht="15.5" x14ac:dyDescent="0.35">
      <c r="B4082" s="853">
        <v>63712.017647756897</v>
      </c>
    </row>
    <row r="4083" spans="2:2" ht="15.5" x14ac:dyDescent="0.35">
      <c r="B4083" s="853">
        <v>147045.31819346882</v>
      </c>
    </row>
    <row r="4084" spans="2:2" ht="15.5" x14ac:dyDescent="0.35">
      <c r="B4084" s="853">
        <v>234183.36029616708</v>
      </c>
    </row>
    <row r="4085" spans="2:2" ht="15.5" x14ac:dyDescent="0.35">
      <c r="B4085" s="853">
        <v>213720.18750989996</v>
      </c>
    </row>
    <row r="4086" spans="2:2" ht="15.5" x14ac:dyDescent="0.35">
      <c r="B4086" s="853">
        <v>163282.46633823463</v>
      </c>
    </row>
    <row r="4087" spans="2:2" ht="15.5" x14ac:dyDescent="0.35">
      <c r="B4087" s="853">
        <v>234803.84267561219</v>
      </c>
    </row>
    <row r="4088" spans="2:2" ht="15.5" x14ac:dyDescent="0.35">
      <c r="B4088" s="853">
        <v>294226.4110017505</v>
      </c>
    </row>
    <row r="4089" spans="2:2" ht="15.5" x14ac:dyDescent="0.35">
      <c r="B4089" s="853">
        <v>411751.63206817646</v>
      </c>
    </row>
    <row r="4090" spans="2:2" ht="15.5" x14ac:dyDescent="0.35">
      <c r="B4090" s="853">
        <v>82410.320324925691</v>
      </c>
    </row>
    <row r="4091" spans="2:2" ht="15.5" x14ac:dyDescent="0.35">
      <c r="B4091" s="853">
        <v>312647.93413539935</v>
      </c>
    </row>
    <row r="4092" spans="2:2" ht="15.5" x14ac:dyDescent="0.35">
      <c r="B4092" s="853">
        <v>194493.23023793503</v>
      </c>
    </row>
    <row r="4093" spans="2:2" ht="15.5" x14ac:dyDescent="0.35">
      <c r="B4093" s="853">
        <v>475312.81144143309</v>
      </c>
    </row>
    <row r="4094" spans="2:2" ht="15.5" x14ac:dyDescent="0.35">
      <c r="B4094" s="853">
        <v>197413.87390921472</v>
      </c>
    </row>
    <row r="4095" spans="2:2" ht="15.5" x14ac:dyDescent="0.35">
      <c r="B4095" s="853">
        <v>347032.182739535</v>
      </c>
    </row>
    <row r="4096" spans="2:2" ht="15.5" x14ac:dyDescent="0.35">
      <c r="B4096" s="853">
        <v>479732.29392302671</v>
      </c>
    </row>
    <row r="4097" spans="2:2" ht="15.5" x14ac:dyDescent="0.35">
      <c r="B4097" s="853">
        <v>415276.91222523263</v>
      </c>
    </row>
    <row r="4098" spans="2:2" ht="15.5" x14ac:dyDescent="0.35">
      <c r="B4098" s="853">
        <v>332701.89997470455</v>
      </c>
    </row>
    <row r="4099" spans="2:2" ht="15.5" x14ac:dyDescent="0.35">
      <c r="B4099" s="853">
        <v>560959.58365451731</v>
      </c>
    </row>
    <row r="4100" spans="2:2" ht="15.5" x14ac:dyDescent="0.35">
      <c r="B4100" s="853">
        <v>280763.52316849661</v>
      </c>
    </row>
    <row r="4101" spans="2:2" ht="15.5" x14ac:dyDescent="0.35">
      <c r="B4101" s="853">
        <v>434052.77930022433</v>
      </c>
    </row>
    <row r="4102" spans="2:2" ht="15.5" x14ac:dyDescent="0.35">
      <c r="B4102" s="853">
        <v>617770.75470583525</v>
      </c>
    </row>
    <row r="4103" spans="2:2" ht="15.5" x14ac:dyDescent="0.35">
      <c r="B4103" s="853">
        <v>562323.90038906306</v>
      </c>
    </row>
    <row r="4104" spans="2:2" ht="15.5" x14ac:dyDescent="0.35">
      <c r="B4104" s="853">
        <v>699880.38021279662</v>
      </c>
    </row>
    <row r="4105" spans="2:2" ht="15.5" x14ac:dyDescent="0.35">
      <c r="B4105" s="853">
        <v>37848.528222274486</v>
      </c>
    </row>
    <row r="4106" spans="2:2" ht="15.5" x14ac:dyDescent="0.35">
      <c r="B4106" s="853">
        <v>542317.24300047185</v>
      </c>
    </row>
    <row r="4107" spans="2:2" ht="15.5" x14ac:dyDescent="0.35">
      <c r="B4107" s="853">
        <v>214202.29266395024</v>
      </c>
    </row>
    <row r="4108" spans="2:2" ht="15.5" x14ac:dyDescent="0.35">
      <c r="B4108" s="853">
        <v>185618.75613380384</v>
      </c>
    </row>
    <row r="4109" spans="2:2" ht="15.5" x14ac:dyDescent="0.35">
      <c r="B4109" s="853">
        <v>229292.71303975815</v>
      </c>
    </row>
    <row r="4110" spans="2:2" ht="15.5" x14ac:dyDescent="0.35">
      <c r="B4110" s="853">
        <v>239222.18203671981</v>
      </c>
    </row>
    <row r="4111" spans="2:2" ht="15.5" x14ac:dyDescent="0.35">
      <c r="B4111" s="853">
        <v>235754.85343344667</v>
      </c>
    </row>
    <row r="4112" spans="2:2" ht="15.5" x14ac:dyDescent="0.35">
      <c r="B4112" s="853">
        <v>474533.23360880138</v>
      </c>
    </row>
    <row r="4113" spans="2:2" ht="15.5" x14ac:dyDescent="0.35">
      <c r="B4113" s="853">
        <v>376970.75070882146</v>
      </c>
    </row>
    <row r="4114" spans="2:2" ht="15.5" x14ac:dyDescent="0.35">
      <c r="B4114" s="853">
        <v>266442.86403777625</v>
      </c>
    </row>
    <row r="4115" spans="2:2" ht="15.5" x14ac:dyDescent="0.35">
      <c r="B4115" s="853">
        <v>210587.54828651276</v>
      </c>
    </row>
    <row r="4116" spans="2:2" ht="15.5" x14ac:dyDescent="0.35">
      <c r="B4116" s="853">
        <v>407145.91858630133</v>
      </c>
    </row>
    <row r="4117" spans="2:2" ht="15.5" x14ac:dyDescent="0.35">
      <c r="B4117" s="853">
        <v>259611.08620292842</v>
      </c>
    </row>
    <row r="4118" spans="2:2" ht="15.5" x14ac:dyDescent="0.35">
      <c r="B4118" s="853">
        <v>258908.94759872911</v>
      </c>
    </row>
    <row r="4119" spans="2:2" ht="15.5" x14ac:dyDescent="0.35">
      <c r="B4119" s="853">
        <v>200773.78690749692</v>
      </c>
    </row>
    <row r="4120" spans="2:2" ht="15.5" x14ac:dyDescent="0.35">
      <c r="B4120" s="853">
        <v>172514.1134795894</v>
      </c>
    </row>
    <row r="4121" spans="2:2" ht="15.5" x14ac:dyDescent="0.35">
      <c r="B4121" s="853">
        <v>347711.95488495746</v>
      </c>
    </row>
    <row r="4122" spans="2:2" ht="15.5" x14ac:dyDescent="0.35">
      <c r="B4122" s="853">
        <v>298439.75428136333</v>
      </c>
    </row>
    <row r="4123" spans="2:2" ht="15.5" x14ac:dyDescent="0.35">
      <c r="B4123" s="853">
        <v>382709.32808588707</v>
      </c>
    </row>
    <row r="4124" spans="2:2" ht="15.5" x14ac:dyDescent="0.35">
      <c r="B4124" s="853">
        <v>256013.86342731331</v>
      </c>
    </row>
    <row r="4125" spans="2:2" ht="15.5" x14ac:dyDescent="0.35">
      <c r="B4125" s="853">
        <v>70353.493038559478</v>
      </c>
    </row>
    <row r="4126" spans="2:2" ht="15.5" x14ac:dyDescent="0.35">
      <c r="B4126" s="853">
        <v>300479.96514948778</v>
      </c>
    </row>
    <row r="4127" spans="2:2" ht="15.5" x14ac:dyDescent="0.35">
      <c r="B4127" s="853">
        <v>438909.04984587815</v>
      </c>
    </row>
    <row r="4128" spans="2:2" ht="15.5" x14ac:dyDescent="0.35">
      <c r="B4128" s="853">
        <v>219528.63451069401</v>
      </c>
    </row>
    <row r="4129" spans="2:2" ht="15.5" x14ac:dyDescent="0.35">
      <c r="B4129" s="853">
        <v>429459.01223502343</v>
      </c>
    </row>
    <row r="4130" spans="2:2" ht="15.5" x14ac:dyDescent="0.35">
      <c r="B4130" s="853">
        <v>-24899.181995276933</v>
      </c>
    </row>
    <row r="4131" spans="2:2" ht="15.5" x14ac:dyDescent="0.35">
      <c r="B4131" s="853">
        <v>448558.13927445345</v>
      </c>
    </row>
    <row r="4132" spans="2:2" ht="15.5" x14ac:dyDescent="0.35">
      <c r="B4132" s="853">
        <v>127961.6959947134</v>
      </c>
    </row>
    <row r="4133" spans="2:2" ht="15.5" x14ac:dyDescent="0.35">
      <c r="B4133" s="853">
        <v>367526.49195050774</v>
      </c>
    </row>
    <row r="4134" spans="2:2" ht="15.5" x14ac:dyDescent="0.35">
      <c r="B4134" s="853">
        <v>578420.55951120402</v>
      </c>
    </row>
    <row r="4135" spans="2:2" ht="15.5" x14ac:dyDescent="0.35">
      <c r="B4135" s="853">
        <v>28898.095522401498</v>
      </c>
    </row>
    <row r="4136" spans="2:2" ht="15.5" x14ac:dyDescent="0.35">
      <c r="B4136" s="853">
        <v>382688.20521359966</v>
      </c>
    </row>
    <row r="4137" spans="2:2" ht="15.5" x14ac:dyDescent="0.35">
      <c r="B4137" s="853">
        <v>588185.9833662149</v>
      </c>
    </row>
    <row r="4138" spans="2:2" ht="15.5" x14ac:dyDescent="0.35">
      <c r="B4138" s="853">
        <v>68391.835975155744</v>
      </c>
    </row>
    <row r="4139" spans="2:2" ht="15.5" x14ac:dyDescent="0.35">
      <c r="B4139" s="853">
        <v>287899.28606419475</v>
      </c>
    </row>
    <row r="4140" spans="2:2" ht="15.5" x14ac:dyDescent="0.35">
      <c r="B4140" s="853">
        <v>521247.75239719037</v>
      </c>
    </row>
    <row r="4141" spans="2:2" ht="15.5" x14ac:dyDescent="0.35">
      <c r="B4141" s="853">
        <v>322316.52769091207</v>
      </c>
    </row>
    <row r="4142" spans="2:2" ht="15.5" x14ac:dyDescent="0.35">
      <c r="B4142" s="853">
        <v>324518.77073741052</v>
      </c>
    </row>
    <row r="4143" spans="2:2" ht="15.5" x14ac:dyDescent="0.35">
      <c r="B4143" s="853">
        <v>357944.89553744043</v>
      </c>
    </row>
    <row r="4144" spans="2:2" ht="15.5" x14ac:dyDescent="0.35">
      <c r="B4144" s="853">
        <v>280378.27555778518</v>
      </c>
    </row>
    <row r="4145" spans="2:2" ht="15.5" x14ac:dyDescent="0.35">
      <c r="B4145" s="853">
        <v>210764.53932886009</v>
      </c>
    </row>
    <row r="4146" spans="2:2" ht="15.5" x14ac:dyDescent="0.35">
      <c r="B4146" s="853">
        <v>215568.89087528762</v>
      </c>
    </row>
    <row r="4147" spans="2:2" ht="15.5" x14ac:dyDescent="0.35">
      <c r="B4147" s="853">
        <v>446194.39165312692</v>
      </c>
    </row>
    <row r="4148" spans="2:2" ht="15.5" x14ac:dyDescent="0.35">
      <c r="B4148" s="853">
        <v>480157.70258634217</v>
      </c>
    </row>
    <row r="4149" spans="2:2" ht="15.5" x14ac:dyDescent="0.35">
      <c r="B4149" s="853">
        <v>242100.96783753374</v>
      </c>
    </row>
    <row r="4150" spans="2:2" ht="15.5" x14ac:dyDescent="0.35">
      <c r="B4150" s="853">
        <v>184290.52252992577</v>
      </c>
    </row>
    <row r="4151" spans="2:2" ht="15.5" x14ac:dyDescent="0.35">
      <c r="B4151" s="853">
        <v>105569.1055352422</v>
      </c>
    </row>
    <row r="4152" spans="2:2" ht="15.5" x14ac:dyDescent="0.35">
      <c r="B4152" s="853">
        <v>398636.48841027229</v>
      </c>
    </row>
    <row r="4153" spans="2:2" ht="15.5" x14ac:dyDescent="0.35">
      <c r="B4153" s="853">
        <v>331575.0364357325</v>
      </c>
    </row>
    <row r="4154" spans="2:2" ht="15.5" x14ac:dyDescent="0.35">
      <c r="B4154" s="853">
        <v>92629.48011876877</v>
      </c>
    </row>
    <row r="4155" spans="2:2" ht="15.5" x14ac:dyDescent="0.35">
      <c r="B4155" s="853">
        <v>66468.405489988014</v>
      </c>
    </row>
    <row r="4156" spans="2:2" ht="15.5" x14ac:dyDescent="0.35">
      <c r="B4156" s="853">
        <v>160322.89197211113</v>
      </c>
    </row>
    <row r="4157" spans="2:2" ht="15.5" x14ac:dyDescent="0.35">
      <c r="B4157" s="853">
        <v>367458.55957275722</v>
      </c>
    </row>
    <row r="4158" spans="2:2" ht="15.5" x14ac:dyDescent="0.35">
      <c r="B4158" s="853">
        <v>392514.07784374396</v>
      </c>
    </row>
    <row r="4159" spans="2:2" ht="15.5" x14ac:dyDescent="0.35">
      <c r="B4159" s="853">
        <v>345484.61964129045</v>
      </c>
    </row>
    <row r="4160" spans="2:2" ht="15.5" x14ac:dyDescent="0.35">
      <c r="B4160" s="853">
        <v>261535.13901683327</v>
      </c>
    </row>
    <row r="4161" spans="2:2" ht="15.5" x14ac:dyDescent="0.35">
      <c r="B4161" s="853">
        <v>396388.44978477585</v>
      </c>
    </row>
    <row r="4162" spans="2:2" ht="15.5" x14ac:dyDescent="0.35">
      <c r="B4162" s="853">
        <v>358755.97786776588</v>
      </c>
    </row>
    <row r="4163" spans="2:2" ht="15.5" x14ac:dyDescent="0.35">
      <c r="B4163" s="853">
        <v>261836.03323654775</v>
      </c>
    </row>
    <row r="4164" spans="2:2" ht="15.5" x14ac:dyDescent="0.35">
      <c r="B4164" s="853">
        <v>483610.84209071391</v>
      </c>
    </row>
    <row r="4165" spans="2:2" ht="15.5" x14ac:dyDescent="0.35">
      <c r="B4165" s="853">
        <v>210483.50077089385</v>
      </c>
    </row>
    <row r="4166" spans="2:2" ht="15.5" x14ac:dyDescent="0.35">
      <c r="B4166" s="853">
        <v>377838.9504113252</v>
      </c>
    </row>
    <row r="4167" spans="2:2" ht="15.5" x14ac:dyDescent="0.35">
      <c r="B4167" s="853">
        <v>167417.63203212191</v>
      </c>
    </row>
    <row r="4168" spans="2:2" ht="15.5" x14ac:dyDescent="0.35">
      <c r="B4168" s="853">
        <v>163207.51353736423</v>
      </c>
    </row>
    <row r="4169" spans="2:2" ht="15.5" x14ac:dyDescent="0.35">
      <c r="B4169" s="853">
        <v>370164.98956978851</v>
      </c>
    </row>
    <row r="4170" spans="2:2" ht="15.5" x14ac:dyDescent="0.35">
      <c r="B4170" s="853">
        <v>437576.93050308077</v>
      </c>
    </row>
    <row r="4171" spans="2:2" ht="15.5" x14ac:dyDescent="0.35">
      <c r="B4171" s="853">
        <v>188905.49472722603</v>
      </c>
    </row>
    <row r="4172" spans="2:2" ht="15.5" x14ac:dyDescent="0.35">
      <c r="B4172" s="853">
        <v>82008.693095053415</v>
      </c>
    </row>
    <row r="4173" spans="2:2" ht="15.5" x14ac:dyDescent="0.35">
      <c r="B4173" s="853">
        <v>183240.8011231409</v>
      </c>
    </row>
    <row r="4174" spans="2:2" ht="15.5" x14ac:dyDescent="0.35">
      <c r="B4174" s="853">
        <v>468576.932569556</v>
      </c>
    </row>
    <row r="4175" spans="2:2" ht="15.5" x14ac:dyDescent="0.35">
      <c r="B4175" s="853">
        <v>425933.91929452948</v>
      </c>
    </row>
    <row r="4176" spans="2:2" ht="15.5" x14ac:dyDescent="0.35">
      <c r="B4176" s="853">
        <v>-24145.293002609935</v>
      </c>
    </row>
    <row r="4177" spans="2:2" ht="15.5" x14ac:dyDescent="0.35">
      <c r="B4177" s="853">
        <v>410540.06451037084</v>
      </c>
    </row>
    <row r="4178" spans="2:2" ht="15.5" x14ac:dyDescent="0.35">
      <c r="B4178" s="853">
        <v>-7789.9477732547157</v>
      </c>
    </row>
    <row r="4179" spans="2:2" ht="15.5" x14ac:dyDescent="0.35">
      <c r="B4179" s="853">
        <v>355344.14033875382</v>
      </c>
    </row>
    <row r="4180" spans="2:2" ht="15.5" x14ac:dyDescent="0.35">
      <c r="B4180" s="853">
        <v>157722.53972862769</v>
      </c>
    </row>
    <row r="4181" spans="2:2" ht="15.5" x14ac:dyDescent="0.35">
      <c r="B4181" s="853">
        <v>454660.60141593177</v>
      </c>
    </row>
    <row r="4182" spans="2:2" ht="15.5" x14ac:dyDescent="0.35">
      <c r="B4182" s="853">
        <v>301347.33180323924</v>
      </c>
    </row>
    <row r="4183" spans="2:2" ht="15.5" x14ac:dyDescent="0.35">
      <c r="B4183" s="853">
        <v>320576.77724454348</v>
      </c>
    </row>
    <row r="4184" spans="2:2" ht="15.5" x14ac:dyDescent="0.35">
      <c r="B4184" s="853">
        <v>314342.89919183537</v>
      </c>
    </row>
    <row r="4185" spans="2:2" ht="15.5" x14ac:dyDescent="0.35">
      <c r="B4185" s="853">
        <v>101441.63579899885</v>
      </c>
    </row>
    <row r="4186" spans="2:2" ht="15.5" x14ac:dyDescent="0.35">
      <c r="B4186" s="853">
        <v>155545.21962195306</v>
      </c>
    </row>
    <row r="4187" spans="2:2" ht="15.5" x14ac:dyDescent="0.35">
      <c r="B4187" s="853">
        <v>421282.36354163272</v>
      </c>
    </row>
    <row r="4188" spans="2:2" ht="15.5" x14ac:dyDescent="0.35">
      <c r="B4188" s="853">
        <v>284183.53183399542</v>
      </c>
    </row>
    <row r="4189" spans="2:2" ht="15.5" x14ac:dyDescent="0.35">
      <c r="B4189" s="853">
        <v>495934.89638739277</v>
      </c>
    </row>
    <row r="4190" spans="2:2" ht="15.5" x14ac:dyDescent="0.35">
      <c r="B4190" s="853">
        <v>227574.54684354339</v>
      </c>
    </row>
    <row r="4191" spans="2:2" ht="15.5" x14ac:dyDescent="0.35">
      <c r="B4191" s="853">
        <v>441777.88317043864</v>
      </c>
    </row>
    <row r="4192" spans="2:2" ht="15.5" x14ac:dyDescent="0.35">
      <c r="B4192" s="853">
        <v>280000.60427438165</v>
      </c>
    </row>
    <row r="4193" spans="2:2" ht="15.5" x14ac:dyDescent="0.35">
      <c r="B4193" s="853">
        <v>123068.36367692801</v>
      </c>
    </row>
    <row r="4194" spans="2:2" ht="15.5" x14ac:dyDescent="0.35">
      <c r="B4194" s="853">
        <v>295797.40537293116</v>
      </c>
    </row>
    <row r="4195" spans="2:2" ht="15.5" x14ac:dyDescent="0.35">
      <c r="B4195" s="853">
        <v>343405.93792126654</v>
      </c>
    </row>
    <row r="4196" spans="2:2" ht="15.5" x14ac:dyDescent="0.35">
      <c r="B4196" s="853">
        <v>398938.60299972922</v>
      </c>
    </row>
    <row r="4197" spans="2:2" ht="15.5" x14ac:dyDescent="0.35">
      <c r="B4197" s="853">
        <v>303096.06073239626</v>
      </c>
    </row>
    <row r="4198" spans="2:2" ht="15.5" x14ac:dyDescent="0.35">
      <c r="B4198" s="853">
        <v>430821.55625397351</v>
      </c>
    </row>
    <row r="4199" spans="2:2" ht="15.5" x14ac:dyDescent="0.35">
      <c r="B4199" s="853">
        <v>341338.24847732269</v>
      </c>
    </row>
    <row r="4200" spans="2:2" ht="15.5" x14ac:dyDescent="0.35">
      <c r="B4200" s="853">
        <v>520403.23932152096</v>
      </c>
    </row>
    <row r="4201" spans="2:2" ht="15.5" x14ac:dyDescent="0.35">
      <c r="B4201" s="853">
        <v>76234.426402161567</v>
      </c>
    </row>
    <row r="4202" spans="2:2" ht="15.5" x14ac:dyDescent="0.35">
      <c r="B4202" s="853">
        <v>135395.44842635823</v>
      </c>
    </row>
    <row r="4203" spans="2:2" ht="15.5" x14ac:dyDescent="0.35">
      <c r="B4203" s="853">
        <v>261649.53219693314</v>
      </c>
    </row>
    <row r="4204" spans="2:2" ht="15.5" x14ac:dyDescent="0.35">
      <c r="B4204" s="853">
        <v>192530.59242882999</v>
      </c>
    </row>
    <row r="4205" spans="2:2" ht="15.5" x14ac:dyDescent="0.35">
      <c r="B4205" s="853">
        <v>280860.02403341414</v>
      </c>
    </row>
    <row r="4206" spans="2:2" ht="15.5" x14ac:dyDescent="0.35">
      <c r="B4206" s="853">
        <v>365504.11461435101</v>
      </c>
    </row>
    <row r="4207" spans="2:2" ht="15.5" x14ac:dyDescent="0.35">
      <c r="B4207" s="853">
        <v>391477.61897077528</v>
      </c>
    </row>
    <row r="4208" spans="2:2" ht="15.5" x14ac:dyDescent="0.35">
      <c r="B4208" s="853">
        <v>97811.021485708872</v>
      </c>
    </row>
    <row r="4209" spans="2:2" ht="15.5" x14ac:dyDescent="0.35">
      <c r="B4209" s="853">
        <v>253080.51600460801</v>
      </c>
    </row>
    <row r="4210" spans="2:2" ht="15.5" x14ac:dyDescent="0.35">
      <c r="B4210" s="853">
        <v>611382.26837728301</v>
      </c>
    </row>
    <row r="4211" spans="2:2" ht="15.5" x14ac:dyDescent="0.35">
      <c r="B4211" s="853">
        <v>307788.96781402064</v>
      </c>
    </row>
    <row r="4212" spans="2:2" ht="15.5" x14ac:dyDescent="0.35">
      <c r="B4212" s="853">
        <v>184075.64767597252</v>
      </c>
    </row>
    <row r="4213" spans="2:2" ht="15.5" x14ac:dyDescent="0.35">
      <c r="B4213" s="853">
        <v>438883.48811104882</v>
      </c>
    </row>
    <row r="4214" spans="2:2" ht="15.5" x14ac:dyDescent="0.35">
      <c r="B4214" s="853">
        <v>513268.65742176544</v>
      </c>
    </row>
    <row r="4215" spans="2:2" ht="15.5" x14ac:dyDescent="0.35">
      <c r="B4215" s="853">
        <v>332390.14465849439</v>
      </c>
    </row>
    <row r="4216" spans="2:2" ht="15.5" x14ac:dyDescent="0.35">
      <c r="B4216" s="853">
        <v>475985.45656893047</v>
      </c>
    </row>
    <row r="4217" spans="2:2" ht="15.5" x14ac:dyDescent="0.35">
      <c r="B4217" s="853">
        <v>398579.63548708305</v>
      </c>
    </row>
    <row r="4218" spans="2:2" ht="15.5" x14ac:dyDescent="0.35">
      <c r="B4218" s="853">
        <v>306956.92307098553</v>
      </c>
    </row>
    <row r="4219" spans="2:2" ht="15.5" x14ac:dyDescent="0.35">
      <c r="B4219" s="853">
        <v>152728.99403602697</v>
      </c>
    </row>
    <row r="4220" spans="2:2" ht="15.5" x14ac:dyDescent="0.35">
      <c r="B4220" s="853">
        <v>435567.31700446701</v>
      </c>
    </row>
    <row r="4221" spans="2:2" ht="15.5" x14ac:dyDescent="0.35">
      <c r="B4221" s="853">
        <v>469068.80094844336</v>
      </c>
    </row>
    <row r="4222" spans="2:2" ht="15.5" x14ac:dyDescent="0.35">
      <c r="B4222" s="853">
        <v>637156.92589816533</v>
      </c>
    </row>
    <row r="4223" spans="2:2" ht="15.5" x14ac:dyDescent="0.35">
      <c r="B4223" s="853">
        <v>98280.024871695408</v>
      </c>
    </row>
    <row r="4224" spans="2:2" ht="15.5" x14ac:dyDescent="0.35">
      <c r="B4224" s="853">
        <v>212469.09127485892</v>
      </c>
    </row>
    <row r="4225" spans="2:2" ht="15.5" x14ac:dyDescent="0.35">
      <c r="B4225" s="853">
        <v>240868.85709871171</v>
      </c>
    </row>
    <row r="4226" spans="2:2" ht="15.5" x14ac:dyDescent="0.35">
      <c r="B4226" s="853">
        <v>328500.82787497423</v>
      </c>
    </row>
    <row r="4227" spans="2:2" ht="15.5" x14ac:dyDescent="0.35">
      <c r="B4227" s="853">
        <v>223514.36637085833</v>
      </c>
    </row>
    <row r="4228" spans="2:2" ht="15.5" x14ac:dyDescent="0.35">
      <c r="B4228" s="853">
        <v>356373.96081993676</v>
      </c>
    </row>
    <row r="4229" spans="2:2" ht="15.5" x14ac:dyDescent="0.35">
      <c r="B4229" s="853">
        <v>305127.17421653384</v>
      </c>
    </row>
    <row r="4230" spans="2:2" ht="15.5" x14ac:dyDescent="0.35">
      <c r="B4230" s="853">
        <v>569604.34083135554</v>
      </c>
    </row>
    <row r="4231" spans="2:2" ht="15.5" x14ac:dyDescent="0.35">
      <c r="B4231" s="853">
        <v>152802.44166030956</v>
      </c>
    </row>
    <row r="4232" spans="2:2" ht="15.5" x14ac:dyDescent="0.35">
      <c r="B4232" s="853">
        <v>184871.88783877794</v>
      </c>
    </row>
    <row r="4233" spans="2:2" ht="15.5" x14ac:dyDescent="0.35">
      <c r="B4233" s="853">
        <v>311420.06468102045</v>
      </c>
    </row>
    <row r="4234" spans="2:2" ht="15.5" x14ac:dyDescent="0.35">
      <c r="B4234" s="853">
        <v>456036.68092108693</v>
      </c>
    </row>
    <row r="4235" spans="2:2" ht="15.5" x14ac:dyDescent="0.35">
      <c r="B4235" s="853">
        <v>165254.56026517146</v>
      </c>
    </row>
    <row r="4236" spans="2:2" ht="15.5" x14ac:dyDescent="0.35">
      <c r="B4236" s="853">
        <v>168380.38349612019</v>
      </c>
    </row>
    <row r="4237" spans="2:2" ht="15.5" x14ac:dyDescent="0.35">
      <c r="B4237" s="853">
        <v>216459.57345213302</v>
      </c>
    </row>
    <row r="4238" spans="2:2" ht="15.5" x14ac:dyDescent="0.35">
      <c r="B4238" s="853">
        <v>171997.09840459016</v>
      </c>
    </row>
    <row r="4239" spans="2:2" ht="15.5" x14ac:dyDescent="0.35">
      <c r="B4239" s="853">
        <v>269653.90756096679</v>
      </c>
    </row>
    <row r="4240" spans="2:2" ht="15.5" x14ac:dyDescent="0.35">
      <c r="B4240" s="853">
        <v>283836.64173828869</v>
      </c>
    </row>
    <row r="4241" spans="2:2" ht="15.5" x14ac:dyDescent="0.35">
      <c r="B4241" s="853">
        <v>60680.484473572556</v>
      </c>
    </row>
    <row r="4242" spans="2:2" ht="15.5" x14ac:dyDescent="0.35">
      <c r="B4242" s="853">
        <v>353783.84645963984</v>
      </c>
    </row>
    <row r="4243" spans="2:2" ht="15.5" x14ac:dyDescent="0.35">
      <c r="B4243" s="853">
        <v>593522.47910766152</v>
      </c>
    </row>
    <row r="4244" spans="2:2" ht="15.5" x14ac:dyDescent="0.35">
      <c r="B4244" s="853">
        <v>580472.16230722424</v>
      </c>
    </row>
    <row r="4245" spans="2:2" ht="15.5" x14ac:dyDescent="0.35">
      <c r="B4245" s="853">
        <v>232818.59127776956</v>
      </c>
    </row>
    <row r="4246" spans="2:2" ht="15.5" x14ac:dyDescent="0.35">
      <c r="B4246" s="853">
        <v>116552.37997188573</v>
      </c>
    </row>
    <row r="4247" spans="2:2" ht="15.5" x14ac:dyDescent="0.35">
      <c r="B4247" s="853">
        <v>5860.7614215859439</v>
      </c>
    </row>
    <row r="4248" spans="2:2" ht="15.5" x14ac:dyDescent="0.35">
      <c r="B4248" s="853">
        <v>573986.20894183998</v>
      </c>
    </row>
    <row r="4249" spans="2:2" ht="15.5" x14ac:dyDescent="0.35">
      <c r="B4249" s="853">
        <v>263506.16736964037</v>
      </c>
    </row>
    <row r="4250" spans="2:2" ht="15.5" x14ac:dyDescent="0.35">
      <c r="B4250" s="853">
        <v>379081.60526003339</v>
      </c>
    </row>
    <row r="4251" spans="2:2" ht="15.5" x14ac:dyDescent="0.35">
      <c r="B4251" s="853">
        <v>342357.33562255313</v>
      </c>
    </row>
    <row r="4252" spans="2:2" ht="15.5" x14ac:dyDescent="0.35">
      <c r="B4252" s="853">
        <v>159868.29164804678</v>
      </c>
    </row>
    <row r="4253" spans="2:2" ht="15.5" x14ac:dyDescent="0.35">
      <c r="B4253" s="853">
        <v>321026.2480036557</v>
      </c>
    </row>
    <row r="4254" spans="2:2" ht="15.5" x14ac:dyDescent="0.35">
      <c r="B4254" s="853">
        <v>347693.39072677225</v>
      </c>
    </row>
    <row r="4255" spans="2:2" ht="15.5" x14ac:dyDescent="0.35">
      <c r="B4255" s="853">
        <v>428233.04355439794</v>
      </c>
    </row>
    <row r="4256" spans="2:2" ht="15.5" x14ac:dyDescent="0.35">
      <c r="B4256" s="853">
        <v>330755.42971460364</v>
      </c>
    </row>
    <row r="4257" spans="2:2" ht="15.5" x14ac:dyDescent="0.35">
      <c r="B4257" s="853">
        <v>450555.29754016869</v>
      </c>
    </row>
    <row r="4258" spans="2:2" ht="15.5" x14ac:dyDescent="0.35">
      <c r="B4258" s="853">
        <v>263753.08973290148</v>
      </c>
    </row>
    <row r="4259" spans="2:2" ht="15.5" x14ac:dyDescent="0.35">
      <c r="B4259" s="853">
        <v>280506.24452226917</v>
      </c>
    </row>
    <row r="4260" spans="2:2" ht="15.5" x14ac:dyDescent="0.35">
      <c r="B4260" s="853">
        <v>209515.47930724514</v>
      </c>
    </row>
    <row r="4261" spans="2:2" ht="15.5" x14ac:dyDescent="0.35">
      <c r="B4261" s="853">
        <v>558797.19521553232</v>
      </c>
    </row>
    <row r="4262" spans="2:2" ht="15.5" x14ac:dyDescent="0.35">
      <c r="B4262" s="853">
        <v>266020.1017171733</v>
      </c>
    </row>
    <row r="4263" spans="2:2" ht="15.5" x14ac:dyDescent="0.35">
      <c r="B4263" s="853">
        <v>293196.55915186234</v>
      </c>
    </row>
    <row r="4264" spans="2:2" ht="15.5" x14ac:dyDescent="0.35">
      <c r="B4264" s="853">
        <v>155912.02606541244</v>
      </c>
    </row>
    <row r="4265" spans="2:2" ht="15.5" x14ac:dyDescent="0.35">
      <c r="B4265" s="853">
        <v>61230.912452283999</v>
      </c>
    </row>
    <row r="4266" spans="2:2" ht="15.5" x14ac:dyDescent="0.35">
      <c r="B4266" s="853">
        <v>318000.57537303917</v>
      </c>
    </row>
    <row r="4267" spans="2:2" ht="15.5" x14ac:dyDescent="0.35">
      <c r="B4267" s="853">
        <v>77151.164009895627</v>
      </c>
    </row>
    <row r="4268" spans="2:2" ht="15.5" x14ac:dyDescent="0.35">
      <c r="B4268" s="853">
        <v>253856.38935369861</v>
      </c>
    </row>
    <row r="4269" spans="2:2" ht="15.5" x14ac:dyDescent="0.35">
      <c r="B4269" s="853">
        <v>185220.08079797204</v>
      </c>
    </row>
    <row r="4270" spans="2:2" ht="15.5" x14ac:dyDescent="0.35">
      <c r="B4270" s="853">
        <v>309250.90943691082</v>
      </c>
    </row>
    <row r="4271" spans="2:2" ht="15.5" x14ac:dyDescent="0.35">
      <c r="B4271" s="853">
        <v>128822.65141078914</v>
      </c>
    </row>
    <row r="4272" spans="2:2" ht="15.5" x14ac:dyDescent="0.35">
      <c r="B4272" s="853">
        <v>453911.30352241232</v>
      </c>
    </row>
    <row r="4273" spans="2:2" ht="15.5" x14ac:dyDescent="0.35">
      <c r="B4273" s="853">
        <v>443755.30945674796</v>
      </c>
    </row>
    <row r="4274" spans="2:2" ht="15.5" x14ac:dyDescent="0.35">
      <c r="B4274" s="853">
        <v>248900.66805468019</v>
      </c>
    </row>
    <row r="4275" spans="2:2" ht="15.5" x14ac:dyDescent="0.35">
      <c r="B4275" s="853">
        <v>489168.28222090501</v>
      </c>
    </row>
    <row r="4276" spans="2:2" ht="15.5" x14ac:dyDescent="0.35">
      <c r="B4276" s="853">
        <v>188299.96626315714</v>
      </c>
    </row>
    <row r="4277" spans="2:2" ht="15.5" x14ac:dyDescent="0.35">
      <c r="B4277" s="853">
        <v>137810.75132345175</v>
      </c>
    </row>
    <row r="4278" spans="2:2" ht="15.5" x14ac:dyDescent="0.35">
      <c r="B4278" s="853">
        <v>267574.14056169754</v>
      </c>
    </row>
    <row r="4279" spans="2:2" ht="15.5" x14ac:dyDescent="0.35">
      <c r="B4279" s="853">
        <v>372867.10970448208</v>
      </c>
    </row>
    <row r="4280" spans="2:2" ht="15.5" x14ac:dyDescent="0.35">
      <c r="B4280" s="853">
        <v>57920.53706931902</v>
      </c>
    </row>
    <row r="4281" spans="2:2" ht="15.5" x14ac:dyDescent="0.35">
      <c r="B4281" s="853">
        <v>160463.11364168278</v>
      </c>
    </row>
    <row r="4282" spans="2:2" ht="15.5" x14ac:dyDescent="0.35">
      <c r="B4282" s="853">
        <v>343372.52936695999</v>
      </c>
    </row>
    <row r="4283" spans="2:2" ht="15.5" x14ac:dyDescent="0.35">
      <c r="B4283" s="853">
        <v>230442.36880991756</v>
      </c>
    </row>
    <row r="4284" spans="2:2" ht="15.5" x14ac:dyDescent="0.35">
      <c r="B4284" s="853">
        <v>335570.08032553043</v>
      </c>
    </row>
    <row r="4285" spans="2:2" ht="15.5" x14ac:dyDescent="0.35">
      <c r="B4285" s="853">
        <v>195200.18775255635</v>
      </c>
    </row>
    <row r="4286" spans="2:2" ht="15.5" x14ac:dyDescent="0.35">
      <c r="B4286" s="853">
        <v>334527.31732651079</v>
      </c>
    </row>
    <row r="4287" spans="2:2" ht="15.5" x14ac:dyDescent="0.35">
      <c r="B4287" s="853">
        <v>457965.08647871279</v>
      </c>
    </row>
    <row r="4288" spans="2:2" ht="15.5" x14ac:dyDescent="0.35">
      <c r="B4288" s="853">
        <v>172356.5368885198</v>
      </c>
    </row>
    <row r="4289" spans="2:2" ht="15.5" x14ac:dyDescent="0.35">
      <c r="B4289" s="853">
        <v>303464.43154931866</v>
      </c>
    </row>
    <row r="4290" spans="2:2" ht="15.5" x14ac:dyDescent="0.35">
      <c r="B4290" s="853">
        <v>116641.2519752337</v>
      </c>
    </row>
    <row r="4291" spans="2:2" ht="15.5" x14ac:dyDescent="0.35">
      <c r="B4291" s="853">
        <v>195498.69992609991</v>
      </c>
    </row>
    <row r="4292" spans="2:2" ht="15.5" x14ac:dyDescent="0.35">
      <c r="B4292" s="853">
        <v>521386.81430171273</v>
      </c>
    </row>
    <row r="4293" spans="2:2" ht="15.5" x14ac:dyDescent="0.35">
      <c r="B4293" s="853">
        <v>226603.90553507803</v>
      </c>
    </row>
    <row r="4294" spans="2:2" ht="15.5" x14ac:dyDescent="0.35">
      <c r="B4294" s="853">
        <v>536021.13824436301</v>
      </c>
    </row>
    <row r="4295" spans="2:2" ht="15.5" x14ac:dyDescent="0.35">
      <c r="B4295" s="853">
        <v>195585.60903839752</v>
      </c>
    </row>
    <row r="4296" spans="2:2" ht="15.5" x14ac:dyDescent="0.35">
      <c r="B4296" s="853">
        <v>522171.46378481976</v>
      </c>
    </row>
    <row r="4297" spans="2:2" ht="15.5" x14ac:dyDescent="0.35">
      <c r="B4297" s="853">
        <v>461871.94291901629</v>
      </c>
    </row>
    <row r="4298" spans="2:2" ht="15.5" x14ac:dyDescent="0.35">
      <c r="B4298" s="853">
        <v>526048.48864860309</v>
      </c>
    </row>
    <row r="4299" spans="2:2" ht="15.5" x14ac:dyDescent="0.35">
      <c r="B4299" s="853">
        <v>289452.08578406699</v>
      </c>
    </row>
    <row r="4300" spans="2:2" ht="15.5" x14ac:dyDescent="0.35">
      <c r="B4300" s="853">
        <v>251940.62014659931</v>
      </c>
    </row>
    <row r="4301" spans="2:2" ht="15.5" x14ac:dyDescent="0.35">
      <c r="B4301" s="853">
        <v>204399.12482393972</v>
      </c>
    </row>
    <row r="4302" spans="2:2" ht="15.5" x14ac:dyDescent="0.35">
      <c r="B4302" s="853">
        <v>538567.06593878823</v>
      </c>
    </row>
    <row r="4303" spans="2:2" ht="15.5" x14ac:dyDescent="0.35">
      <c r="B4303" s="853">
        <v>523624.75053182361</v>
      </c>
    </row>
    <row r="4304" spans="2:2" ht="15.5" x14ac:dyDescent="0.35">
      <c r="B4304" s="853">
        <v>216413.22340066626</v>
      </c>
    </row>
    <row r="4305" spans="2:2" ht="15.5" x14ac:dyDescent="0.35">
      <c r="B4305" s="853">
        <v>253448.0714531409</v>
      </c>
    </row>
    <row r="4306" spans="2:2" ht="15.5" x14ac:dyDescent="0.35">
      <c r="B4306" s="853">
        <v>509166.27582156751</v>
      </c>
    </row>
    <row r="4307" spans="2:2" ht="15.5" x14ac:dyDescent="0.35">
      <c r="B4307" s="853">
        <v>242246.46313039816</v>
      </c>
    </row>
    <row r="4308" spans="2:2" ht="15.5" x14ac:dyDescent="0.35">
      <c r="B4308" s="853">
        <v>364774.42590590339</v>
      </c>
    </row>
    <row r="4309" spans="2:2" ht="15.5" x14ac:dyDescent="0.35">
      <c r="B4309" s="853">
        <v>121923.77586939321</v>
      </c>
    </row>
    <row r="4310" spans="2:2" ht="15.5" x14ac:dyDescent="0.35">
      <c r="B4310" s="853">
        <v>382908.1531705074</v>
      </c>
    </row>
    <row r="4311" spans="2:2" ht="15.5" x14ac:dyDescent="0.35">
      <c r="B4311" s="853">
        <v>564250.13555107231</v>
      </c>
    </row>
    <row r="4312" spans="2:2" ht="15.5" x14ac:dyDescent="0.35">
      <c r="B4312" s="853">
        <v>281759.39572067646</v>
      </c>
    </row>
    <row r="4313" spans="2:2" ht="15.5" x14ac:dyDescent="0.35">
      <c r="B4313" s="853">
        <v>393033.43913198676</v>
      </c>
    </row>
    <row r="4314" spans="2:2" ht="15.5" x14ac:dyDescent="0.35">
      <c r="B4314" s="853">
        <v>489046.31904119661</v>
      </c>
    </row>
    <row r="4315" spans="2:2" ht="15.5" x14ac:dyDescent="0.35">
      <c r="B4315" s="853">
        <v>359543.6248767146</v>
      </c>
    </row>
    <row r="4316" spans="2:2" ht="15.5" x14ac:dyDescent="0.35">
      <c r="B4316" s="853">
        <v>142800.97224469736</v>
      </c>
    </row>
    <row r="4317" spans="2:2" ht="15.5" x14ac:dyDescent="0.35">
      <c r="B4317" s="853">
        <v>309845.25288305269</v>
      </c>
    </row>
    <row r="4318" spans="2:2" ht="15.5" x14ac:dyDescent="0.35">
      <c r="B4318" s="853">
        <v>75127.491678048784</v>
      </c>
    </row>
    <row r="4319" spans="2:2" ht="15.5" x14ac:dyDescent="0.35">
      <c r="B4319" s="853">
        <v>356271.51978748722</v>
      </c>
    </row>
    <row r="4320" spans="2:2" ht="15.5" x14ac:dyDescent="0.35">
      <c r="B4320" s="853">
        <v>13298.152100150006</v>
      </c>
    </row>
    <row r="4321" spans="2:2" ht="15.5" x14ac:dyDescent="0.35">
      <c r="B4321" s="853">
        <v>234811.15640525176</v>
      </c>
    </row>
    <row r="4322" spans="2:2" ht="15.5" x14ac:dyDescent="0.35">
      <c r="B4322" s="853">
        <v>404172.52526202152</v>
      </c>
    </row>
    <row r="4323" spans="2:2" ht="15.5" x14ac:dyDescent="0.35">
      <c r="B4323" s="853">
        <v>482832.91137521295</v>
      </c>
    </row>
    <row r="4324" spans="2:2" ht="15.5" x14ac:dyDescent="0.35">
      <c r="B4324" s="853">
        <v>192052.39742184817</v>
      </c>
    </row>
    <row r="4325" spans="2:2" ht="15.5" x14ac:dyDescent="0.35">
      <c r="B4325" s="853">
        <v>520359.21592146414</v>
      </c>
    </row>
    <row r="4326" spans="2:2" ht="15.5" x14ac:dyDescent="0.35">
      <c r="B4326" s="853">
        <v>394926.20214633277</v>
      </c>
    </row>
    <row r="4327" spans="2:2" ht="15.5" x14ac:dyDescent="0.35">
      <c r="B4327" s="853">
        <v>6956.6049131901573</v>
      </c>
    </row>
    <row r="4328" spans="2:2" ht="15.5" x14ac:dyDescent="0.35">
      <c r="B4328" s="853">
        <v>374953.21131110075</v>
      </c>
    </row>
    <row r="4329" spans="2:2" ht="15.5" x14ac:dyDescent="0.35">
      <c r="B4329" s="853">
        <v>578445.61173016124</v>
      </c>
    </row>
    <row r="4330" spans="2:2" ht="15.5" x14ac:dyDescent="0.35">
      <c r="B4330" s="853">
        <v>378306.26265222149</v>
      </c>
    </row>
    <row r="4331" spans="2:2" ht="15.5" x14ac:dyDescent="0.35">
      <c r="B4331" s="853">
        <v>446895.43500616465</v>
      </c>
    </row>
    <row r="4332" spans="2:2" ht="15.5" x14ac:dyDescent="0.35">
      <c r="B4332" s="853">
        <v>327719.06318319828</v>
      </c>
    </row>
    <row r="4333" spans="2:2" ht="15.5" x14ac:dyDescent="0.35">
      <c r="B4333" s="853">
        <v>647329.53205758368</v>
      </c>
    </row>
    <row r="4334" spans="2:2" ht="15.5" x14ac:dyDescent="0.35">
      <c r="B4334" s="853">
        <v>576548.07326277008</v>
      </c>
    </row>
    <row r="4335" spans="2:2" ht="15.5" x14ac:dyDescent="0.35">
      <c r="B4335" s="853">
        <v>109871.04736934489</v>
      </c>
    </row>
    <row r="4336" spans="2:2" ht="15.5" x14ac:dyDescent="0.35">
      <c r="B4336" s="853">
        <v>590121.40439418168</v>
      </c>
    </row>
    <row r="4337" spans="2:2" ht="15.5" x14ac:dyDescent="0.35">
      <c r="B4337" s="853">
        <v>666950.21570115816</v>
      </c>
    </row>
    <row r="4338" spans="2:2" ht="15.5" x14ac:dyDescent="0.35">
      <c r="B4338" s="853">
        <v>393630.5540727218</v>
      </c>
    </row>
    <row r="4339" spans="2:2" ht="15.5" x14ac:dyDescent="0.35">
      <c r="B4339" s="853">
        <v>262336.14042380295</v>
      </c>
    </row>
    <row r="4340" spans="2:2" ht="15.5" x14ac:dyDescent="0.35">
      <c r="B4340" s="853">
        <v>442100.463278307</v>
      </c>
    </row>
    <row r="4341" spans="2:2" ht="15.5" x14ac:dyDescent="0.35">
      <c r="B4341" s="853">
        <v>377140.88336270559</v>
      </c>
    </row>
    <row r="4342" spans="2:2" ht="15.5" x14ac:dyDescent="0.35">
      <c r="B4342" s="853">
        <v>340307.27937063994</v>
      </c>
    </row>
    <row r="4343" spans="2:2" ht="15.5" x14ac:dyDescent="0.35">
      <c r="B4343" s="853">
        <v>350998.9893275146</v>
      </c>
    </row>
    <row r="4344" spans="2:2" ht="15.5" x14ac:dyDescent="0.35">
      <c r="B4344" s="853">
        <v>238422.3558665624</v>
      </c>
    </row>
    <row r="4345" spans="2:2" ht="15.5" x14ac:dyDescent="0.35">
      <c r="B4345" s="853">
        <v>59802.106221686816</v>
      </c>
    </row>
    <row r="4346" spans="2:2" ht="15.5" x14ac:dyDescent="0.35">
      <c r="B4346" s="853">
        <v>243253.49280767867</v>
      </c>
    </row>
    <row r="4347" spans="2:2" ht="15.5" x14ac:dyDescent="0.35">
      <c r="B4347" s="853">
        <v>280369.63387525454</v>
      </c>
    </row>
    <row r="4348" spans="2:2" ht="15.5" x14ac:dyDescent="0.35">
      <c r="B4348" s="853">
        <v>246387.36475983018</v>
      </c>
    </row>
    <row r="4349" spans="2:2" ht="15.5" x14ac:dyDescent="0.35">
      <c r="B4349" s="853">
        <v>625807.99350896745</v>
      </c>
    </row>
    <row r="4350" spans="2:2" ht="15.5" x14ac:dyDescent="0.35">
      <c r="B4350" s="853">
        <v>432731.37073938694</v>
      </c>
    </row>
    <row r="4351" spans="2:2" ht="15.5" x14ac:dyDescent="0.35">
      <c r="B4351" s="853">
        <v>205992.68764477762</v>
      </c>
    </row>
    <row r="4352" spans="2:2" ht="15.5" x14ac:dyDescent="0.35">
      <c r="B4352" s="853">
        <v>215733.20604054091</v>
      </c>
    </row>
    <row r="4353" spans="2:2" ht="15.5" x14ac:dyDescent="0.35">
      <c r="B4353" s="853">
        <v>-655.11462707559826</v>
      </c>
    </row>
    <row r="4354" spans="2:2" ht="15.5" x14ac:dyDescent="0.35">
      <c r="B4354" s="853">
        <v>226933.26976796577</v>
      </c>
    </row>
    <row r="4355" spans="2:2" ht="15.5" x14ac:dyDescent="0.35">
      <c r="B4355" s="853">
        <v>313310.43256065791</v>
      </c>
    </row>
    <row r="4356" spans="2:2" ht="15.5" x14ac:dyDescent="0.35">
      <c r="B4356" s="853">
        <v>357403.02690497396</v>
      </c>
    </row>
    <row r="4357" spans="2:2" ht="15.5" x14ac:dyDescent="0.35">
      <c r="B4357" s="853">
        <v>422616.795668128</v>
      </c>
    </row>
    <row r="4358" spans="2:2" ht="15.5" x14ac:dyDescent="0.35">
      <c r="B4358" s="853">
        <v>134466.36784378137</v>
      </c>
    </row>
    <row r="4359" spans="2:2" ht="15.5" x14ac:dyDescent="0.35">
      <c r="B4359" s="853">
        <v>53705.169980375926</v>
      </c>
    </row>
    <row r="4360" spans="2:2" ht="15.5" x14ac:dyDescent="0.35">
      <c r="B4360" s="853">
        <v>455393.89469223615</v>
      </c>
    </row>
    <row r="4361" spans="2:2" ht="15.5" x14ac:dyDescent="0.35">
      <c r="B4361" s="853">
        <v>219514.6786445913</v>
      </c>
    </row>
    <row r="4362" spans="2:2" ht="15.5" x14ac:dyDescent="0.35">
      <c r="B4362" s="853">
        <v>428867.58841457969</v>
      </c>
    </row>
    <row r="4363" spans="2:2" ht="15.5" x14ac:dyDescent="0.35">
      <c r="B4363" s="853">
        <v>326289.5878851536</v>
      </c>
    </row>
    <row r="4364" spans="2:2" ht="15.5" x14ac:dyDescent="0.35">
      <c r="B4364" s="853">
        <v>488929.80643972108</v>
      </c>
    </row>
    <row r="4365" spans="2:2" ht="15.5" x14ac:dyDescent="0.35">
      <c r="B4365" s="853">
        <v>301153.02641418017</v>
      </c>
    </row>
    <row r="4366" spans="2:2" ht="15.5" x14ac:dyDescent="0.35">
      <c r="B4366" s="853">
        <v>146992.41980643052</v>
      </c>
    </row>
    <row r="4367" spans="2:2" ht="15.5" x14ac:dyDescent="0.35">
      <c r="B4367" s="853">
        <v>-120729.02802972918</v>
      </c>
    </row>
    <row r="4368" spans="2:2" ht="15.5" x14ac:dyDescent="0.35">
      <c r="B4368" s="853">
        <v>184429.85901441838</v>
      </c>
    </row>
    <row r="4369" spans="2:2" ht="15.5" x14ac:dyDescent="0.35">
      <c r="B4369" s="853">
        <v>467100.63147019089</v>
      </c>
    </row>
    <row r="4370" spans="2:2" ht="15.5" x14ac:dyDescent="0.35">
      <c r="B4370" s="853">
        <v>-256660.23869562967</v>
      </c>
    </row>
    <row r="4371" spans="2:2" ht="15.5" x14ac:dyDescent="0.35">
      <c r="B4371" s="853">
        <v>225637.78928769616</v>
      </c>
    </row>
    <row r="4372" spans="2:2" ht="15.5" x14ac:dyDescent="0.35">
      <c r="B4372" s="853">
        <v>313704.49514233397</v>
      </c>
    </row>
    <row r="4373" spans="2:2" ht="15.5" x14ac:dyDescent="0.35">
      <c r="B4373" s="853">
        <v>250592.98082705154</v>
      </c>
    </row>
    <row r="4374" spans="2:2" ht="15.5" x14ac:dyDescent="0.35">
      <c r="B4374" s="853">
        <v>25545.43336091339</v>
      </c>
    </row>
    <row r="4375" spans="2:2" ht="15.5" x14ac:dyDescent="0.35">
      <c r="B4375" s="853">
        <v>418425.86983854638</v>
      </c>
    </row>
    <row r="4376" spans="2:2" ht="15.5" x14ac:dyDescent="0.35">
      <c r="B4376" s="853">
        <v>300583.51926353248</v>
      </c>
    </row>
    <row r="4377" spans="2:2" ht="15.5" x14ac:dyDescent="0.35">
      <c r="B4377" s="853">
        <v>69040.726810196546</v>
      </c>
    </row>
    <row r="4378" spans="2:2" ht="15.5" x14ac:dyDescent="0.35">
      <c r="B4378" s="853">
        <v>408186.36759123474</v>
      </c>
    </row>
    <row r="4379" spans="2:2" ht="15.5" x14ac:dyDescent="0.35">
      <c r="B4379" s="853">
        <v>295815.96755117149</v>
      </c>
    </row>
    <row r="4380" spans="2:2" ht="15.5" x14ac:dyDescent="0.35">
      <c r="B4380" s="853">
        <v>330938.24704949377</v>
      </c>
    </row>
    <row r="4381" spans="2:2" ht="15.5" x14ac:dyDescent="0.35">
      <c r="B4381" s="853">
        <v>232547.94715968595</v>
      </c>
    </row>
    <row r="4382" spans="2:2" ht="15.5" x14ac:dyDescent="0.35">
      <c r="B4382" s="853">
        <v>242543.40839643258</v>
      </c>
    </row>
    <row r="4383" spans="2:2" ht="15.5" x14ac:dyDescent="0.35">
      <c r="B4383" s="853">
        <v>568469.39492111618</v>
      </c>
    </row>
    <row r="4384" spans="2:2" ht="15.5" x14ac:dyDescent="0.35">
      <c r="B4384" s="853">
        <v>240532.37497762017</v>
      </c>
    </row>
    <row r="4385" spans="2:2" ht="15.5" x14ac:dyDescent="0.35">
      <c r="B4385" s="853">
        <v>235485.72915931066</v>
      </c>
    </row>
    <row r="4386" spans="2:2" ht="15.5" x14ac:dyDescent="0.35">
      <c r="B4386" s="853">
        <v>296342.35539545066</v>
      </c>
    </row>
    <row r="4387" spans="2:2" ht="15.5" x14ac:dyDescent="0.35">
      <c r="B4387" s="853">
        <v>480259.89382012875</v>
      </c>
    </row>
    <row r="4388" spans="2:2" ht="15.5" x14ac:dyDescent="0.35">
      <c r="B4388" s="853">
        <v>266670.40466576716</v>
      </c>
    </row>
    <row r="4389" spans="2:2" ht="15.5" x14ac:dyDescent="0.35">
      <c r="B4389" s="853">
        <v>514899.34444879188</v>
      </c>
    </row>
    <row r="4390" spans="2:2" ht="15.5" x14ac:dyDescent="0.35">
      <c r="B4390" s="853">
        <v>153769.83881989724</v>
      </c>
    </row>
    <row r="4391" spans="2:2" ht="15.5" x14ac:dyDescent="0.35">
      <c r="B4391" s="853">
        <v>178988.98308295402</v>
      </c>
    </row>
    <row r="4392" spans="2:2" ht="15.5" x14ac:dyDescent="0.35">
      <c r="B4392" s="853">
        <v>26205.2248144513</v>
      </c>
    </row>
    <row r="4393" spans="2:2" ht="15.5" x14ac:dyDescent="0.35">
      <c r="B4393" s="853">
        <v>291593.53564359684</v>
      </c>
    </row>
    <row r="4394" spans="2:2" ht="15.5" x14ac:dyDescent="0.35">
      <c r="B4394" s="853">
        <v>177101.44146232546</v>
      </c>
    </row>
    <row r="4395" spans="2:2" ht="15.5" x14ac:dyDescent="0.35">
      <c r="B4395" s="853">
        <v>233960.66205093797</v>
      </c>
    </row>
    <row r="4396" spans="2:2" ht="15.5" x14ac:dyDescent="0.35">
      <c r="B4396" s="853">
        <v>185539.69378279519</v>
      </c>
    </row>
    <row r="4397" spans="2:2" ht="15.5" x14ac:dyDescent="0.35">
      <c r="B4397" s="853">
        <v>510538.19372829405</v>
      </c>
    </row>
    <row r="4398" spans="2:2" ht="15.5" x14ac:dyDescent="0.35">
      <c r="B4398" s="853">
        <v>451057.49819393689</v>
      </c>
    </row>
    <row r="4399" spans="2:2" ht="15.5" x14ac:dyDescent="0.35">
      <c r="B4399" s="853">
        <v>193276.90245566561</v>
      </c>
    </row>
    <row r="4400" spans="2:2" ht="15.5" x14ac:dyDescent="0.35">
      <c r="B4400" s="853">
        <v>282563.25540120609</v>
      </c>
    </row>
    <row r="4401" spans="2:2" ht="15.5" x14ac:dyDescent="0.35">
      <c r="B4401" s="853">
        <v>169305.0036570263</v>
      </c>
    </row>
    <row r="4402" spans="2:2" ht="15.5" x14ac:dyDescent="0.35">
      <c r="B4402" s="853">
        <v>313679.24108681659</v>
      </c>
    </row>
    <row r="4403" spans="2:2" ht="15.5" x14ac:dyDescent="0.35">
      <c r="B4403" s="853">
        <v>209841.5314772561</v>
      </c>
    </row>
    <row r="4404" spans="2:2" ht="15.5" x14ac:dyDescent="0.35">
      <c r="B4404" s="853">
        <v>179225.27220227764</v>
      </c>
    </row>
    <row r="4405" spans="2:2" ht="15.5" x14ac:dyDescent="0.35">
      <c r="B4405" s="853">
        <v>301447.21886053984</v>
      </c>
    </row>
    <row r="4406" spans="2:2" ht="15.5" x14ac:dyDescent="0.35">
      <c r="B4406" s="853">
        <v>173063.07402299938</v>
      </c>
    </row>
    <row r="4407" spans="2:2" ht="15.5" x14ac:dyDescent="0.35">
      <c r="B4407" s="853">
        <v>450549.91689397756</v>
      </c>
    </row>
    <row r="4408" spans="2:2" ht="15.5" x14ac:dyDescent="0.35">
      <c r="B4408" s="853">
        <v>77687.869195309628</v>
      </c>
    </row>
    <row r="4409" spans="2:2" ht="15.5" x14ac:dyDescent="0.35">
      <c r="B4409" s="853">
        <v>116256.86367193793</v>
      </c>
    </row>
    <row r="4410" spans="2:2" ht="15.5" x14ac:dyDescent="0.35">
      <c r="B4410" s="853">
        <v>401111.96535765089</v>
      </c>
    </row>
    <row r="4411" spans="2:2" ht="15.5" x14ac:dyDescent="0.35">
      <c r="B4411" s="853">
        <v>260642.91135744966</v>
      </c>
    </row>
    <row r="4412" spans="2:2" ht="15.5" x14ac:dyDescent="0.35">
      <c r="B4412" s="853">
        <v>267353.75977560529</v>
      </c>
    </row>
    <row r="4413" spans="2:2" ht="15.5" x14ac:dyDescent="0.35">
      <c r="B4413" s="853">
        <v>460728.68971088924</v>
      </c>
    </row>
    <row r="4414" spans="2:2" ht="15.5" x14ac:dyDescent="0.35">
      <c r="B4414" s="853">
        <v>424308.13204715285</v>
      </c>
    </row>
    <row r="4415" spans="2:2" ht="15.5" x14ac:dyDescent="0.35">
      <c r="B4415" s="853">
        <v>371069.53684400849</v>
      </c>
    </row>
    <row r="4416" spans="2:2" ht="15.5" x14ac:dyDescent="0.35">
      <c r="B4416" s="853">
        <v>491986.98114512715</v>
      </c>
    </row>
    <row r="4417" spans="2:2" ht="15.5" x14ac:dyDescent="0.35">
      <c r="B4417" s="853">
        <v>142209.75328000082</v>
      </c>
    </row>
    <row r="4418" spans="2:2" ht="15.5" x14ac:dyDescent="0.35">
      <c r="B4418" s="853">
        <v>240679.1117374266</v>
      </c>
    </row>
    <row r="4419" spans="2:2" ht="15.5" x14ac:dyDescent="0.35">
      <c r="B4419" s="853">
        <v>377653.92851430806</v>
      </c>
    </row>
    <row r="4420" spans="2:2" ht="15.5" x14ac:dyDescent="0.35">
      <c r="B4420" s="853">
        <v>269897.93086348887</v>
      </c>
    </row>
    <row r="4421" spans="2:2" ht="15.5" x14ac:dyDescent="0.35">
      <c r="B4421" s="853">
        <v>34651.654681571192</v>
      </c>
    </row>
    <row r="4422" spans="2:2" ht="15.5" x14ac:dyDescent="0.35">
      <c r="B4422" s="853">
        <v>355072.55278929399</v>
      </c>
    </row>
    <row r="4423" spans="2:2" ht="15.5" x14ac:dyDescent="0.35">
      <c r="B4423" s="853">
        <v>129869.14258592069</v>
      </c>
    </row>
    <row r="4424" spans="2:2" ht="15.5" x14ac:dyDescent="0.35">
      <c r="B4424" s="853">
        <v>340424.35081126884</v>
      </c>
    </row>
    <row r="4425" spans="2:2" ht="15.5" x14ac:dyDescent="0.35">
      <c r="B4425" s="853">
        <v>103934.22399028245</v>
      </c>
    </row>
    <row r="4426" spans="2:2" ht="15.5" x14ac:dyDescent="0.35">
      <c r="B4426" s="853">
        <v>58235.794663895504</v>
      </c>
    </row>
    <row r="4427" spans="2:2" ht="15.5" x14ac:dyDescent="0.35">
      <c r="B4427" s="853">
        <v>186322.29855031642</v>
      </c>
    </row>
    <row r="4428" spans="2:2" ht="15.5" x14ac:dyDescent="0.35">
      <c r="B4428" s="853">
        <v>188564.04465318486</v>
      </c>
    </row>
    <row r="4429" spans="2:2" ht="15.5" x14ac:dyDescent="0.35">
      <c r="B4429" s="853">
        <v>254881.98911089505</v>
      </c>
    </row>
    <row r="4430" spans="2:2" ht="15.5" x14ac:dyDescent="0.35">
      <c r="B4430" s="853">
        <v>205810.14001987112</v>
      </c>
    </row>
    <row r="4431" spans="2:2" ht="15.5" x14ac:dyDescent="0.35">
      <c r="B4431" s="853">
        <v>247054.71289455047</v>
      </c>
    </row>
    <row r="4432" spans="2:2" ht="15.5" x14ac:dyDescent="0.35">
      <c r="B4432" s="853">
        <v>360626.10879222432</v>
      </c>
    </row>
    <row r="4433" spans="2:2" ht="15.5" x14ac:dyDescent="0.35">
      <c r="B4433" s="853">
        <v>502162.83891588973</v>
      </c>
    </row>
    <row r="4434" spans="2:2" ht="15.5" x14ac:dyDescent="0.35">
      <c r="B4434" s="853">
        <v>124317.08194041099</v>
      </c>
    </row>
    <row r="4435" spans="2:2" ht="15.5" x14ac:dyDescent="0.35">
      <c r="B4435" s="853">
        <v>143062.44186350945</v>
      </c>
    </row>
    <row r="4436" spans="2:2" ht="15.5" x14ac:dyDescent="0.35">
      <c r="B4436" s="853">
        <v>218894.45369240703</v>
      </c>
    </row>
    <row r="4437" spans="2:2" ht="15.5" x14ac:dyDescent="0.35">
      <c r="B4437" s="853">
        <v>336632.99879262032</v>
      </c>
    </row>
    <row r="4438" spans="2:2" ht="15.5" x14ac:dyDescent="0.35">
      <c r="B4438" s="853">
        <v>542075.01384267153</v>
      </c>
    </row>
    <row r="4439" spans="2:2" ht="15.5" x14ac:dyDescent="0.35">
      <c r="B4439" s="853">
        <v>510026.65311551513</v>
      </c>
    </row>
    <row r="4440" spans="2:2" ht="15.5" x14ac:dyDescent="0.35">
      <c r="B4440" s="853">
        <v>360430.24751245615</v>
      </c>
    </row>
    <row r="4441" spans="2:2" ht="15.5" x14ac:dyDescent="0.35">
      <c r="B4441" s="853">
        <v>345854.12736192561</v>
      </c>
    </row>
    <row r="4442" spans="2:2" ht="15.5" x14ac:dyDescent="0.35">
      <c r="B4442" s="853">
        <v>189259.59173305967</v>
      </c>
    </row>
    <row r="4443" spans="2:2" ht="15.5" x14ac:dyDescent="0.35">
      <c r="B4443" s="853">
        <v>209424.13601078402</v>
      </c>
    </row>
    <row r="4444" spans="2:2" ht="15.5" x14ac:dyDescent="0.35">
      <c r="B4444" s="853">
        <v>-30224.75021453758</v>
      </c>
    </row>
    <row r="4445" spans="2:2" ht="15.5" x14ac:dyDescent="0.35">
      <c r="B4445" s="853">
        <v>220392.4754738723</v>
      </c>
    </row>
    <row r="4446" spans="2:2" ht="15.5" x14ac:dyDescent="0.35">
      <c r="B4446" s="853">
        <v>-10277.986656137571</v>
      </c>
    </row>
    <row r="4447" spans="2:2" ht="15.5" x14ac:dyDescent="0.35">
      <c r="B4447" s="853">
        <v>127998.44675121276</v>
      </c>
    </row>
    <row r="4448" spans="2:2" ht="15.5" x14ac:dyDescent="0.35">
      <c r="B4448" s="853">
        <v>470261.93092547875</v>
      </c>
    </row>
    <row r="4449" spans="2:2" ht="15.5" x14ac:dyDescent="0.35">
      <c r="B4449" s="853">
        <v>383357.796241762</v>
      </c>
    </row>
    <row r="4450" spans="2:2" ht="15.5" x14ac:dyDescent="0.35">
      <c r="B4450" s="853">
        <v>368673.45244811673</v>
      </c>
    </row>
    <row r="4451" spans="2:2" ht="15.5" x14ac:dyDescent="0.35">
      <c r="B4451" s="853">
        <v>213660.60567434362</v>
      </c>
    </row>
    <row r="4452" spans="2:2" ht="15.5" x14ac:dyDescent="0.35">
      <c r="B4452" s="853">
        <v>444043.99850028934</v>
      </c>
    </row>
    <row r="4453" spans="2:2" ht="15.5" x14ac:dyDescent="0.35">
      <c r="B4453" s="853">
        <v>488829.41645519389</v>
      </c>
    </row>
    <row r="4454" spans="2:2" ht="15.5" x14ac:dyDescent="0.35">
      <c r="B4454" s="853">
        <v>62511.802021732285</v>
      </c>
    </row>
    <row r="4455" spans="2:2" ht="15.5" x14ac:dyDescent="0.35">
      <c r="B4455" s="853">
        <v>374359.32510654378</v>
      </c>
    </row>
    <row r="4456" spans="2:2" ht="15.5" x14ac:dyDescent="0.35">
      <c r="B4456" s="853">
        <v>73963.816671539971</v>
      </c>
    </row>
    <row r="4457" spans="2:2" ht="15.5" x14ac:dyDescent="0.35">
      <c r="B4457" s="853">
        <v>601266.96582331404</v>
      </c>
    </row>
    <row r="4458" spans="2:2" ht="15.5" x14ac:dyDescent="0.35">
      <c r="B4458" s="853">
        <v>191320.42785552141</v>
      </c>
    </row>
    <row r="4459" spans="2:2" ht="15.5" x14ac:dyDescent="0.35">
      <c r="B4459" s="853">
        <v>118909.14401443704</v>
      </c>
    </row>
    <row r="4460" spans="2:2" ht="15.5" x14ac:dyDescent="0.35">
      <c r="B4460" s="853">
        <v>67367.393341647301</v>
      </c>
    </row>
    <row r="4461" spans="2:2" ht="15.5" x14ac:dyDescent="0.35">
      <c r="B4461" s="853">
        <v>206841.81365327962</v>
      </c>
    </row>
    <row r="4462" spans="2:2" ht="15.5" x14ac:dyDescent="0.35">
      <c r="B4462" s="853">
        <v>333031.44164898887</v>
      </c>
    </row>
    <row r="4463" spans="2:2" ht="15.5" x14ac:dyDescent="0.35">
      <c r="B4463" s="853">
        <v>514944.46901525365</v>
      </c>
    </row>
    <row r="4464" spans="2:2" ht="15.5" x14ac:dyDescent="0.35">
      <c r="B4464" s="853">
        <v>335595.1688469504</v>
      </c>
    </row>
    <row r="4465" spans="2:2" ht="15.5" x14ac:dyDescent="0.35">
      <c r="B4465" s="853">
        <v>379233.79240581224</v>
      </c>
    </row>
    <row r="4466" spans="2:2" ht="15.5" x14ac:dyDescent="0.35">
      <c r="B4466" s="853">
        <v>297678.47021340363</v>
      </c>
    </row>
    <row r="4467" spans="2:2" ht="15.5" x14ac:dyDescent="0.35">
      <c r="B4467" s="853">
        <v>204535.63856585926</v>
      </c>
    </row>
    <row r="4468" spans="2:2" ht="15.5" x14ac:dyDescent="0.35">
      <c r="B4468" s="853">
        <v>295506.30412678543</v>
      </c>
    </row>
    <row r="4469" spans="2:2" ht="15.5" x14ac:dyDescent="0.35">
      <c r="B4469" s="853">
        <v>485125.72227843443</v>
      </c>
    </row>
    <row r="4470" spans="2:2" ht="15.5" x14ac:dyDescent="0.35">
      <c r="B4470" s="853">
        <v>432080.05256784381</v>
      </c>
    </row>
    <row r="4471" spans="2:2" ht="15.5" x14ac:dyDescent="0.35">
      <c r="B4471" s="853">
        <v>383587.54927731218</v>
      </c>
    </row>
    <row r="4472" spans="2:2" ht="15.5" x14ac:dyDescent="0.35">
      <c r="B4472" s="853">
        <v>240808.94233959101</v>
      </c>
    </row>
    <row r="4473" spans="2:2" ht="15.5" x14ac:dyDescent="0.35">
      <c r="B4473" s="853">
        <v>454059.22312772658</v>
      </c>
    </row>
    <row r="4474" spans="2:2" ht="15.5" x14ac:dyDescent="0.35">
      <c r="B4474" s="853">
        <v>345715.05622647644</v>
      </c>
    </row>
    <row r="4475" spans="2:2" ht="15.5" x14ac:dyDescent="0.35">
      <c r="B4475" s="853">
        <v>403532.2103665258</v>
      </c>
    </row>
    <row r="4476" spans="2:2" ht="15.5" x14ac:dyDescent="0.35">
      <c r="B4476" s="853">
        <v>238469.53511967478</v>
      </c>
    </row>
    <row r="4477" spans="2:2" ht="15.5" x14ac:dyDescent="0.35">
      <c r="B4477" s="853">
        <v>335566.3128857417</v>
      </c>
    </row>
    <row r="4478" spans="2:2" ht="15.5" x14ac:dyDescent="0.35">
      <c r="B4478" s="853">
        <v>300279.2105304068</v>
      </c>
    </row>
    <row r="4479" spans="2:2" ht="15.5" x14ac:dyDescent="0.35">
      <c r="B4479" s="853">
        <v>410151.21910172334</v>
      </c>
    </row>
    <row r="4480" spans="2:2" ht="15.5" x14ac:dyDescent="0.35">
      <c r="B4480" s="853">
        <v>507025.6394058927</v>
      </c>
    </row>
    <row r="4481" spans="2:2" ht="15.5" x14ac:dyDescent="0.35">
      <c r="B4481" s="853">
        <v>191696.98901893682</v>
      </c>
    </row>
    <row r="4482" spans="2:2" ht="15.5" x14ac:dyDescent="0.35">
      <c r="B4482" s="853">
        <v>481928.8654039363</v>
      </c>
    </row>
    <row r="4483" spans="2:2" ht="15.5" x14ac:dyDescent="0.35">
      <c r="B4483" s="853">
        <v>338569.42405953381</v>
      </c>
    </row>
    <row r="4484" spans="2:2" ht="15.5" x14ac:dyDescent="0.35">
      <c r="B4484" s="853">
        <v>304734.18954465282</v>
      </c>
    </row>
    <row r="4485" spans="2:2" ht="15.5" x14ac:dyDescent="0.35">
      <c r="B4485" s="853">
        <v>388206.35522358969</v>
      </c>
    </row>
    <row r="4486" spans="2:2" ht="15.5" x14ac:dyDescent="0.35">
      <c r="B4486" s="853">
        <v>26881.415329128609</v>
      </c>
    </row>
    <row r="4487" spans="2:2" ht="15.5" x14ac:dyDescent="0.35">
      <c r="B4487" s="853">
        <v>563946.4086017434</v>
      </c>
    </row>
    <row r="4488" spans="2:2" ht="15.5" x14ac:dyDescent="0.35">
      <c r="B4488" s="853">
        <v>232462.71557344252</v>
      </c>
    </row>
    <row r="4489" spans="2:2" ht="15.5" x14ac:dyDescent="0.35">
      <c r="B4489" s="853">
        <v>629229.72372697142</v>
      </c>
    </row>
    <row r="4490" spans="2:2" ht="15.5" x14ac:dyDescent="0.35">
      <c r="B4490" s="853">
        <v>468380.6716149883</v>
      </c>
    </row>
    <row r="4491" spans="2:2" ht="15.5" x14ac:dyDescent="0.35">
      <c r="B4491" s="853">
        <v>86138.048227059859</v>
      </c>
    </row>
    <row r="4492" spans="2:2" ht="15.5" x14ac:dyDescent="0.35">
      <c r="B4492" s="853">
        <v>375271.81955071352</v>
      </c>
    </row>
    <row r="4493" spans="2:2" ht="15.5" x14ac:dyDescent="0.35">
      <c r="B4493" s="853">
        <v>273119.25136852195</v>
      </c>
    </row>
    <row r="4494" spans="2:2" ht="15.5" x14ac:dyDescent="0.35">
      <c r="B4494" s="853">
        <v>552943.93730962044</v>
      </c>
    </row>
    <row r="4495" spans="2:2" ht="15.5" x14ac:dyDescent="0.35">
      <c r="B4495" s="853">
        <v>87292.184529492544</v>
      </c>
    </row>
    <row r="4496" spans="2:2" ht="15.5" x14ac:dyDescent="0.35">
      <c r="B4496" s="853">
        <v>578180.75030815776</v>
      </c>
    </row>
    <row r="4497" spans="2:2" ht="15.5" x14ac:dyDescent="0.35">
      <c r="B4497" s="853">
        <v>341611.70806589565</v>
      </c>
    </row>
    <row r="4498" spans="2:2" ht="15.5" x14ac:dyDescent="0.35">
      <c r="B4498" s="853">
        <v>128243.66548005128</v>
      </c>
    </row>
    <row r="4499" spans="2:2" ht="15.5" x14ac:dyDescent="0.35">
      <c r="B4499" s="853">
        <v>250802.79355790085</v>
      </c>
    </row>
    <row r="4500" spans="2:2" ht="15.5" x14ac:dyDescent="0.35">
      <c r="B4500" s="853">
        <v>233012.90889217774</v>
      </c>
    </row>
    <row r="4501" spans="2:2" ht="15.5" x14ac:dyDescent="0.35">
      <c r="B4501" s="853">
        <v>124913.64809586137</v>
      </c>
    </row>
    <row r="4502" spans="2:2" ht="15.5" x14ac:dyDescent="0.35">
      <c r="B4502" s="853">
        <v>357345.76974287955</v>
      </c>
    </row>
    <row r="4503" spans="2:2" ht="15.5" x14ac:dyDescent="0.35">
      <c r="B4503" s="853">
        <v>271546.2385564571</v>
      </c>
    </row>
    <row r="4504" spans="2:2" ht="15.5" x14ac:dyDescent="0.35">
      <c r="B4504" s="853">
        <v>371564.59934921295</v>
      </c>
    </row>
    <row r="4505" spans="2:2" ht="15.5" x14ac:dyDescent="0.35">
      <c r="B4505" s="853">
        <v>424093.47366750723</v>
      </c>
    </row>
    <row r="4506" spans="2:2" ht="15.5" x14ac:dyDescent="0.35">
      <c r="B4506" s="853">
        <v>27754.062803826309</v>
      </c>
    </row>
    <row r="4507" spans="2:2" ht="15.5" x14ac:dyDescent="0.35">
      <c r="B4507" s="853">
        <v>140598.36699885086</v>
      </c>
    </row>
    <row r="4508" spans="2:2" ht="15.5" x14ac:dyDescent="0.35">
      <c r="B4508" s="853">
        <v>262689.18950348801</v>
      </c>
    </row>
    <row r="4509" spans="2:2" ht="15.5" x14ac:dyDescent="0.35">
      <c r="B4509" s="853">
        <v>164013.48053710852</v>
      </c>
    </row>
    <row r="4510" spans="2:2" ht="15.5" x14ac:dyDescent="0.35">
      <c r="B4510" s="853">
        <v>283810.68186788284</v>
      </c>
    </row>
    <row r="4511" spans="2:2" ht="15.5" x14ac:dyDescent="0.35">
      <c r="B4511" s="853">
        <v>172247.25604190124</v>
      </c>
    </row>
    <row r="4512" spans="2:2" ht="15.5" x14ac:dyDescent="0.35">
      <c r="B4512" s="853">
        <v>90023.799205580101</v>
      </c>
    </row>
    <row r="4513" spans="2:2" ht="15.5" x14ac:dyDescent="0.35">
      <c r="B4513" s="853">
        <v>482930.6352291056</v>
      </c>
    </row>
    <row r="4514" spans="2:2" ht="15.5" x14ac:dyDescent="0.35">
      <c r="B4514" s="853">
        <v>413095.7857674656</v>
      </c>
    </row>
    <row r="4515" spans="2:2" ht="15.5" x14ac:dyDescent="0.35">
      <c r="B4515" s="853">
        <v>267298.42928653321</v>
      </c>
    </row>
    <row r="4516" spans="2:2" ht="15.5" x14ac:dyDescent="0.35">
      <c r="B4516" s="853">
        <v>192352.10384767593</v>
      </c>
    </row>
    <row r="4517" spans="2:2" ht="15.5" x14ac:dyDescent="0.35">
      <c r="B4517" s="853">
        <v>313435.7458413486</v>
      </c>
    </row>
    <row r="4518" spans="2:2" ht="15.5" x14ac:dyDescent="0.35">
      <c r="B4518" s="853">
        <v>501375.96021495055</v>
      </c>
    </row>
    <row r="4519" spans="2:2" ht="15.5" x14ac:dyDescent="0.35">
      <c r="B4519" s="853">
        <v>296013.36708151968</v>
      </c>
    </row>
    <row r="4520" spans="2:2" ht="15.5" x14ac:dyDescent="0.35">
      <c r="B4520" s="853">
        <v>117998.51009649987</v>
      </c>
    </row>
    <row r="4521" spans="2:2" ht="15.5" x14ac:dyDescent="0.35">
      <c r="B4521" s="853">
        <v>45318.811956761085</v>
      </c>
    </row>
    <row r="4522" spans="2:2" ht="15.5" x14ac:dyDescent="0.35">
      <c r="B4522" s="853">
        <v>192160.79795156996</v>
      </c>
    </row>
    <row r="4523" spans="2:2" ht="15.5" x14ac:dyDescent="0.35">
      <c r="B4523" s="853">
        <v>535137.05877109477</v>
      </c>
    </row>
    <row r="4524" spans="2:2" ht="15.5" x14ac:dyDescent="0.35">
      <c r="B4524" s="853">
        <v>452084.43926837668</v>
      </c>
    </row>
    <row r="4525" spans="2:2" ht="15.5" x14ac:dyDescent="0.35">
      <c r="B4525" s="853">
        <v>280104.57658837008</v>
      </c>
    </row>
    <row r="4526" spans="2:2" ht="15.5" x14ac:dyDescent="0.35">
      <c r="B4526" s="853">
        <v>3017.6269915326179</v>
      </c>
    </row>
    <row r="4527" spans="2:2" ht="15.5" x14ac:dyDescent="0.35">
      <c r="B4527" s="853">
        <v>142880.59069550008</v>
      </c>
    </row>
    <row r="4528" spans="2:2" ht="15.5" x14ac:dyDescent="0.35">
      <c r="B4528" s="853">
        <v>409040.32643723924</v>
      </c>
    </row>
    <row r="4529" spans="2:2" ht="15.5" x14ac:dyDescent="0.35">
      <c r="B4529" s="853">
        <v>394657.34557558864</v>
      </c>
    </row>
    <row r="4530" spans="2:2" ht="15.5" x14ac:dyDescent="0.35">
      <c r="B4530" s="853">
        <v>159717.47170978508</v>
      </c>
    </row>
    <row r="4531" spans="2:2" ht="15.5" x14ac:dyDescent="0.35">
      <c r="B4531" s="853">
        <v>402647.00931651698</v>
      </c>
    </row>
    <row r="4532" spans="2:2" ht="15.5" x14ac:dyDescent="0.35">
      <c r="B4532" s="853">
        <v>315539.93723346153</v>
      </c>
    </row>
    <row r="4533" spans="2:2" ht="15.5" x14ac:dyDescent="0.35">
      <c r="B4533" s="853">
        <v>25074.960992354521</v>
      </c>
    </row>
    <row r="4534" spans="2:2" ht="15.5" x14ac:dyDescent="0.35">
      <c r="B4534" s="853">
        <v>150641.32335092963</v>
      </c>
    </row>
    <row r="4535" spans="2:2" ht="15.5" x14ac:dyDescent="0.35">
      <c r="B4535" s="853">
        <v>534066.86706668127</v>
      </c>
    </row>
    <row r="4536" spans="2:2" ht="15.5" x14ac:dyDescent="0.35">
      <c r="B4536" s="853">
        <v>494355.35817990318</v>
      </c>
    </row>
    <row r="4537" spans="2:2" ht="15.5" x14ac:dyDescent="0.35">
      <c r="B4537" s="853">
        <v>424444.73904894514</v>
      </c>
    </row>
    <row r="4538" spans="2:2" ht="15.5" x14ac:dyDescent="0.35">
      <c r="B4538" s="853">
        <v>235306.21097113061</v>
      </c>
    </row>
    <row r="4539" spans="2:2" ht="15.5" x14ac:dyDescent="0.35">
      <c r="B4539" s="853">
        <v>406554.44983646501</v>
      </c>
    </row>
    <row r="4540" spans="2:2" ht="15.5" x14ac:dyDescent="0.35">
      <c r="B4540" s="853">
        <v>209562.26286328997</v>
      </c>
    </row>
    <row r="4541" spans="2:2" ht="15.5" x14ac:dyDescent="0.35">
      <c r="B4541" s="853">
        <v>58240.703148718661</v>
      </c>
    </row>
    <row r="4542" spans="2:2" ht="15.5" x14ac:dyDescent="0.35">
      <c r="B4542" s="853">
        <v>203599.95298573346</v>
      </c>
    </row>
    <row r="4543" spans="2:2" ht="15.5" x14ac:dyDescent="0.35">
      <c r="B4543" s="853">
        <v>429423.89243044221</v>
      </c>
    </row>
    <row r="4544" spans="2:2" ht="15.5" x14ac:dyDescent="0.35">
      <c r="B4544" s="853">
        <v>163511.33839014507</v>
      </c>
    </row>
    <row r="4545" spans="2:2" ht="15.5" x14ac:dyDescent="0.35">
      <c r="B4545" s="853">
        <v>270639.37850783946</v>
      </c>
    </row>
    <row r="4546" spans="2:2" ht="15.5" x14ac:dyDescent="0.35">
      <c r="B4546" s="853">
        <v>-50692.100956854098</v>
      </c>
    </row>
    <row r="4547" spans="2:2" ht="15.5" x14ac:dyDescent="0.35">
      <c r="B4547" s="853">
        <v>417110.39426791883</v>
      </c>
    </row>
    <row r="4548" spans="2:2" ht="15.5" x14ac:dyDescent="0.35">
      <c r="B4548" s="853">
        <v>455221.38472290884</v>
      </c>
    </row>
    <row r="4549" spans="2:2" ht="15.5" x14ac:dyDescent="0.35">
      <c r="B4549" s="853">
        <v>166021.46305777691</v>
      </c>
    </row>
    <row r="4550" spans="2:2" ht="15.5" x14ac:dyDescent="0.35">
      <c r="B4550" s="853">
        <v>234456.53334083478</v>
      </c>
    </row>
    <row r="4551" spans="2:2" ht="15.5" x14ac:dyDescent="0.35">
      <c r="B4551" s="853">
        <v>447378.05041207594</v>
      </c>
    </row>
    <row r="4552" spans="2:2" ht="15.5" x14ac:dyDescent="0.35">
      <c r="B4552" s="853">
        <v>237688.89368718601</v>
      </c>
    </row>
    <row r="4553" spans="2:2" ht="15.5" x14ac:dyDescent="0.35">
      <c r="B4553" s="853">
        <v>9133.22023284426</v>
      </c>
    </row>
    <row r="4554" spans="2:2" ht="15.5" x14ac:dyDescent="0.35">
      <c r="B4554" s="853">
        <v>284389.94088609592</v>
      </c>
    </row>
    <row r="4555" spans="2:2" ht="15.5" x14ac:dyDescent="0.35">
      <c r="B4555" s="853">
        <v>98117.490124049698</v>
      </c>
    </row>
    <row r="4556" spans="2:2" ht="15.5" x14ac:dyDescent="0.35">
      <c r="B4556" s="853">
        <v>254687.08812433324</v>
      </c>
    </row>
    <row r="4557" spans="2:2" ht="15.5" x14ac:dyDescent="0.35">
      <c r="B4557" s="853">
        <v>22146.228471777071</v>
      </c>
    </row>
    <row r="4558" spans="2:2" ht="15.5" x14ac:dyDescent="0.35">
      <c r="B4558" s="853">
        <v>358116.57534933311</v>
      </c>
    </row>
    <row r="4559" spans="2:2" ht="15.5" x14ac:dyDescent="0.35">
      <c r="B4559" s="853">
        <v>348381.63444737054</v>
      </c>
    </row>
    <row r="4560" spans="2:2" ht="15.5" x14ac:dyDescent="0.35">
      <c r="B4560" s="853">
        <v>456343.77074451681</v>
      </c>
    </row>
    <row r="4561" spans="2:2" ht="15.5" x14ac:dyDescent="0.35">
      <c r="B4561" s="853">
        <v>198537.71487180577</v>
      </c>
    </row>
    <row r="4562" spans="2:2" ht="15.5" x14ac:dyDescent="0.35">
      <c r="B4562" s="853">
        <v>197976.01136248402</v>
      </c>
    </row>
    <row r="4563" spans="2:2" ht="15.5" x14ac:dyDescent="0.35">
      <c r="B4563" s="853">
        <v>147406.9350780393</v>
      </c>
    </row>
    <row r="4564" spans="2:2" ht="15.5" x14ac:dyDescent="0.35">
      <c r="B4564" s="853">
        <v>340444.12529460754</v>
      </c>
    </row>
    <row r="4565" spans="2:2" ht="15.5" x14ac:dyDescent="0.35">
      <c r="B4565" s="853">
        <v>109098.96301908942</v>
      </c>
    </row>
    <row r="4566" spans="2:2" ht="15.5" x14ac:dyDescent="0.35">
      <c r="B4566" s="853">
        <v>577462.27464790561</v>
      </c>
    </row>
    <row r="4567" spans="2:2" ht="15.5" x14ac:dyDescent="0.35">
      <c r="B4567" s="853">
        <v>613676.25168778037</v>
      </c>
    </row>
    <row r="4568" spans="2:2" ht="15.5" x14ac:dyDescent="0.35">
      <c r="B4568" s="853">
        <v>305727.24697841919</v>
      </c>
    </row>
    <row r="4569" spans="2:2" ht="15.5" x14ac:dyDescent="0.35">
      <c r="B4569" s="853">
        <v>388124.25176302227</v>
      </c>
    </row>
    <row r="4570" spans="2:2" ht="15.5" x14ac:dyDescent="0.35">
      <c r="B4570" s="853">
        <v>356212.83117716917</v>
      </c>
    </row>
    <row r="4571" spans="2:2" ht="15.5" x14ac:dyDescent="0.35">
      <c r="B4571" s="853">
        <v>310749.84332559264</v>
      </c>
    </row>
    <row r="4572" spans="2:2" ht="15.5" x14ac:dyDescent="0.35">
      <c r="B4572" s="853">
        <v>257857.8597558554</v>
      </c>
    </row>
    <row r="4573" spans="2:2" ht="15.5" x14ac:dyDescent="0.35">
      <c r="B4573" s="853">
        <v>274137.35826032463</v>
      </c>
    </row>
    <row r="4574" spans="2:2" ht="15.5" x14ac:dyDescent="0.35">
      <c r="B4574" s="853">
        <v>200209.1035969104</v>
      </c>
    </row>
    <row r="4575" spans="2:2" ht="15.5" x14ac:dyDescent="0.35">
      <c r="B4575" s="853">
        <v>464143.6446818249</v>
      </c>
    </row>
    <row r="4576" spans="2:2" ht="15.5" x14ac:dyDescent="0.35">
      <c r="B4576" s="853">
        <v>370811.30530466314</v>
      </c>
    </row>
    <row r="4577" spans="2:2" ht="15.5" x14ac:dyDescent="0.35">
      <c r="B4577" s="853">
        <v>421833.46790306614</v>
      </c>
    </row>
    <row r="4578" spans="2:2" ht="15.5" x14ac:dyDescent="0.35">
      <c r="B4578" s="853">
        <v>258534.28065845181</v>
      </c>
    </row>
    <row r="4579" spans="2:2" ht="15.5" x14ac:dyDescent="0.35">
      <c r="B4579" s="853">
        <v>357753.70233072271</v>
      </c>
    </row>
    <row r="4580" spans="2:2" ht="15.5" x14ac:dyDescent="0.35">
      <c r="B4580" s="853">
        <v>244076.4425683232</v>
      </c>
    </row>
    <row r="4581" spans="2:2" ht="15.5" x14ac:dyDescent="0.35">
      <c r="B4581" s="853">
        <v>511991.23614177183</v>
      </c>
    </row>
    <row r="4582" spans="2:2" ht="15.5" x14ac:dyDescent="0.35">
      <c r="B4582" s="853">
        <v>242990.53048810054</v>
      </c>
    </row>
    <row r="4583" spans="2:2" ht="15.5" x14ac:dyDescent="0.35">
      <c r="B4583" s="853">
        <v>384699.59850219521</v>
      </c>
    </row>
    <row r="4584" spans="2:2" ht="15.5" x14ac:dyDescent="0.35">
      <c r="B4584" s="853">
        <v>339475.07675395848</v>
      </c>
    </row>
    <row r="4585" spans="2:2" ht="15.5" x14ac:dyDescent="0.35">
      <c r="B4585" s="853">
        <v>115545.38939694119</v>
      </c>
    </row>
    <row r="4586" spans="2:2" ht="15.5" x14ac:dyDescent="0.35">
      <c r="B4586" s="853">
        <v>395977.05257739616</v>
      </c>
    </row>
    <row r="4587" spans="2:2" ht="15.5" x14ac:dyDescent="0.35">
      <c r="B4587" s="853">
        <v>501376.28951752966</v>
      </c>
    </row>
    <row r="4588" spans="2:2" ht="15.5" x14ac:dyDescent="0.35">
      <c r="B4588" s="853">
        <v>392568.9831441089</v>
      </c>
    </row>
    <row r="4589" spans="2:2" ht="15.5" x14ac:dyDescent="0.35">
      <c r="B4589" s="853">
        <v>91260.601175878124</v>
      </c>
    </row>
    <row r="4590" spans="2:2" ht="15.5" x14ac:dyDescent="0.35">
      <c r="B4590" s="853">
        <v>302712.2696871339</v>
      </c>
    </row>
    <row r="4591" spans="2:2" ht="15.5" x14ac:dyDescent="0.35">
      <c r="B4591" s="853">
        <v>347422.74618609488</v>
      </c>
    </row>
    <row r="4592" spans="2:2" ht="15.5" x14ac:dyDescent="0.35">
      <c r="B4592" s="853">
        <v>227234.30318516926</v>
      </c>
    </row>
    <row r="4593" spans="2:2" ht="15.5" x14ac:dyDescent="0.35">
      <c r="B4593" s="853">
        <v>188066.60876992624</v>
      </c>
    </row>
    <row r="4594" spans="2:2" ht="15.5" x14ac:dyDescent="0.35">
      <c r="B4594" s="853">
        <v>365779.07832693215</v>
      </c>
    </row>
    <row r="4595" spans="2:2" ht="15.5" x14ac:dyDescent="0.35">
      <c r="B4595" s="853">
        <v>259239.23958423041</v>
      </c>
    </row>
    <row r="4596" spans="2:2" ht="15.5" x14ac:dyDescent="0.35">
      <c r="B4596" s="853">
        <v>319576.35341568833</v>
      </c>
    </row>
    <row r="4597" spans="2:2" ht="15.5" x14ac:dyDescent="0.35">
      <c r="B4597" s="853">
        <v>433059.15242131049</v>
      </c>
    </row>
    <row r="4598" spans="2:2" ht="15.5" x14ac:dyDescent="0.35">
      <c r="B4598" s="853">
        <v>217068.60903553269</v>
      </c>
    </row>
    <row r="4599" spans="2:2" ht="15.5" x14ac:dyDescent="0.35">
      <c r="B4599" s="853">
        <v>313859.9257304261</v>
      </c>
    </row>
    <row r="4600" spans="2:2" ht="15.5" x14ac:dyDescent="0.35">
      <c r="B4600" s="853">
        <v>234294.39977556319</v>
      </c>
    </row>
    <row r="4601" spans="2:2" ht="15.5" x14ac:dyDescent="0.35">
      <c r="B4601" s="853">
        <v>374432.31905295904</v>
      </c>
    </row>
    <row r="4602" spans="2:2" ht="15.5" x14ac:dyDescent="0.35">
      <c r="B4602" s="853">
        <v>300132.63020221493</v>
      </c>
    </row>
    <row r="4603" spans="2:2" ht="15.5" x14ac:dyDescent="0.35">
      <c r="B4603" s="853">
        <v>198415.57467611274</v>
      </c>
    </row>
    <row r="4604" spans="2:2" ht="15.5" x14ac:dyDescent="0.35">
      <c r="B4604" s="853">
        <v>569277.96189269621</v>
      </c>
    </row>
    <row r="4605" spans="2:2" ht="15.5" x14ac:dyDescent="0.35">
      <c r="B4605" s="853">
        <v>317357.5000664175</v>
      </c>
    </row>
    <row r="4606" spans="2:2" ht="15.5" x14ac:dyDescent="0.35">
      <c r="B4606" s="853">
        <v>524670.45475703164</v>
      </c>
    </row>
    <row r="4607" spans="2:2" ht="15.5" x14ac:dyDescent="0.35">
      <c r="B4607" s="853">
        <v>173723.22933577557</v>
      </c>
    </row>
    <row r="4608" spans="2:2" ht="15.5" x14ac:dyDescent="0.35">
      <c r="B4608" s="853">
        <v>340493.76172377157</v>
      </c>
    </row>
    <row r="4609" spans="2:2" ht="15.5" x14ac:dyDescent="0.35">
      <c r="B4609" s="853">
        <v>459018.32981653756</v>
      </c>
    </row>
    <row r="4610" spans="2:2" ht="15.5" x14ac:dyDescent="0.35">
      <c r="B4610" s="853">
        <v>207985.70006180331</v>
      </c>
    </row>
    <row r="4611" spans="2:2" ht="15.5" x14ac:dyDescent="0.35">
      <c r="B4611" s="853">
        <v>182614.77993379682</v>
      </c>
    </row>
    <row r="4612" spans="2:2" ht="15.5" x14ac:dyDescent="0.35">
      <c r="B4612" s="853">
        <v>363137.95959916635</v>
      </c>
    </row>
    <row r="4613" spans="2:2" ht="15.5" x14ac:dyDescent="0.35">
      <c r="B4613" s="853">
        <v>102049.95322184247</v>
      </c>
    </row>
    <row r="4614" spans="2:2" ht="15.5" x14ac:dyDescent="0.35">
      <c r="B4614" s="853">
        <v>351434.52902300976</v>
      </c>
    </row>
    <row r="4615" spans="2:2" ht="15.5" x14ac:dyDescent="0.35">
      <c r="B4615" s="853">
        <v>298486.61253758328</v>
      </c>
    </row>
    <row r="4616" spans="2:2" ht="15.5" x14ac:dyDescent="0.35">
      <c r="B4616" s="853">
        <v>251620.26340359688</v>
      </c>
    </row>
    <row r="4617" spans="2:2" ht="15.5" x14ac:dyDescent="0.35">
      <c r="B4617" s="853">
        <v>311404.72560047684</v>
      </c>
    </row>
    <row r="4618" spans="2:2" ht="15.5" x14ac:dyDescent="0.35">
      <c r="B4618" s="853">
        <v>121501.98897889072</v>
      </c>
    </row>
    <row r="4619" spans="2:2" ht="15.5" x14ac:dyDescent="0.35">
      <c r="B4619" s="853">
        <v>661091.93852239079</v>
      </c>
    </row>
    <row r="4620" spans="2:2" ht="15.5" x14ac:dyDescent="0.35">
      <c r="B4620" s="853">
        <v>455104.78303548752</v>
      </c>
    </row>
    <row r="4621" spans="2:2" ht="15.5" x14ac:dyDescent="0.35">
      <c r="B4621" s="853">
        <v>168281.53332008442</v>
      </c>
    </row>
    <row r="4622" spans="2:2" ht="15.5" x14ac:dyDescent="0.35">
      <c r="B4622" s="853">
        <v>331619.39975067921</v>
      </c>
    </row>
    <row r="4623" spans="2:2" ht="15.5" x14ac:dyDescent="0.35">
      <c r="B4623" s="853">
        <v>577026.07486933947</v>
      </c>
    </row>
    <row r="4624" spans="2:2" ht="15.5" x14ac:dyDescent="0.35">
      <c r="B4624" s="853">
        <v>252156.66088144944</v>
      </c>
    </row>
    <row r="4625" spans="2:2" ht="15.5" x14ac:dyDescent="0.35">
      <c r="B4625" s="853">
        <v>1884.1434742355955</v>
      </c>
    </row>
    <row r="4626" spans="2:2" ht="15.5" x14ac:dyDescent="0.35">
      <c r="B4626" s="853">
        <v>464219.11116353452</v>
      </c>
    </row>
    <row r="4627" spans="2:2" ht="15.5" x14ac:dyDescent="0.35">
      <c r="B4627" s="853">
        <v>452034.48056439252</v>
      </c>
    </row>
    <row r="4628" spans="2:2" ht="15.5" x14ac:dyDescent="0.35">
      <c r="B4628" s="853">
        <v>480736.23973631469</v>
      </c>
    </row>
    <row r="4629" spans="2:2" ht="15.5" x14ac:dyDescent="0.35">
      <c r="B4629" s="853">
        <v>295359.4851438406</v>
      </c>
    </row>
    <row r="4630" spans="2:2" ht="15.5" x14ac:dyDescent="0.35">
      <c r="B4630" s="853">
        <v>309555.48208415846</v>
      </c>
    </row>
    <row r="4631" spans="2:2" ht="15.5" x14ac:dyDescent="0.35">
      <c r="B4631" s="853">
        <v>596951.14347255195</v>
      </c>
    </row>
    <row r="4632" spans="2:2" ht="15.5" x14ac:dyDescent="0.35">
      <c r="B4632" s="853">
        <v>336975.18389205966</v>
      </c>
    </row>
    <row r="4633" spans="2:2" ht="15.5" x14ac:dyDescent="0.35">
      <c r="B4633" s="853">
        <v>168354.26918290227</v>
      </c>
    </row>
    <row r="4634" spans="2:2" ht="15.5" x14ac:dyDescent="0.35">
      <c r="B4634" s="853">
        <v>290114.0064815373</v>
      </c>
    </row>
    <row r="4635" spans="2:2" ht="15.5" x14ac:dyDescent="0.35">
      <c r="B4635" s="853">
        <v>143035.1750166351</v>
      </c>
    </row>
    <row r="4636" spans="2:2" ht="15.5" x14ac:dyDescent="0.35">
      <c r="B4636" s="853">
        <v>70251.015475173495</v>
      </c>
    </row>
    <row r="4637" spans="2:2" ht="15.5" x14ac:dyDescent="0.35">
      <c r="B4637" s="853">
        <v>382475.10385029367</v>
      </c>
    </row>
    <row r="4638" spans="2:2" ht="15.5" x14ac:dyDescent="0.35">
      <c r="B4638" s="853">
        <v>232514.79751078793</v>
      </c>
    </row>
    <row r="4639" spans="2:2" ht="15.5" x14ac:dyDescent="0.35">
      <c r="B4639" s="853">
        <v>203439.51918154338</v>
      </c>
    </row>
    <row r="4640" spans="2:2" ht="15.5" x14ac:dyDescent="0.35">
      <c r="B4640" s="853">
        <v>317508.8305820403</v>
      </c>
    </row>
    <row r="4641" spans="2:2" ht="15.5" x14ac:dyDescent="0.35">
      <c r="B4641" s="853">
        <v>341525.91391259758</v>
      </c>
    </row>
    <row r="4642" spans="2:2" ht="15.5" x14ac:dyDescent="0.35">
      <c r="B4642" s="853">
        <v>750894.92375615297</v>
      </c>
    </row>
    <row r="4643" spans="2:2" ht="15.5" x14ac:dyDescent="0.35">
      <c r="B4643" s="853">
        <v>372069.36941055558</v>
      </c>
    </row>
    <row r="4644" spans="2:2" ht="15.5" x14ac:dyDescent="0.35">
      <c r="B4644" s="853">
        <v>370754.6164575654</v>
      </c>
    </row>
    <row r="4645" spans="2:2" ht="15.5" x14ac:dyDescent="0.35">
      <c r="B4645" s="853">
        <v>315541.11739386508</v>
      </c>
    </row>
    <row r="4646" spans="2:2" ht="15.5" x14ac:dyDescent="0.35">
      <c r="B4646" s="853">
        <v>109266.71539010212</v>
      </c>
    </row>
    <row r="4647" spans="2:2" ht="15.5" x14ac:dyDescent="0.35">
      <c r="B4647" s="853">
        <v>253684.61305351267</v>
      </c>
    </row>
    <row r="4648" spans="2:2" ht="15.5" x14ac:dyDescent="0.35">
      <c r="B4648" s="853">
        <v>385020.17334590736</v>
      </c>
    </row>
    <row r="4649" spans="2:2" ht="15.5" x14ac:dyDescent="0.35">
      <c r="B4649" s="853">
        <v>51924.202519907805</v>
      </c>
    </row>
    <row r="4650" spans="2:2" ht="15.5" x14ac:dyDescent="0.35">
      <c r="B4650" s="853">
        <v>28623.606507590128</v>
      </c>
    </row>
    <row r="4651" spans="2:2" ht="15.5" x14ac:dyDescent="0.35">
      <c r="B4651" s="853">
        <v>241438.96088068077</v>
      </c>
    </row>
    <row r="4652" spans="2:2" ht="15.5" x14ac:dyDescent="0.35">
      <c r="B4652" s="853">
        <v>271603.89454825042</v>
      </c>
    </row>
    <row r="4653" spans="2:2" ht="15.5" x14ac:dyDescent="0.35">
      <c r="B4653" s="853">
        <v>341455.54893067683</v>
      </c>
    </row>
    <row r="4654" spans="2:2" ht="15.5" x14ac:dyDescent="0.35">
      <c r="B4654" s="853">
        <v>323226.35029905767</v>
      </c>
    </row>
    <row r="4655" spans="2:2" ht="15.5" x14ac:dyDescent="0.35">
      <c r="B4655" s="853">
        <v>160518.22037926476</v>
      </c>
    </row>
    <row r="4656" spans="2:2" ht="15.5" x14ac:dyDescent="0.35">
      <c r="B4656" s="853">
        <v>405926.20744878903</v>
      </c>
    </row>
    <row r="4657" spans="2:2" ht="15.5" x14ac:dyDescent="0.35">
      <c r="B4657" s="853">
        <v>4163.5397026844867</v>
      </c>
    </row>
    <row r="4658" spans="2:2" ht="15.5" x14ac:dyDescent="0.35">
      <c r="B4658" s="853">
        <v>414616.83754515002</v>
      </c>
    </row>
    <row r="4659" spans="2:2" ht="15.5" x14ac:dyDescent="0.35">
      <c r="B4659" s="853">
        <v>202054.15445288713</v>
      </c>
    </row>
    <row r="4660" spans="2:2" ht="15.5" x14ac:dyDescent="0.35">
      <c r="B4660" s="853">
        <v>686312.22303334391</v>
      </c>
    </row>
    <row r="4661" spans="2:2" ht="15.5" x14ac:dyDescent="0.35">
      <c r="B4661" s="853">
        <v>334484.48301179585</v>
      </c>
    </row>
    <row r="4662" spans="2:2" ht="15.5" x14ac:dyDescent="0.35">
      <c r="B4662" s="853">
        <v>293722.59871518344</v>
      </c>
    </row>
    <row r="4663" spans="2:2" ht="15.5" x14ac:dyDescent="0.35">
      <c r="B4663" s="853">
        <v>232417.01418403417</v>
      </c>
    </row>
    <row r="4664" spans="2:2" ht="15.5" x14ac:dyDescent="0.35">
      <c r="B4664" s="853">
        <v>133872.71820131043</v>
      </c>
    </row>
    <row r="4665" spans="2:2" ht="15.5" x14ac:dyDescent="0.35">
      <c r="B4665" s="853">
        <v>137210.79203349075</v>
      </c>
    </row>
    <row r="4666" spans="2:2" ht="15.5" x14ac:dyDescent="0.35">
      <c r="B4666" s="853">
        <v>417259.59931183862</v>
      </c>
    </row>
    <row r="4667" spans="2:2" ht="15.5" x14ac:dyDescent="0.35">
      <c r="B4667" s="853">
        <v>293570.98707890324</v>
      </c>
    </row>
    <row r="4668" spans="2:2" ht="15.5" x14ac:dyDescent="0.35">
      <c r="B4668" s="853">
        <v>283587.28861339809</v>
      </c>
    </row>
    <row r="4669" spans="2:2" ht="15.5" x14ac:dyDescent="0.35">
      <c r="B4669" s="853">
        <v>137062.60010817277</v>
      </c>
    </row>
    <row r="4670" spans="2:2" ht="15.5" x14ac:dyDescent="0.35">
      <c r="B4670" s="853">
        <v>290873.48404391133</v>
      </c>
    </row>
    <row r="4671" spans="2:2" ht="15.5" x14ac:dyDescent="0.35">
      <c r="B4671" s="853">
        <v>275676.00124425371</v>
      </c>
    </row>
    <row r="4672" spans="2:2" ht="15.5" x14ac:dyDescent="0.35">
      <c r="B4672" s="853">
        <v>476832.50018360658</v>
      </c>
    </row>
    <row r="4673" spans="2:2" ht="15.5" x14ac:dyDescent="0.35">
      <c r="B4673" s="853">
        <v>562713.07935186406</v>
      </c>
    </row>
    <row r="4674" spans="2:2" ht="15.5" x14ac:dyDescent="0.35">
      <c r="B4674" s="853">
        <v>366000.09917043295</v>
      </c>
    </row>
    <row r="4675" spans="2:2" ht="15.5" x14ac:dyDescent="0.35">
      <c r="B4675" s="853">
        <v>397162.19859596569</v>
      </c>
    </row>
    <row r="4676" spans="2:2" ht="15.5" x14ac:dyDescent="0.35">
      <c r="B4676" s="853">
        <v>174237.89540750091</v>
      </c>
    </row>
    <row r="4677" spans="2:2" ht="15.5" x14ac:dyDescent="0.35">
      <c r="B4677" s="853">
        <v>458127.00744681136</v>
      </c>
    </row>
    <row r="4678" spans="2:2" ht="15.5" x14ac:dyDescent="0.35">
      <c r="B4678" s="853">
        <v>369478.64924123051</v>
      </c>
    </row>
    <row r="4679" spans="2:2" ht="15.5" x14ac:dyDescent="0.35">
      <c r="B4679" s="853">
        <v>435328.66473845701</v>
      </c>
    </row>
    <row r="4680" spans="2:2" ht="15.5" x14ac:dyDescent="0.35">
      <c r="B4680" s="853">
        <v>176892.92564622674</v>
      </c>
    </row>
    <row r="4681" spans="2:2" ht="15.5" x14ac:dyDescent="0.35">
      <c r="B4681" s="853">
        <v>289203.1436925201</v>
      </c>
    </row>
    <row r="4682" spans="2:2" ht="15.5" x14ac:dyDescent="0.35">
      <c r="B4682" s="853">
        <v>373313.09133618674</v>
      </c>
    </row>
    <row r="4683" spans="2:2" ht="15.5" x14ac:dyDescent="0.35">
      <c r="B4683" s="853">
        <v>160671.18429494408</v>
      </c>
    </row>
    <row r="4684" spans="2:2" ht="15.5" x14ac:dyDescent="0.35">
      <c r="B4684" s="853">
        <v>171291.86935997248</v>
      </c>
    </row>
    <row r="4685" spans="2:2" ht="15.5" x14ac:dyDescent="0.35">
      <c r="B4685" s="853">
        <v>280936.93334291549</v>
      </c>
    </row>
    <row r="4686" spans="2:2" ht="15.5" x14ac:dyDescent="0.35">
      <c r="B4686" s="853">
        <v>265010.26795332215</v>
      </c>
    </row>
    <row r="4687" spans="2:2" ht="15.5" x14ac:dyDescent="0.35">
      <c r="B4687" s="853">
        <v>386856.0075800186</v>
      </c>
    </row>
    <row r="4688" spans="2:2" ht="15.5" x14ac:dyDescent="0.35">
      <c r="B4688" s="853">
        <v>568677.49077823304</v>
      </c>
    </row>
    <row r="4689" spans="2:2" ht="15.5" x14ac:dyDescent="0.35">
      <c r="B4689" s="853">
        <v>24783.051948603297</v>
      </c>
    </row>
    <row r="4690" spans="2:2" ht="15.5" x14ac:dyDescent="0.35">
      <c r="B4690" s="853">
        <v>492605.78950557078</v>
      </c>
    </row>
    <row r="4691" spans="2:2" ht="15.5" x14ac:dyDescent="0.35">
      <c r="B4691" s="853">
        <v>384764.45226710144</v>
      </c>
    </row>
    <row r="4692" spans="2:2" ht="15.5" x14ac:dyDescent="0.35">
      <c r="B4692" s="853">
        <v>389026.01367608068</v>
      </c>
    </row>
    <row r="4693" spans="2:2" ht="15.5" x14ac:dyDescent="0.35">
      <c r="B4693" s="853">
        <v>412718.86889706511</v>
      </c>
    </row>
    <row r="4694" spans="2:2" ht="15.5" x14ac:dyDescent="0.35">
      <c r="B4694" s="853">
        <v>229329.2595215858</v>
      </c>
    </row>
    <row r="4695" spans="2:2" ht="15.5" x14ac:dyDescent="0.35">
      <c r="B4695" s="853">
        <v>146549.0070713766</v>
      </c>
    </row>
    <row r="4696" spans="2:2" ht="15.5" x14ac:dyDescent="0.35">
      <c r="B4696" s="853">
        <v>190558.05717241456</v>
      </c>
    </row>
    <row r="4697" spans="2:2" ht="15.5" x14ac:dyDescent="0.35">
      <c r="B4697" s="853">
        <v>446264.18373652204</v>
      </c>
    </row>
    <row r="4698" spans="2:2" ht="15.5" x14ac:dyDescent="0.35">
      <c r="B4698" s="853">
        <v>208771.82134566334</v>
      </c>
    </row>
    <row r="4699" spans="2:2" ht="15.5" x14ac:dyDescent="0.35">
      <c r="B4699" s="853">
        <v>376055.78911598731</v>
      </c>
    </row>
    <row r="4700" spans="2:2" ht="15.5" x14ac:dyDescent="0.35">
      <c r="B4700" s="853">
        <v>366789.17974480963</v>
      </c>
    </row>
    <row r="4701" spans="2:2" ht="15.5" x14ac:dyDescent="0.35">
      <c r="B4701" s="853">
        <v>75593.010854438835</v>
      </c>
    </row>
    <row r="4702" spans="2:2" ht="15.5" x14ac:dyDescent="0.35">
      <c r="B4702" s="853">
        <v>301457.27774474537</v>
      </c>
    </row>
    <row r="4703" spans="2:2" ht="15.5" x14ac:dyDescent="0.35">
      <c r="B4703" s="853">
        <v>141026.31639069322</v>
      </c>
    </row>
    <row r="4704" spans="2:2" ht="15.5" x14ac:dyDescent="0.35">
      <c r="B4704" s="853">
        <v>196199.65984704538</v>
      </c>
    </row>
    <row r="4705" spans="2:2" ht="15.5" x14ac:dyDescent="0.35">
      <c r="B4705" s="853">
        <v>414854.75317573524</v>
      </c>
    </row>
    <row r="4706" spans="2:2" ht="15.5" x14ac:dyDescent="0.35">
      <c r="B4706" s="853">
        <v>32402.671673242698</v>
      </c>
    </row>
    <row r="4707" spans="2:2" ht="15.5" x14ac:dyDescent="0.35">
      <c r="B4707" s="853">
        <v>479483.93069080863</v>
      </c>
    </row>
    <row r="4708" spans="2:2" ht="15.5" x14ac:dyDescent="0.35">
      <c r="B4708" s="853">
        <v>218040.7444852039</v>
      </c>
    </row>
    <row r="4709" spans="2:2" ht="15.5" x14ac:dyDescent="0.35">
      <c r="B4709" s="853">
        <v>338148.05962918798</v>
      </c>
    </row>
    <row r="4710" spans="2:2" ht="15.5" x14ac:dyDescent="0.35">
      <c r="B4710" s="853">
        <v>198708.7390145653</v>
      </c>
    </row>
    <row r="4711" spans="2:2" ht="15.5" x14ac:dyDescent="0.35">
      <c r="B4711" s="853">
        <v>133327.08189443374</v>
      </c>
    </row>
    <row r="4712" spans="2:2" ht="15.5" x14ac:dyDescent="0.35">
      <c r="B4712" s="853">
        <v>376656.48307898216</v>
      </c>
    </row>
    <row r="4713" spans="2:2" ht="15.5" x14ac:dyDescent="0.35">
      <c r="B4713" s="853">
        <v>397049.80500989623</v>
      </c>
    </row>
    <row r="4714" spans="2:2" ht="15.5" x14ac:dyDescent="0.35">
      <c r="B4714" s="853">
        <v>184152.11328422383</v>
      </c>
    </row>
    <row r="4715" spans="2:2" ht="15.5" x14ac:dyDescent="0.35">
      <c r="B4715" s="853">
        <v>354295.63478967111</v>
      </c>
    </row>
    <row r="4716" spans="2:2" ht="15.5" x14ac:dyDescent="0.35">
      <c r="B4716" s="853">
        <v>345864.1091260378</v>
      </c>
    </row>
    <row r="4717" spans="2:2" ht="15.5" x14ac:dyDescent="0.35">
      <c r="B4717" s="853">
        <v>187388.25738583849</v>
      </c>
    </row>
    <row r="4718" spans="2:2" ht="15.5" x14ac:dyDescent="0.35">
      <c r="B4718" s="853">
        <v>432071.23455194168</v>
      </c>
    </row>
    <row r="4719" spans="2:2" ht="15.5" x14ac:dyDescent="0.35">
      <c r="B4719" s="853">
        <v>320119.07638096105</v>
      </c>
    </row>
    <row r="4720" spans="2:2" ht="15.5" x14ac:dyDescent="0.35">
      <c r="B4720" s="853">
        <v>392467.9303754209</v>
      </c>
    </row>
    <row r="4721" spans="2:2" ht="15.5" x14ac:dyDescent="0.35">
      <c r="B4721" s="853">
        <v>221687.16936865743</v>
      </c>
    </row>
    <row r="4722" spans="2:2" ht="15.5" x14ac:dyDescent="0.35">
      <c r="B4722" s="853">
        <v>297486.12577241648</v>
      </c>
    </row>
    <row r="4723" spans="2:2" ht="15.5" x14ac:dyDescent="0.35">
      <c r="B4723" s="853">
        <v>311632.85795131087</v>
      </c>
    </row>
    <row r="4724" spans="2:2" ht="15.5" x14ac:dyDescent="0.35">
      <c r="B4724" s="853">
        <v>72462.280505294955</v>
      </c>
    </row>
    <row r="4725" spans="2:2" ht="15.5" x14ac:dyDescent="0.35">
      <c r="B4725" s="853">
        <v>395600.9410735917</v>
      </c>
    </row>
    <row r="4726" spans="2:2" ht="15.5" x14ac:dyDescent="0.35">
      <c r="B4726" s="853">
        <v>451263.93589981808</v>
      </c>
    </row>
    <row r="4727" spans="2:2" ht="15.5" x14ac:dyDescent="0.35">
      <c r="B4727" s="853">
        <v>527999.36941428808</v>
      </c>
    </row>
    <row r="4728" spans="2:2" ht="15.5" x14ac:dyDescent="0.35">
      <c r="B4728" s="853">
        <v>18517.899584696635</v>
      </c>
    </row>
    <row r="4729" spans="2:2" ht="15.5" x14ac:dyDescent="0.35">
      <c r="B4729" s="853">
        <v>-5854.343234496886</v>
      </c>
    </row>
    <row r="4730" spans="2:2" ht="15.5" x14ac:dyDescent="0.35">
      <c r="B4730" s="853">
        <v>207104.09885958341</v>
      </c>
    </row>
    <row r="4731" spans="2:2" ht="15.5" x14ac:dyDescent="0.35">
      <c r="B4731" s="853">
        <v>379523.95669646136</v>
      </c>
    </row>
    <row r="4732" spans="2:2" ht="15.5" x14ac:dyDescent="0.35">
      <c r="B4732" s="853">
        <v>273597.06542193034</v>
      </c>
    </row>
    <row r="4733" spans="2:2" ht="15.5" x14ac:dyDescent="0.35">
      <c r="B4733" s="853">
        <v>323880.67733648448</v>
      </c>
    </row>
    <row r="4734" spans="2:2" ht="15.5" x14ac:dyDescent="0.35">
      <c r="B4734" s="853">
        <v>143550.80369173407</v>
      </c>
    </row>
    <row r="4735" spans="2:2" ht="15.5" x14ac:dyDescent="0.35">
      <c r="B4735" s="853">
        <v>352109.66693121567</v>
      </c>
    </row>
    <row r="4736" spans="2:2" ht="15.5" x14ac:dyDescent="0.35">
      <c r="B4736" s="853">
        <v>397770.68709669512</v>
      </c>
    </row>
    <row r="4737" spans="2:2" ht="15.5" x14ac:dyDescent="0.35">
      <c r="B4737" s="853">
        <v>454804.17176405981</v>
      </c>
    </row>
    <row r="4738" spans="2:2" ht="15.5" x14ac:dyDescent="0.35">
      <c r="B4738" s="853">
        <v>290195.1484837709</v>
      </c>
    </row>
    <row r="4739" spans="2:2" ht="15.5" x14ac:dyDescent="0.35">
      <c r="B4739" s="853">
        <v>351349.753659582</v>
      </c>
    </row>
    <row r="4740" spans="2:2" ht="15.5" x14ac:dyDescent="0.35">
      <c r="B4740" s="853">
        <v>451664.75180962111</v>
      </c>
    </row>
    <row r="4741" spans="2:2" ht="15.5" x14ac:dyDescent="0.35">
      <c r="B4741" s="853">
        <v>533673.88822759374</v>
      </c>
    </row>
    <row r="4742" spans="2:2" ht="15.5" x14ac:dyDescent="0.35">
      <c r="B4742" s="853">
        <v>356092.73797594185</v>
      </c>
    </row>
    <row r="4743" spans="2:2" ht="15.5" x14ac:dyDescent="0.35">
      <c r="B4743" s="853">
        <v>156424.68074362897</v>
      </c>
    </row>
    <row r="4744" spans="2:2" ht="15.5" x14ac:dyDescent="0.35">
      <c r="B4744" s="853">
        <v>365444.27933778631</v>
      </c>
    </row>
    <row r="4745" spans="2:2" ht="15.5" x14ac:dyDescent="0.35">
      <c r="B4745" s="853">
        <v>371123.54462473403</v>
      </c>
    </row>
    <row r="4746" spans="2:2" ht="15.5" x14ac:dyDescent="0.35">
      <c r="B4746" s="853">
        <v>589998.74815932708</v>
      </c>
    </row>
    <row r="4747" spans="2:2" ht="15.5" x14ac:dyDescent="0.35">
      <c r="B4747" s="853">
        <v>614082.22085051169</v>
      </c>
    </row>
    <row r="4748" spans="2:2" ht="15.5" x14ac:dyDescent="0.35">
      <c r="B4748" s="853">
        <v>330499.39241347671</v>
      </c>
    </row>
    <row r="4749" spans="2:2" ht="15.5" x14ac:dyDescent="0.35">
      <c r="B4749" s="853">
        <v>365398.20786035934</v>
      </c>
    </row>
    <row r="4750" spans="2:2" ht="15.5" x14ac:dyDescent="0.35">
      <c r="B4750" s="853">
        <v>404749.38448664284</v>
      </c>
    </row>
    <row r="4751" spans="2:2" ht="15.5" x14ac:dyDescent="0.35">
      <c r="B4751" s="853">
        <v>245709.01448281811</v>
      </c>
    </row>
    <row r="4752" spans="2:2" ht="15.5" x14ac:dyDescent="0.35">
      <c r="B4752" s="853">
        <v>272940.22175445</v>
      </c>
    </row>
    <row r="4753" spans="2:2" ht="15.5" x14ac:dyDescent="0.35">
      <c r="B4753" s="853">
        <v>433056.94030910567</v>
      </c>
    </row>
    <row r="4754" spans="2:2" ht="15.5" x14ac:dyDescent="0.35">
      <c r="B4754" s="853">
        <v>466167.78578499245</v>
      </c>
    </row>
    <row r="4755" spans="2:2" ht="15.5" x14ac:dyDescent="0.35">
      <c r="B4755" s="853">
        <v>358759.98927094083</v>
      </c>
    </row>
    <row r="4756" spans="2:2" ht="15.5" x14ac:dyDescent="0.35">
      <c r="B4756" s="853">
        <v>304398.06572554208</v>
      </c>
    </row>
    <row r="4757" spans="2:2" ht="15.5" x14ac:dyDescent="0.35">
      <c r="B4757" s="853">
        <v>528223.66504958202</v>
      </c>
    </row>
    <row r="4758" spans="2:2" ht="15.5" x14ac:dyDescent="0.35">
      <c r="B4758" s="853">
        <v>494318.38624233304</v>
      </c>
    </row>
    <row r="4759" spans="2:2" ht="15.5" x14ac:dyDescent="0.35">
      <c r="B4759" s="853">
        <v>492962.91618619597</v>
      </c>
    </row>
    <row r="4760" spans="2:2" ht="15.5" x14ac:dyDescent="0.35">
      <c r="B4760" s="853">
        <v>197646.42877735195</v>
      </c>
    </row>
    <row r="4761" spans="2:2" ht="15.5" x14ac:dyDescent="0.35">
      <c r="B4761" s="853">
        <v>527872.80414070876</v>
      </c>
    </row>
    <row r="4762" spans="2:2" ht="15.5" x14ac:dyDescent="0.35">
      <c r="B4762" s="853">
        <v>351510.2440286667</v>
      </c>
    </row>
    <row r="4763" spans="2:2" ht="15.5" x14ac:dyDescent="0.35">
      <c r="B4763" s="853">
        <v>140763.44784797338</v>
      </c>
    </row>
    <row r="4764" spans="2:2" ht="15.5" x14ac:dyDescent="0.35">
      <c r="B4764" s="853">
        <v>368529.97859940457</v>
      </c>
    </row>
    <row r="4765" spans="2:2" ht="15.5" x14ac:dyDescent="0.35">
      <c r="B4765" s="853">
        <v>156715.54240423135</v>
      </c>
    </row>
    <row r="4766" spans="2:2" ht="15.5" x14ac:dyDescent="0.35">
      <c r="B4766" s="853">
        <v>275793.39218006184</v>
      </c>
    </row>
    <row r="4767" spans="2:2" ht="15.5" x14ac:dyDescent="0.35">
      <c r="B4767" s="853">
        <v>157362.03143361741</v>
      </c>
    </row>
    <row r="4768" spans="2:2" ht="15.5" x14ac:dyDescent="0.35">
      <c r="B4768" s="853">
        <v>269105.63683567906</v>
      </c>
    </row>
    <row r="4769" spans="2:2" ht="15.5" x14ac:dyDescent="0.35">
      <c r="B4769" s="853">
        <v>330152.41217987629</v>
      </c>
    </row>
    <row r="4770" spans="2:2" ht="15.5" x14ac:dyDescent="0.35">
      <c r="B4770" s="853">
        <v>249892.03150082592</v>
      </c>
    </row>
    <row r="4771" spans="2:2" ht="15.5" x14ac:dyDescent="0.35">
      <c r="B4771" s="853">
        <v>515642.44586662611</v>
      </c>
    </row>
    <row r="4772" spans="2:2" ht="15.5" x14ac:dyDescent="0.35">
      <c r="B4772" s="853">
        <v>439659.89236646984</v>
      </c>
    </row>
    <row r="4773" spans="2:2" ht="15.5" x14ac:dyDescent="0.35">
      <c r="B4773" s="853">
        <v>296959.02089368325</v>
      </c>
    </row>
    <row r="4774" spans="2:2" ht="15.5" x14ac:dyDescent="0.35">
      <c r="B4774" s="853">
        <v>397202.3446833021</v>
      </c>
    </row>
    <row r="4775" spans="2:2" ht="15.5" x14ac:dyDescent="0.35">
      <c r="B4775" s="853">
        <v>328593.8740876732</v>
      </c>
    </row>
    <row r="4776" spans="2:2" ht="15.5" x14ac:dyDescent="0.35">
      <c r="B4776" s="853">
        <v>192296.07200503512</v>
      </c>
    </row>
    <row r="4777" spans="2:2" ht="15.5" x14ac:dyDescent="0.35">
      <c r="B4777" s="853">
        <v>553543.12300784024</v>
      </c>
    </row>
    <row r="4778" spans="2:2" ht="15.5" x14ac:dyDescent="0.35">
      <c r="B4778" s="853">
        <v>343776.98389553017</v>
      </c>
    </row>
    <row r="4779" spans="2:2" ht="15.5" x14ac:dyDescent="0.35">
      <c r="B4779" s="853">
        <v>216943.2542833148</v>
      </c>
    </row>
    <row r="4780" spans="2:2" ht="15.5" x14ac:dyDescent="0.35">
      <c r="B4780" s="853">
        <v>313796.40436114202</v>
      </c>
    </row>
    <row r="4781" spans="2:2" ht="15.5" x14ac:dyDescent="0.35">
      <c r="B4781" s="853">
        <v>444228.20132914907</v>
      </c>
    </row>
    <row r="4782" spans="2:2" ht="15.5" x14ac:dyDescent="0.35">
      <c r="B4782" s="853">
        <v>98252.99445208018</v>
      </c>
    </row>
    <row r="4783" spans="2:2" ht="15.5" x14ac:dyDescent="0.35">
      <c r="B4783" s="853">
        <v>47600.027652448902</v>
      </c>
    </row>
    <row r="4784" spans="2:2" ht="15.5" x14ac:dyDescent="0.35">
      <c r="B4784" s="853">
        <v>118481.71793124832</v>
      </c>
    </row>
    <row r="4785" spans="2:2" ht="15.5" x14ac:dyDescent="0.35">
      <c r="B4785" s="853">
        <v>367309.46555143705</v>
      </c>
    </row>
    <row r="4786" spans="2:2" ht="15.5" x14ac:dyDescent="0.35">
      <c r="B4786" s="853">
        <v>311679.18782646646</v>
      </c>
    </row>
    <row r="4787" spans="2:2" ht="15.5" x14ac:dyDescent="0.35">
      <c r="B4787" s="853">
        <v>397796.51117735653</v>
      </c>
    </row>
    <row r="4788" spans="2:2" ht="15.5" x14ac:dyDescent="0.35">
      <c r="B4788" s="853">
        <v>282169.20750882418</v>
      </c>
    </row>
    <row r="4789" spans="2:2" ht="15.5" x14ac:dyDescent="0.35">
      <c r="B4789" s="853">
        <v>179252.02331099872</v>
      </c>
    </row>
    <row r="4790" spans="2:2" ht="15.5" x14ac:dyDescent="0.35">
      <c r="B4790" s="853">
        <v>269955.19025868113</v>
      </c>
    </row>
    <row r="4791" spans="2:2" ht="15.5" x14ac:dyDescent="0.35">
      <c r="B4791" s="853">
        <v>178453.44587112189</v>
      </c>
    </row>
    <row r="4792" spans="2:2" ht="15.5" x14ac:dyDescent="0.35">
      <c r="B4792" s="853">
        <v>412908.64373889711</v>
      </c>
    </row>
    <row r="4793" spans="2:2" ht="15.5" x14ac:dyDescent="0.35">
      <c r="B4793" s="853">
        <v>155219.5136510866</v>
      </c>
    </row>
    <row r="4794" spans="2:2" ht="15.5" x14ac:dyDescent="0.35">
      <c r="B4794" s="853">
        <v>515569.85830805986</v>
      </c>
    </row>
    <row r="4795" spans="2:2" ht="15.5" x14ac:dyDescent="0.35">
      <c r="B4795" s="853">
        <v>224906.5889117395</v>
      </c>
    </row>
    <row r="4796" spans="2:2" ht="15.5" x14ac:dyDescent="0.35">
      <c r="B4796" s="853">
        <v>493499.26101853757</v>
      </c>
    </row>
    <row r="4797" spans="2:2" ht="15.5" x14ac:dyDescent="0.35">
      <c r="B4797" s="853">
        <v>573591.04380340083</v>
      </c>
    </row>
    <row r="4798" spans="2:2" ht="15.5" x14ac:dyDescent="0.35">
      <c r="B4798" s="853">
        <v>393967.13055694336</v>
      </c>
    </row>
    <row r="4799" spans="2:2" ht="15.5" x14ac:dyDescent="0.35">
      <c r="B4799" s="853">
        <v>350870.11922150792</v>
      </c>
    </row>
    <row r="4800" spans="2:2" ht="15.5" x14ac:dyDescent="0.35">
      <c r="B4800" s="853">
        <v>108892.79662945011</v>
      </c>
    </row>
    <row r="4801" spans="2:2" ht="15.5" x14ac:dyDescent="0.35">
      <c r="B4801" s="853">
        <v>320260.38892759627</v>
      </c>
    </row>
    <row r="4802" spans="2:2" ht="15.5" x14ac:dyDescent="0.35">
      <c r="B4802" s="853">
        <v>354419.06349907676</v>
      </c>
    </row>
    <row r="4803" spans="2:2" ht="15.5" x14ac:dyDescent="0.35">
      <c r="B4803" s="853">
        <v>408589.17480768077</v>
      </c>
    </row>
    <row r="4804" spans="2:2" ht="15.5" x14ac:dyDescent="0.35">
      <c r="B4804" s="853">
        <v>331166.35101854109</v>
      </c>
    </row>
    <row r="4805" spans="2:2" ht="15.5" x14ac:dyDescent="0.35">
      <c r="B4805" s="853">
        <v>159115.38667354896</v>
      </c>
    </row>
    <row r="4806" spans="2:2" ht="15.5" x14ac:dyDescent="0.35">
      <c r="B4806" s="853">
        <v>12745.866956712453</v>
      </c>
    </row>
    <row r="4807" spans="2:2" ht="15.5" x14ac:dyDescent="0.35">
      <c r="B4807" s="853">
        <v>410469.65165390552</v>
      </c>
    </row>
    <row r="4808" spans="2:2" ht="15.5" x14ac:dyDescent="0.35">
      <c r="B4808" s="853">
        <v>206450.9901282026</v>
      </c>
    </row>
    <row r="4809" spans="2:2" ht="15.5" x14ac:dyDescent="0.35">
      <c r="B4809" s="853">
        <v>234234.10739617932</v>
      </c>
    </row>
    <row r="4810" spans="2:2" ht="15.5" x14ac:dyDescent="0.35">
      <c r="B4810" s="853">
        <v>377879.47514235764</v>
      </c>
    </row>
    <row r="4811" spans="2:2" ht="15.5" x14ac:dyDescent="0.35">
      <c r="B4811" s="853">
        <v>59783.231850074895</v>
      </c>
    </row>
    <row r="4812" spans="2:2" ht="15.5" x14ac:dyDescent="0.35">
      <c r="B4812" s="853">
        <v>375173.24872432626</v>
      </c>
    </row>
    <row r="4813" spans="2:2" ht="15.5" x14ac:dyDescent="0.35">
      <c r="B4813" s="853">
        <v>474837.39547104208</v>
      </c>
    </row>
    <row r="4814" spans="2:2" ht="15.5" x14ac:dyDescent="0.35">
      <c r="B4814" s="853">
        <v>259089.31580500549</v>
      </c>
    </row>
    <row r="4815" spans="2:2" ht="15.5" x14ac:dyDescent="0.35">
      <c r="B4815" s="853">
        <v>363383.91804724658</v>
      </c>
    </row>
    <row r="4816" spans="2:2" ht="15.5" x14ac:dyDescent="0.35">
      <c r="B4816" s="853">
        <v>220172.247042081</v>
      </c>
    </row>
    <row r="4817" spans="2:2" ht="15.5" x14ac:dyDescent="0.35">
      <c r="B4817" s="853">
        <v>237151.99912394301</v>
      </c>
    </row>
    <row r="4818" spans="2:2" ht="15.5" x14ac:dyDescent="0.35">
      <c r="B4818" s="853">
        <v>307881.77001841058</v>
      </c>
    </row>
    <row r="4819" spans="2:2" ht="15.5" x14ac:dyDescent="0.35">
      <c r="B4819" s="853">
        <v>270581.78156174277</v>
      </c>
    </row>
    <row r="4820" spans="2:2" ht="15.5" x14ac:dyDescent="0.35">
      <c r="B4820" s="853">
        <v>323431.06170940713</v>
      </c>
    </row>
    <row r="4821" spans="2:2" ht="15.5" x14ac:dyDescent="0.35">
      <c r="B4821" s="853">
        <v>148254.62714751216</v>
      </c>
    </row>
    <row r="4822" spans="2:2" ht="15.5" x14ac:dyDescent="0.35">
      <c r="B4822" s="853">
        <v>354125.22928375535</v>
      </c>
    </row>
    <row r="4823" spans="2:2" ht="15.5" x14ac:dyDescent="0.35">
      <c r="B4823" s="853">
        <v>-13039.393355465338</v>
      </c>
    </row>
    <row r="4824" spans="2:2" ht="15.5" x14ac:dyDescent="0.35">
      <c r="B4824" s="853">
        <v>218067.40498428914</v>
      </c>
    </row>
    <row r="4825" spans="2:2" ht="15.5" x14ac:dyDescent="0.35">
      <c r="B4825" s="853">
        <v>180376.30405568858</v>
      </c>
    </row>
    <row r="4826" spans="2:2" ht="15.5" x14ac:dyDescent="0.35">
      <c r="B4826" s="853">
        <v>250522.14859357456</v>
      </c>
    </row>
    <row r="4827" spans="2:2" ht="15.5" x14ac:dyDescent="0.35">
      <c r="B4827" s="853">
        <v>473443.47236928722</v>
      </c>
    </row>
    <row r="4828" spans="2:2" ht="15.5" x14ac:dyDescent="0.35">
      <c r="B4828" s="853">
        <v>281441.31725755037</v>
      </c>
    </row>
    <row r="4829" spans="2:2" ht="15.5" x14ac:dyDescent="0.35">
      <c r="B4829" s="853">
        <v>233178.59993764068</v>
      </c>
    </row>
    <row r="4830" spans="2:2" ht="15.5" x14ac:dyDescent="0.35">
      <c r="B4830" s="853">
        <v>254961.19956853529</v>
      </c>
    </row>
    <row r="4831" spans="2:2" ht="15.5" x14ac:dyDescent="0.35">
      <c r="B4831" s="853">
        <v>222677.70418241469</v>
      </c>
    </row>
    <row r="4832" spans="2:2" ht="15.5" x14ac:dyDescent="0.35">
      <c r="B4832" s="853">
        <v>246488.78507490002</v>
      </c>
    </row>
    <row r="4833" spans="2:2" ht="15.5" x14ac:dyDescent="0.35">
      <c r="B4833" s="853">
        <v>499466.39961014176</v>
      </c>
    </row>
    <row r="4834" spans="2:2" ht="15.5" x14ac:dyDescent="0.35">
      <c r="B4834" s="853">
        <v>171785.28313303989</v>
      </c>
    </row>
    <row r="4835" spans="2:2" ht="15.5" x14ac:dyDescent="0.35">
      <c r="B4835" s="853">
        <v>88806.264417486978</v>
      </c>
    </row>
    <row r="4836" spans="2:2" ht="15.5" x14ac:dyDescent="0.35">
      <c r="B4836" s="853">
        <v>289731.49016621069</v>
      </c>
    </row>
    <row r="4837" spans="2:2" ht="15.5" x14ac:dyDescent="0.35">
      <c r="B4837" s="853">
        <v>75398.031023349336</v>
      </c>
    </row>
    <row r="4838" spans="2:2" ht="15.5" x14ac:dyDescent="0.35">
      <c r="B4838" s="853">
        <v>307173.11320244696</v>
      </c>
    </row>
    <row r="4839" spans="2:2" ht="15.5" x14ac:dyDescent="0.35">
      <c r="B4839" s="853">
        <v>105341.11143068028</v>
      </c>
    </row>
    <row r="4840" spans="2:2" ht="15.5" x14ac:dyDescent="0.35">
      <c r="B4840" s="853">
        <v>280813.29951082001</v>
      </c>
    </row>
    <row r="4841" spans="2:2" ht="15.5" x14ac:dyDescent="0.35">
      <c r="B4841" s="853">
        <v>280142.58773890603</v>
      </c>
    </row>
    <row r="4842" spans="2:2" ht="15.5" x14ac:dyDescent="0.35">
      <c r="B4842" s="853">
        <v>303435.66478866624</v>
      </c>
    </row>
    <row r="4843" spans="2:2" ht="15.5" x14ac:dyDescent="0.35">
      <c r="B4843" s="853">
        <v>270975.70832542999</v>
      </c>
    </row>
    <row r="4844" spans="2:2" ht="15.5" x14ac:dyDescent="0.35">
      <c r="B4844" s="853">
        <v>433377.88155546051</v>
      </c>
    </row>
    <row r="4845" spans="2:2" ht="15.5" x14ac:dyDescent="0.35">
      <c r="B4845" s="853">
        <v>443044.09557090432</v>
      </c>
    </row>
    <row r="4846" spans="2:2" ht="15.5" x14ac:dyDescent="0.35">
      <c r="B4846" s="853">
        <v>397121.50784293452</v>
      </c>
    </row>
    <row r="4847" spans="2:2" ht="15.5" x14ac:dyDescent="0.35">
      <c r="B4847" s="853">
        <v>293274.44964107109</v>
      </c>
    </row>
    <row r="4848" spans="2:2" ht="15.5" x14ac:dyDescent="0.35">
      <c r="B4848" s="853">
        <v>454328.69130563689</v>
      </c>
    </row>
    <row r="4849" spans="2:2" ht="15.5" x14ac:dyDescent="0.35">
      <c r="B4849" s="853">
        <v>492456.14660737605</v>
      </c>
    </row>
    <row r="4850" spans="2:2" ht="15.5" x14ac:dyDescent="0.35">
      <c r="B4850" s="853">
        <v>415288.16080300335</v>
      </c>
    </row>
    <row r="4851" spans="2:2" ht="15.5" x14ac:dyDescent="0.35">
      <c r="B4851" s="853">
        <v>417694.70342595654</v>
      </c>
    </row>
    <row r="4852" spans="2:2" ht="15.5" x14ac:dyDescent="0.35">
      <c r="B4852" s="853">
        <v>268494.26883870218</v>
      </c>
    </row>
    <row r="4853" spans="2:2" ht="15.5" x14ac:dyDescent="0.35">
      <c r="B4853" s="853">
        <v>325133.3931037453</v>
      </c>
    </row>
    <row r="4854" spans="2:2" ht="15.5" x14ac:dyDescent="0.35">
      <c r="B4854" s="853">
        <v>305659.62383569725</v>
      </c>
    </row>
    <row r="4855" spans="2:2" ht="15.5" x14ac:dyDescent="0.35">
      <c r="B4855" s="853">
        <v>428659.8635978371</v>
      </c>
    </row>
    <row r="4856" spans="2:2" ht="15.5" x14ac:dyDescent="0.35">
      <c r="B4856" s="853">
        <v>242723.07250844</v>
      </c>
    </row>
    <row r="4857" spans="2:2" ht="15.5" x14ac:dyDescent="0.35">
      <c r="B4857" s="853">
        <v>381851.92709027906</v>
      </c>
    </row>
    <row r="4858" spans="2:2" ht="15.5" x14ac:dyDescent="0.35">
      <c r="B4858" s="853">
        <v>-38132.084096529434</v>
      </c>
    </row>
    <row r="4859" spans="2:2" ht="15.5" x14ac:dyDescent="0.35">
      <c r="B4859" s="853">
        <v>-29337.037356214911</v>
      </c>
    </row>
    <row r="4860" spans="2:2" ht="15.5" x14ac:dyDescent="0.35">
      <c r="B4860" s="853">
        <v>454520.96809974493</v>
      </c>
    </row>
    <row r="4861" spans="2:2" ht="15.5" x14ac:dyDescent="0.35">
      <c r="B4861" s="853">
        <v>320907.76092738588</v>
      </c>
    </row>
    <row r="4862" spans="2:2" ht="15.5" x14ac:dyDescent="0.35">
      <c r="B4862" s="853">
        <v>362419.24185759912</v>
      </c>
    </row>
    <row r="4863" spans="2:2" ht="15.5" x14ac:dyDescent="0.35">
      <c r="B4863" s="853">
        <v>202315.32856370733</v>
      </c>
    </row>
    <row r="4864" spans="2:2" ht="15.5" x14ac:dyDescent="0.35">
      <c r="B4864" s="853">
        <v>230520.79559270578</v>
      </c>
    </row>
    <row r="4865" spans="2:2" ht="15.5" x14ac:dyDescent="0.35">
      <c r="B4865" s="853">
        <v>189023.30137040792</v>
      </c>
    </row>
    <row r="4866" spans="2:2" ht="15.5" x14ac:dyDescent="0.35">
      <c r="B4866" s="853">
        <v>190602.58196240227</v>
      </c>
    </row>
    <row r="4867" spans="2:2" ht="15.5" x14ac:dyDescent="0.35">
      <c r="B4867" s="853">
        <v>183002.93138383538</v>
      </c>
    </row>
    <row r="4868" spans="2:2" ht="15.5" x14ac:dyDescent="0.35">
      <c r="B4868" s="853">
        <v>218838.45464153544</v>
      </c>
    </row>
    <row r="4869" spans="2:2" ht="15.5" x14ac:dyDescent="0.35">
      <c r="B4869" s="853">
        <v>313631.73851115361</v>
      </c>
    </row>
    <row r="4870" spans="2:2" ht="15.5" x14ac:dyDescent="0.35">
      <c r="B4870" s="853">
        <v>340208.90800287802</v>
      </c>
    </row>
    <row r="4871" spans="2:2" ht="15.5" x14ac:dyDescent="0.35">
      <c r="B4871" s="853">
        <v>486954.85866887239</v>
      </c>
    </row>
    <row r="4872" spans="2:2" ht="15.5" x14ac:dyDescent="0.35">
      <c r="B4872" s="853">
        <v>393737.12662985368</v>
      </c>
    </row>
    <row r="4873" spans="2:2" ht="15.5" x14ac:dyDescent="0.35">
      <c r="B4873" s="853">
        <v>350257.82335336599</v>
      </c>
    </row>
    <row r="4874" spans="2:2" ht="15.5" x14ac:dyDescent="0.35">
      <c r="B4874" s="853">
        <v>616422.00334819581</v>
      </c>
    </row>
    <row r="4875" spans="2:2" ht="15.5" x14ac:dyDescent="0.35">
      <c r="B4875" s="853">
        <v>408743.17532244738</v>
      </c>
    </row>
    <row r="4876" spans="2:2" ht="15.5" x14ac:dyDescent="0.35">
      <c r="B4876" s="853">
        <v>329367.04281595856</v>
      </c>
    </row>
    <row r="4877" spans="2:2" ht="15.5" x14ac:dyDescent="0.35">
      <c r="B4877" s="853">
        <v>376608.22695710621</v>
      </c>
    </row>
    <row r="4878" spans="2:2" ht="15.5" x14ac:dyDescent="0.35">
      <c r="B4878" s="853">
        <v>375371.20669046481</v>
      </c>
    </row>
    <row r="4879" spans="2:2" ht="15.5" x14ac:dyDescent="0.35">
      <c r="B4879" s="853">
        <v>317862.76861786516</v>
      </c>
    </row>
    <row r="4880" spans="2:2" ht="15.5" x14ac:dyDescent="0.35">
      <c r="B4880" s="853">
        <v>269639.06884958531</v>
      </c>
    </row>
    <row r="4881" spans="2:2" ht="15.5" x14ac:dyDescent="0.35">
      <c r="B4881" s="853">
        <v>329907.92853645346</v>
      </c>
    </row>
    <row r="4882" spans="2:2" ht="15.5" x14ac:dyDescent="0.35">
      <c r="B4882" s="853">
        <v>439541.40545045841</v>
      </c>
    </row>
    <row r="4883" spans="2:2" ht="15.5" x14ac:dyDescent="0.35">
      <c r="B4883" s="853">
        <v>8411.7622369042474</v>
      </c>
    </row>
    <row r="4884" spans="2:2" ht="15.5" x14ac:dyDescent="0.35">
      <c r="B4884" s="853">
        <v>146111.48100879285</v>
      </c>
    </row>
    <row r="4885" spans="2:2" ht="15.5" x14ac:dyDescent="0.35">
      <c r="B4885" s="853">
        <v>456976.71352070634</v>
      </c>
    </row>
    <row r="4886" spans="2:2" ht="15.5" x14ac:dyDescent="0.35">
      <c r="B4886" s="853">
        <v>185600.37214717476</v>
      </c>
    </row>
    <row r="4887" spans="2:2" ht="15.5" x14ac:dyDescent="0.35">
      <c r="B4887" s="853">
        <v>456922.90546960663</v>
      </c>
    </row>
    <row r="4888" spans="2:2" ht="15.5" x14ac:dyDescent="0.35">
      <c r="B4888" s="853">
        <v>530608.96610331011</v>
      </c>
    </row>
    <row r="4889" spans="2:2" ht="15.5" x14ac:dyDescent="0.35">
      <c r="B4889" s="853">
        <v>325922.00557122601</v>
      </c>
    </row>
    <row r="4890" spans="2:2" ht="15.5" x14ac:dyDescent="0.35">
      <c r="B4890" s="853">
        <v>370720.17125654686</v>
      </c>
    </row>
    <row r="4891" spans="2:2" ht="15.5" x14ac:dyDescent="0.35">
      <c r="B4891" s="853">
        <v>274143.82332372846</v>
      </c>
    </row>
    <row r="4892" spans="2:2" ht="15.5" x14ac:dyDescent="0.35">
      <c r="B4892" s="853">
        <v>186519.17371547068</v>
      </c>
    </row>
    <row r="4893" spans="2:2" ht="15.5" x14ac:dyDescent="0.35">
      <c r="B4893" s="853">
        <v>314276.96191084554</v>
      </c>
    </row>
    <row r="4894" spans="2:2" ht="15.5" x14ac:dyDescent="0.35">
      <c r="B4894" s="853">
        <v>246295.70717442807</v>
      </c>
    </row>
    <row r="4895" spans="2:2" ht="15.5" x14ac:dyDescent="0.35">
      <c r="B4895" s="853">
        <v>139970.15157482802</v>
      </c>
    </row>
    <row r="4896" spans="2:2" ht="15.5" x14ac:dyDescent="0.35">
      <c r="B4896" s="853">
        <v>558192.12076279346</v>
      </c>
    </row>
    <row r="4897" spans="2:2" ht="15.5" x14ac:dyDescent="0.35">
      <c r="B4897" s="853">
        <v>287128.57858049311</v>
      </c>
    </row>
    <row r="4898" spans="2:2" ht="15.5" x14ac:dyDescent="0.35">
      <c r="B4898" s="853">
        <v>273575.45838767168</v>
      </c>
    </row>
    <row r="4899" spans="2:2" ht="15.5" x14ac:dyDescent="0.35">
      <c r="B4899" s="853">
        <v>223054.59090699488</v>
      </c>
    </row>
    <row r="4900" spans="2:2" ht="15.5" x14ac:dyDescent="0.35">
      <c r="B4900" s="853">
        <v>152558.07879209117</v>
      </c>
    </row>
    <row r="4901" spans="2:2" ht="15.5" x14ac:dyDescent="0.35">
      <c r="B4901" s="853">
        <v>185549.37173964005</v>
      </c>
    </row>
    <row r="4902" spans="2:2" ht="15.5" x14ac:dyDescent="0.35">
      <c r="B4902" s="853">
        <v>144828.18298912773</v>
      </c>
    </row>
    <row r="4903" spans="2:2" ht="15.5" x14ac:dyDescent="0.35">
      <c r="B4903" s="853">
        <v>319518.65632392763</v>
      </c>
    </row>
    <row r="4904" spans="2:2" ht="15.5" x14ac:dyDescent="0.35">
      <c r="B4904" s="853">
        <v>40161.789726954114</v>
      </c>
    </row>
    <row r="4905" spans="2:2" ht="15.5" x14ac:dyDescent="0.35">
      <c r="B4905" s="853">
        <v>223949.40845574494</v>
      </c>
    </row>
    <row r="4906" spans="2:2" ht="15.5" x14ac:dyDescent="0.35">
      <c r="B4906" s="853">
        <v>129363.78969219781</v>
      </c>
    </row>
    <row r="4907" spans="2:2" ht="15.5" x14ac:dyDescent="0.35">
      <c r="B4907" s="853">
        <v>112070.68431952348</v>
      </c>
    </row>
    <row r="4908" spans="2:2" ht="15.5" x14ac:dyDescent="0.35">
      <c r="B4908" s="853">
        <v>384340.5025614021</v>
      </c>
    </row>
    <row r="4909" spans="2:2" ht="15.5" x14ac:dyDescent="0.35">
      <c r="B4909" s="853">
        <v>178274.66953674209</v>
      </c>
    </row>
    <row r="4910" spans="2:2" ht="15.5" x14ac:dyDescent="0.35">
      <c r="B4910" s="853">
        <v>293315.85997820628</v>
      </c>
    </row>
    <row r="4911" spans="2:2" ht="15.5" x14ac:dyDescent="0.35">
      <c r="B4911" s="853">
        <v>496768.2288248816</v>
      </c>
    </row>
    <row r="4912" spans="2:2" ht="15.5" x14ac:dyDescent="0.35">
      <c r="B4912" s="853">
        <v>511668.4059014247</v>
      </c>
    </row>
    <row r="4913" spans="2:2" ht="15.5" x14ac:dyDescent="0.35">
      <c r="B4913" s="853">
        <v>399720.4495376097</v>
      </c>
    </row>
    <row r="4914" spans="2:2" ht="15.5" x14ac:dyDescent="0.35">
      <c r="B4914" s="853">
        <v>149668.39899080369</v>
      </c>
    </row>
    <row r="4915" spans="2:2" ht="15.5" x14ac:dyDescent="0.35">
      <c r="B4915" s="853">
        <v>208067.63156385426</v>
      </c>
    </row>
    <row r="4916" spans="2:2" ht="15.5" x14ac:dyDescent="0.35">
      <c r="B4916" s="853">
        <v>352226.36112395779</v>
      </c>
    </row>
    <row r="4917" spans="2:2" ht="15.5" x14ac:dyDescent="0.35">
      <c r="B4917" s="853">
        <v>521539.16529058077</v>
      </c>
    </row>
    <row r="4918" spans="2:2" ht="15.5" x14ac:dyDescent="0.35">
      <c r="B4918" s="853">
        <v>286240.05999096337</v>
      </c>
    </row>
    <row r="4919" spans="2:2" ht="15.5" x14ac:dyDescent="0.35">
      <c r="B4919" s="853">
        <v>379078.24729686021</v>
      </c>
    </row>
    <row r="4920" spans="2:2" ht="15.5" x14ac:dyDescent="0.35">
      <c r="B4920" s="853">
        <v>375240.2034590618</v>
      </c>
    </row>
    <row r="4921" spans="2:2" ht="15.5" x14ac:dyDescent="0.35">
      <c r="B4921" s="853">
        <v>536494.12264241325</v>
      </c>
    </row>
    <row r="4922" spans="2:2" ht="15.5" x14ac:dyDescent="0.35">
      <c r="B4922" s="853">
        <v>300154.50234872627</v>
      </c>
    </row>
    <row r="4923" spans="2:2" ht="15.5" x14ac:dyDescent="0.35">
      <c r="B4923" s="853">
        <v>54489.220538395959</v>
      </c>
    </row>
    <row r="4924" spans="2:2" ht="15.5" x14ac:dyDescent="0.35">
      <c r="B4924" s="853">
        <v>350359.78593528562</v>
      </c>
    </row>
    <row r="4925" spans="2:2" ht="15.5" x14ac:dyDescent="0.35">
      <c r="B4925" s="853">
        <v>319675.38860756636</v>
      </c>
    </row>
    <row r="4926" spans="2:2" ht="15.5" x14ac:dyDescent="0.35">
      <c r="B4926" s="853">
        <v>407609.46542510361</v>
      </c>
    </row>
    <row r="4927" spans="2:2" ht="15.5" x14ac:dyDescent="0.35">
      <c r="B4927" s="853">
        <v>263049.67745734408</v>
      </c>
    </row>
    <row r="4928" spans="2:2" ht="15.5" x14ac:dyDescent="0.35">
      <c r="B4928" s="853">
        <v>407758.20675184752</v>
      </c>
    </row>
    <row r="4929" spans="2:2" ht="15.5" x14ac:dyDescent="0.35">
      <c r="B4929" s="853">
        <v>8002.5033359801382</v>
      </c>
    </row>
    <row r="4930" spans="2:2" ht="15.5" x14ac:dyDescent="0.35">
      <c r="B4930" s="853">
        <v>513050.36741040263</v>
      </c>
    </row>
    <row r="4931" spans="2:2" ht="15.5" x14ac:dyDescent="0.35">
      <c r="B4931" s="853">
        <v>442349.12557093409</v>
      </c>
    </row>
    <row r="4932" spans="2:2" ht="15.5" x14ac:dyDescent="0.35">
      <c r="B4932" s="853">
        <v>364400.4965309634</v>
      </c>
    </row>
    <row r="4933" spans="2:2" ht="15.5" x14ac:dyDescent="0.35">
      <c r="B4933" s="853">
        <v>191883.02960799253</v>
      </c>
    </row>
    <row r="4934" spans="2:2" ht="15.5" x14ac:dyDescent="0.35">
      <c r="B4934" s="853">
        <v>345599.74221979285</v>
      </c>
    </row>
    <row r="4935" spans="2:2" ht="15.5" x14ac:dyDescent="0.35">
      <c r="B4935" s="853">
        <v>386381.85766864446</v>
      </c>
    </row>
    <row r="4936" spans="2:2" ht="15.5" x14ac:dyDescent="0.35">
      <c r="B4936" s="853">
        <v>225694.74933695185</v>
      </c>
    </row>
    <row r="4937" spans="2:2" ht="15.5" x14ac:dyDescent="0.35">
      <c r="B4937" s="853">
        <v>104994.77211795888</v>
      </c>
    </row>
    <row r="4938" spans="2:2" ht="15.5" x14ac:dyDescent="0.35">
      <c r="B4938" s="853">
        <v>435704.68933111388</v>
      </c>
    </row>
    <row r="4939" spans="2:2" ht="15.5" x14ac:dyDescent="0.35">
      <c r="B4939" s="853">
        <v>411947.21732814657</v>
      </c>
    </row>
    <row r="4940" spans="2:2" ht="15.5" x14ac:dyDescent="0.35">
      <c r="B4940" s="853">
        <v>291791.87581890251</v>
      </c>
    </row>
    <row r="4941" spans="2:2" ht="15.5" x14ac:dyDescent="0.35">
      <c r="B4941" s="853">
        <v>395732.60250629118</v>
      </c>
    </row>
    <row r="4942" spans="2:2" ht="15.5" x14ac:dyDescent="0.35">
      <c r="B4942" s="853">
        <v>146164.42602053349</v>
      </c>
    </row>
    <row r="4943" spans="2:2" ht="15.5" x14ac:dyDescent="0.35">
      <c r="B4943" s="853">
        <v>265223.73746522912</v>
      </c>
    </row>
    <row r="4944" spans="2:2" ht="15.5" x14ac:dyDescent="0.35">
      <c r="B4944" s="853">
        <v>598683.10335267405</v>
      </c>
    </row>
    <row r="4945" spans="2:2" ht="15.5" x14ac:dyDescent="0.35">
      <c r="B4945" s="853">
        <v>349250.70290642645</v>
      </c>
    </row>
    <row r="4946" spans="2:2" ht="15.5" x14ac:dyDescent="0.35">
      <c r="B4946" s="853">
        <v>400480.63576651225</v>
      </c>
    </row>
    <row r="4947" spans="2:2" ht="15.5" x14ac:dyDescent="0.35">
      <c r="B4947" s="853">
        <v>87774.632574584044</v>
      </c>
    </row>
    <row r="4948" spans="2:2" ht="15.5" x14ac:dyDescent="0.35">
      <c r="B4948" s="853">
        <v>486989.90281968017</v>
      </c>
    </row>
    <row r="4949" spans="2:2" ht="15.5" x14ac:dyDescent="0.35">
      <c r="B4949" s="853">
        <v>161997.29670360303</v>
      </c>
    </row>
    <row r="4950" spans="2:2" ht="15.5" x14ac:dyDescent="0.35">
      <c r="B4950" s="853">
        <v>216699.76930084755</v>
      </c>
    </row>
    <row r="4951" spans="2:2" ht="15.5" x14ac:dyDescent="0.35">
      <c r="B4951" s="853">
        <v>365885.68124069594</v>
      </c>
    </row>
    <row r="4952" spans="2:2" ht="15.5" x14ac:dyDescent="0.35">
      <c r="B4952" s="853">
        <v>136065.45811674697</v>
      </c>
    </row>
    <row r="4953" spans="2:2" ht="15.5" x14ac:dyDescent="0.35">
      <c r="B4953" s="853">
        <v>208878.84799818465</v>
      </c>
    </row>
    <row r="4954" spans="2:2" ht="15.5" x14ac:dyDescent="0.35">
      <c r="B4954" s="853">
        <v>287747.91993236</v>
      </c>
    </row>
    <row r="4955" spans="2:2" ht="15.5" x14ac:dyDescent="0.35">
      <c r="B4955" s="853">
        <v>311085.45502465317</v>
      </c>
    </row>
    <row r="4956" spans="2:2" ht="15.5" x14ac:dyDescent="0.35">
      <c r="B4956" s="853">
        <v>395693.67630396783</v>
      </c>
    </row>
    <row r="4957" spans="2:2" ht="15.5" x14ac:dyDescent="0.35">
      <c r="B4957" s="853">
        <v>144533.59670056187</v>
      </c>
    </row>
    <row r="4958" spans="2:2" ht="15.5" x14ac:dyDescent="0.35">
      <c r="B4958" s="853">
        <v>356563.30907743121</v>
      </c>
    </row>
    <row r="4959" spans="2:2" ht="15.5" x14ac:dyDescent="0.35">
      <c r="B4959" s="853">
        <v>54154.896126536158</v>
      </c>
    </row>
    <row r="4960" spans="2:2" ht="15.5" x14ac:dyDescent="0.35">
      <c r="B4960" s="853">
        <v>56037.218236025859</v>
      </c>
    </row>
    <row r="4961" spans="2:2" ht="15.5" x14ac:dyDescent="0.35">
      <c r="B4961" s="853">
        <v>300192.90747200954</v>
      </c>
    </row>
    <row r="4962" spans="2:2" ht="15.5" x14ac:dyDescent="0.35">
      <c r="B4962" s="853">
        <v>200794.00813801095</v>
      </c>
    </row>
    <row r="4963" spans="2:2" ht="15.5" x14ac:dyDescent="0.35">
      <c r="B4963" s="853">
        <v>383066.55402422155</v>
      </c>
    </row>
    <row r="4964" spans="2:2" ht="15.5" x14ac:dyDescent="0.35">
      <c r="B4964" s="853">
        <v>221713.30198618336</v>
      </c>
    </row>
    <row r="4965" spans="2:2" ht="15.5" x14ac:dyDescent="0.35">
      <c r="B4965" s="853">
        <v>482538.40445373883</v>
      </c>
    </row>
    <row r="4966" spans="2:2" ht="15.5" x14ac:dyDescent="0.35">
      <c r="B4966" s="853">
        <v>190873.71226168203</v>
      </c>
    </row>
    <row r="4967" spans="2:2" ht="15.5" x14ac:dyDescent="0.35">
      <c r="B4967" s="853">
        <v>403233.75388151105</v>
      </c>
    </row>
    <row r="4968" spans="2:2" ht="15.5" x14ac:dyDescent="0.35">
      <c r="B4968" s="853">
        <v>631007.9825172734</v>
      </c>
    </row>
    <row r="4969" spans="2:2" ht="15.5" x14ac:dyDescent="0.35">
      <c r="B4969" s="853">
        <v>183342.5852212547</v>
      </c>
    </row>
    <row r="4970" spans="2:2" ht="15.5" x14ac:dyDescent="0.35">
      <c r="B4970" s="853">
        <v>249115.91760161438</v>
      </c>
    </row>
    <row r="4971" spans="2:2" ht="15.5" x14ac:dyDescent="0.35">
      <c r="B4971" s="853">
        <v>666379.5140047007</v>
      </c>
    </row>
    <row r="4972" spans="2:2" ht="15.5" x14ac:dyDescent="0.35">
      <c r="B4972" s="853">
        <v>129174.569624144</v>
      </c>
    </row>
    <row r="4973" spans="2:2" ht="15.5" x14ac:dyDescent="0.35">
      <c r="B4973" s="853">
        <v>411710.19273633271</v>
      </c>
    </row>
    <row r="4974" spans="2:2" ht="15.5" x14ac:dyDescent="0.35">
      <c r="B4974" s="853">
        <v>258961.39172410537</v>
      </c>
    </row>
    <row r="4975" spans="2:2" ht="15.5" x14ac:dyDescent="0.35">
      <c r="B4975" s="853">
        <v>321408.47490525094</v>
      </c>
    </row>
    <row r="4976" spans="2:2" ht="15.5" x14ac:dyDescent="0.35">
      <c r="B4976" s="853">
        <v>608673.8657983467</v>
      </c>
    </row>
    <row r="4977" spans="2:2" ht="15.5" x14ac:dyDescent="0.35">
      <c r="B4977" s="853">
        <v>381925.32668447791</v>
      </c>
    </row>
    <row r="4978" spans="2:2" ht="15.5" x14ac:dyDescent="0.35">
      <c r="B4978" s="853">
        <v>250010.02258006259</v>
      </c>
    </row>
    <row r="4979" spans="2:2" ht="15.5" x14ac:dyDescent="0.35">
      <c r="B4979" s="853">
        <v>373918.55063628772</v>
      </c>
    </row>
    <row r="4980" spans="2:2" ht="15.5" x14ac:dyDescent="0.35">
      <c r="B4980" s="853">
        <v>106138.57390855113</v>
      </c>
    </row>
    <row r="4981" spans="2:2" ht="15.5" x14ac:dyDescent="0.35">
      <c r="B4981" s="853">
        <v>524398.57454266679</v>
      </c>
    </row>
    <row r="4982" spans="2:2" ht="15.5" x14ac:dyDescent="0.35">
      <c r="B4982" s="853">
        <v>439496.3334216472</v>
      </c>
    </row>
    <row r="4983" spans="2:2" ht="15.5" x14ac:dyDescent="0.35">
      <c r="B4983" s="853">
        <v>251319.96623288057</v>
      </c>
    </row>
    <row r="4984" spans="2:2" ht="15.5" x14ac:dyDescent="0.35">
      <c r="B4984" s="853">
        <v>440834.34515470179</v>
      </c>
    </row>
    <row r="4985" spans="2:2" ht="15.5" x14ac:dyDescent="0.35">
      <c r="B4985" s="853">
        <v>308186.87812462205</v>
      </c>
    </row>
    <row r="4986" spans="2:2" ht="15.5" x14ac:dyDescent="0.35">
      <c r="B4986" s="853">
        <v>481453.55615127354</v>
      </c>
    </row>
    <row r="4987" spans="2:2" ht="15.5" x14ac:dyDescent="0.35">
      <c r="B4987" s="853">
        <v>477059.2028115936</v>
      </c>
    </row>
    <row r="4988" spans="2:2" ht="15.5" x14ac:dyDescent="0.35">
      <c r="B4988" s="853">
        <v>259491.74410702332</v>
      </c>
    </row>
    <row r="4989" spans="2:2" ht="15.5" x14ac:dyDescent="0.35">
      <c r="B4989" s="853">
        <v>428731.05776174733</v>
      </c>
    </row>
    <row r="4990" spans="2:2" ht="15.5" x14ac:dyDescent="0.35">
      <c r="B4990" s="853">
        <v>107915.78540800985</v>
      </c>
    </row>
    <row r="4991" spans="2:2" ht="15.5" x14ac:dyDescent="0.35">
      <c r="B4991" s="853">
        <v>430770.68339194969</v>
      </c>
    </row>
    <row r="4992" spans="2:2" ht="15.5" x14ac:dyDescent="0.35">
      <c r="B4992" s="853">
        <v>6386.5482090406767</v>
      </c>
    </row>
    <row r="4993" spans="2:2" ht="15.5" x14ac:dyDescent="0.35">
      <c r="B4993" s="853">
        <v>186312.97838465183</v>
      </c>
    </row>
    <row r="4994" spans="2:2" ht="15.5" x14ac:dyDescent="0.35">
      <c r="B4994" s="853">
        <v>390693.58860707271</v>
      </c>
    </row>
    <row r="4995" spans="2:2" ht="15.5" x14ac:dyDescent="0.35">
      <c r="B4995" s="853">
        <v>205079.67361992868</v>
      </c>
    </row>
    <row r="4996" spans="2:2" ht="15.5" x14ac:dyDescent="0.35">
      <c r="B4996" s="853">
        <v>423337.17697001999</v>
      </c>
    </row>
    <row r="4997" spans="2:2" ht="15.5" x14ac:dyDescent="0.35">
      <c r="B4997" s="853">
        <v>72750.007653328212</v>
      </c>
    </row>
    <row r="4998" spans="2:2" ht="15.5" x14ac:dyDescent="0.35">
      <c r="B4998" s="853">
        <v>580862.06048993312</v>
      </c>
    </row>
    <row r="4999" spans="2:2" ht="15.5" x14ac:dyDescent="0.35">
      <c r="B4999" s="853">
        <v>350210.17736536131</v>
      </c>
    </row>
    <row r="5000" spans="2:2" ht="15.5" x14ac:dyDescent="0.35">
      <c r="B5000" s="853">
        <v>179098.24905442019</v>
      </c>
    </row>
    <row r="5001" spans="2:2" ht="15.5" x14ac:dyDescent="0.35">
      <c r="B5001" s="853">
        <v>287614.73827834672</v>
      </c>
    </row>
    <row r="5002" spans="2:2" ht="15.5" x14ac:dyDescent="0.35">
      <c r="B5002" s="853">
        <v>345767.86393978697</v>
      </c>
    </row>
    <row r="5003" spans="2:2" ht="15.5" x14ac:dyDescent="0.35">
      <c r="B5003" s="853">
        <v>278659.89216288691</v>
      </c>
    </row>
    <row r="5004" spans="2:2" ht="15.5" x14ac:dyDescent="0.35">
      <c r="B5004" s="853">
        <v>433325.19306930999</v>
      </c>
    </row>
    <row r="5005" spans="2:2" ht="15.5" x14ac:dyDescent="0.35">
      <c r="B5005" s="853">
        <v>175429.9617721969</v>
      </c>
    </row>
    <row r="5006" spans="2:2" ht="15.5" x14ac:dyDescent="0.35">
      <c r="B5006" s="853">
        <v>257117.42419611916</v>
      </c>
    </row>
    <row r="5007" spans="2:2" ht="15.5" x14ac:dyDescent="0.35">
      <c r="B5007" s="853">
        <v>12153.644738980545</v>
      </c>
    </row>
    <row r="5008" spans="2:2" ht="15.5" x14ac:dyDescent="0.35">
      <c r="B5008" s="853">
        <v>154709.71145440816</v>
      </c>
    </row>
    <row r="5009" spans="2:2" ht="15.5" x14ac:dyDescent="0.35">
      <c r="B5009" s="853">
        <v>502782.24975104677</v>
      </c>
    </row>
    <row r="5010" spans="2:2" ht="15.5" x14ac:dyDescent="0.35">
      <c r="B5010" s="853">
        <v>295154.92251603253</v>
      </c>
    </row>
    <row r="5011" spans="2:2" ht="15.5" x14ac:dyDescent="0.35">
      <c r="B5011" s="853">
        <v>248062.30975772874</v>
      </c>
    </row>
    <row r="5012" spans="2:2" ht="15.5" x14ac:dyDescent="0.35">
      <c r="B5012" s="853">
        <v>389997.05207506649</v>
      </c>
    </row>
    <row r="5013" spans="2:2" ht="15.5" x14ac:dyDescent="0.35">
      <c r="B5013" s="853">
        <v>-109267.64714352562</v>
      </c>
    </row>
    <row r="5014" spans="2:2" ht="15.5" x14ac:dyDescent="0.35">
      <c r="B5014" s="853">
        <v>354331.49995488743</v>
      </c>
    </row>
    <row r="5015" spans="2:2" ht="15.5" x14ac:dyDescent="0.35">
      <c r="B5015" s="853">
        <v>534846.81370732188</v>
      </c>
    </row>
    <row r="5016" spans="2:2" ht="15.5" x14ac:dyDescent="0.35">
      <c r="B5016" s="853">
        <v>197220.02051047378</v>
      </c>
    </row>
    <row r="5017" spans="2:2" ht="15.5" x14ac:dyDescent="0.35">
      <c r="B5017" s="853">
        <v>128246.4284166055</v>
      </c>
    </row>
    <row r="5018" spans="2:2" ht="15.5" x14ac:dyDescent="0.35">
      <c r="B5018" s="853">
        <v>169905.8431029575</v>
      </c>
    </row>
    <row r="5019" spans="2:2" ht="15.5" x14ac:dyDescent="0.35">
      <c r="B5019" s="853">
        <v>368751.08545064233</v>
      </c>
    </row>
    <row r="5020" spans="2:2" ht="15.5" x14ac:dyDescent="0.35">
      <c r="B5020" s="853">
        <v>374679.35187900008</v>
      </c>
    </row>
    <row r="5021" spans="2:2" ht="15.5" x14ac:dyDescent="0.35">
      <c r="B5021" s="853">
        <v>540670.08689976053</v>
      </c>
    </row>
    <row r="5022" spans="2:2" ht="15.5" x14ac:dyDescent="0.35">
      <c r="B5022" s="853">
        <v>204347.16337821196</v>
      </c>
    </row>
    <row r="5023" spans="2:2" ht="15.5" x14ac:dyDescent="0.35">
      <c r="B5023" s="853">
        <v>417487.15764784603</v>
      </c>
    </row>
    <row r="5024" spans="2:2" ht="15.5" x14ac:dyDescent="0.35">
      <c r="B5024" s="853">
        <v>476287.20634484442</v>
      </c>
    </row>
    <row r="5025" spans="2:2" ht="15.5" x14ac:dyDescent="0.35">
      <c r="B5025" s="853">
        <v>197318.33350647811</v>
      </c>
    </row>
    <row r="5026" spans="2:2" ht="15.5" x14ac:dyDescent="0.35">
      <c r="B5026" s="853">
        <v>247755.47931116432</v>
      </c>
    </row>
    <row r="5027" spans="2:2" ht="15.5" x14ac:dyDescent="0.35">
      <c r="B5027" s="853">
        <v>453407.99695469736</v>
      </c>
    </row>
    <row r="5028" spans="2:2" ht="15.5" x14ac:dyDescent="0.35">
      <c r="B5028" s="853">
        <v>412282.05320189649</v>
      </c>
    </row>
    <row r="5029" spans="2:2" ht="15.5" x14ac:dyDescent="0.35">
      <c r="B5029" s="853">
        <v>195833.4520014365</v>
      </c>
    </row>
    <row r="5030" spans="2:2" ht="15.5" x14ac:dyDescent="0.35">
      <c r="B5030" s="853">
        <v>279520.69406455557</v>
      </c>
    </row>
    <row r="5031" spans="2:2" ht="15.5" x14ac:dyDescent="0.35">
      <c r="B5031" s="853">
        <v>288825.37394413474</v>
      </c>
    </row>
    <row r="5032" spans="2:2" ht="15.5" x14ac:dyDescent="0.35">
      <c r="B5032" s="853">
        <v>305218.0891264216</v>
      </c>
    </row>
    <row r="5033" spans="2:2" ht="15.5" x14ac:dyDescent="0.35">
      <c r="B5033" s="853">
        <v>383658.46446842892</v>
      </c>
    </row>
    <row r="5034" spans="2:2" ht="15.5" x14ac:dyDescent="0.35">
      <c r="B5034" s="853">
        <v>141555.31297067757</v>
      </c>
    </row>
    <row r="5035" spans="2:2" ht="15.5" x14ac:dyDescent="0.35">
      <c r="B5035" s="853">
        <v>253880.95635516336</v>
      </c>
    </row>
    <row r="5036" spans="2:2" ht="15.5" x14ac:dyDescent="0.35">
      <c r="B5036" s="853">
        <v>284895.34654729033</v>
      </c>
    </row>
    <row r="5037" spans="2:2" ht="15.5" x14ac:dyDescent="0.35">
      <c r="B5037" s="853">
        <v>536607.49000725662</v>
      </c>
    </row>
    <row r="5038" spans="2:2" ht="15.5" x14ac:dyDescent="0.35">
      <c r="B5038" s="853">
        <v>324709.5260923747</v>
      </c>
    </row>
    <row r="5039" spans="2:2" ht="15.5" x14ac:dyDescent="0.35">
      <c r="B5039" s="853">
        <v>272381.141987045</v>
      </c>
    </row>
    <row r="5040" spans="2:2" ht="15.5" x14ac:dyDescent="0.35">
      <c r="B5040" s="853">
        <v>244619.49290678694</v>
      </c>
    </row>
    <row r="5041" spans="2:2" ht="15.5" x14ac:dyDescent="0.35">
      <c r="B5041" s="853">
        <v>309093.95238369913</v>
      </c>
    </row>
    <row r="5042" spans="2:2" ht="15.5" x14ac:dyDescent="0.35">
      <c r="B5042" s="853">
        <v>75679.034132547749</v>
      </c>
    </row>
    <row r="5043" spans="2:2" ht="15.5" x14ac:dyDescent="0.35">
      <c r="B5043" s="853">
        <v>44638.258064666465</v>
      </c>
    </row>
    <row r="5044" spans="2:2" ht="15.5" x14ac:dyDescent="0.35">
      <c r="B5044" s="853">
        <v>343442.72198858653</v>
      </c>
    </row>
    <row r="5045" spans="2:2" ht="15.5" x14ac:dyDescent="0.35">
      <c r="B5045" s="853">
        <v>432976.13096306211</v>
      </c>
    </row>
    <row r="5046" spans="2:2" ht="15.5" x14ac:dyDescent="0.35">
      <c r="B5046" s="853">
        <v>451922.37546083081</v>
      </c>
    </row>
    <row r="5047" spans="2:2" ht="15.5" x14ac:dyDescent="0.35">
      <c r="B5047" s="853">
        <v>-4926.8466356609324</v>
      </c>
    </row>
    <row r="5048" spans="2:2" ht="15.5" x14ac:dyDescent="0.35">
      <c r="B5048" s="853">
        <v>416017.52016144135</v>
      </c>
    </row>
    <row r="5049" spans="2:2" ht="15.5" x14ac:dyDescent="0.35">
      <c r="B5049" s="853">
        <v>162741.18263156418</v>
      </c>
    </row>
    <row r="5050" spans="2:2" ht="15.5" x14ac:dyDescent="0.35">
      <c r="B5050" s="853">
        <v>479860.60848742368</v>
      </c>
    </row>
    <row r="5051" spans="2:2" ht="15.5" x14ac:dyDescent="0.35">
      <c r="B5051" s="853">
        <v>510234.55507440894</v>
      </c>
    </row>
    <row r="5052" spans="2:2" ht="15.5" x14ac:dyDescent="0.35">
      <c r="B5052" s="853">
        <v>379683.90851624653</v>
      </c>
    </row>
    <row r="5053" spans="2:2" ht="15.5" x14ac:dyDescent="0.35">
      <c r="B5053" s="853">
        <v>482765.60895364574</v>
      </c>
    </row>
    <row r="5054" spans="2:2" ht="15.5" x14ac:dyDescent="0.35">
      <c r="B5054" s="853">
        <v>274606.0157132438</v>
      </c>
    </row>
    <row r="5055" spans="2:2" ht="15.5" x14ac:dyDescent="0.35">
      <c r="B5055" s="853">
        <v>656140.08518153185</v>
      </c>
    </row>
    <row r="5056" spans="2:2" ht="15.5" x14ac:dyDescent="0.35">
      <c r="B5056" s="853">
        <v>263026.03365576739</v>
      </c>
    </row>
    <row r="5057" spans="2:2" ht="15.5" x14ac:dyDescent="0.35">
      <c r="B5057" s="853">
        <v>90119.262371177989</v>
      </c>
    </row>
    <row r="5058" spans="2:2" ht="15.5" x14ac:dyDescent="0.35">
      <c r="B5058" s="853">
        <v>305408.59508366516</v>
      </c>
    </row>
    <row r="5059" spans="2:2" ht="15.5" x14ac:dyDescent="0.35">
      <c r="B5059" s="853">
        <v>254156.05635034436</v>
      </c>
    </row>
    <row r="5060" spans="2:2" ht="15.5" x14ac:dyDescent="0.35">
      <c r="B5060" s="853">
        <v>126334.07256142129</v>
      </c>
    </row>
    <row r="5061" spans="2:2" ht="15.5" x14ac:dyDescent="0.35">
      <c r="B5061" s="853">
        <v>337086.14567238971</v>
      </c>
    </row>
    <row r="5062" spans="2:2" ht="15.5" x14ac:dyDescent="0.35">
      <c r="B5062" s="853">
        <v>327916.66910418478</v>
      </c>
    </row>
    <row r="5063" spans="2:2" ht="15.5" x14ac:dyDescent="0.35">
      <c r="B5063" s="853">
        <v>311005.60970046726</v>
      </c>
    </row>
    <row r="5064" spans="2:2" ht="15.5" x14ac:dyDescent="0.35">
      <c r="B5064" s="853">
        <v>396656.58962462697</v>
      </c>
    </row>
    <row r="5065" spans="2:2" ht="15.5" x14ac:dyDescent="0.35">
      <c r="B5065" s="853">
        <v>99875.654941228728</v>
      </c>
    </row>
    <row r="5066" spans="2:2" ht="15.5" x14ac:dyDescent="0.35">
      <c r="B5066" s="853">
        <v>350595.91485715023</v>
      </c>
    </row>
    <row r="5067" spans="2:2" ht="15.5" x14ac:dyDescent="0.35">
      <c r="B5067" s="853">
        <v>562989.88416830997</v>
      </c>
    </row>
    <row r="5068" spans="2:2" ht="15.5" x14ac:dyDescent="0.35">
      <c r="B5068" s="853">
        <v>512141.18908334849</v>
      </c>
    </row>
    <row r="5069" spans="2:2" ht="15.5" x14ac:dyDescent="0.35">
      <c r="B5069" s="853">
        <v>295427.6689562336</v>
      </c>
    </row>
    <row r="5070" spans="2:2" ht="15.5" x14ac:dyDescent="0.35">
      <c r="B5070" s="853">
        <v>216228.26032089125</v>
      </c>
    </row>
    <row r="5071" spans="2:2" ht="15.5" x14ac:dyDescent="0.35">
      <c r="B5071" s="853">
        <v>160579.36495301034</v>
      </c>
    </row>
    <row r="5072" spans="2:2" ht="15.5" x14ac:dyDescent="0.35">
      <c r="B5072" s="853">
        <v>352619.83662371739</v>
      </c>
    </row>
    <row r="5073" spans="2:2" ht="15.5" x14ac:dyDescent="0.35">
      <c r="B5073" s="853">
        <v>301826.80578420137</v>
      </c>
    </row>
    <row r="5074" spans="2:2" ht="15.5" x14ac:dyDescent="0.35">
      <c r="B5074" s="853">
        <v>316590.0461176149</v>
      </c>
    </row>
    <row r="5075" spans="2:2" ht="15.5" x14ac:dyDescent="0.35">
      <c r="B5075" s="853">
        <v>395622.13629823527</v>
      </c>
    </row>
    <row r="5076" spans="2:2" ht="15.5" x14ac:dyDescent="0.35">
      <c r="B5076" s="853">
        <v>426268.60894085676</v>
      </c>
    </row>
    <row r="5077" spans="2:2" ht="15.5" x14ac:dyDescent="0.35">
      <c r="B5077" s="853">
        <v>359632.97711124195</v>
      </c>
    </row>
    <row r="5078" spans="2:2" ht="15.5" x14ac:dyDescent="0.35">
      <c r="B5078" s="853">
        <v>415520.65490993403</v>
      </c>
    </row>
    <row r="5079" spans="2:2" ht="15.5" x14ac:dyDescent="0.35">
      <c r="B5079" s="853">
        <v>509790.68585198023</v>
      </c>
    </row>
    <row r="5080" spans="2:2" ht="15.5" x14ac:dyDescent="0.35">
      <c r="B5080" s="853">
        <v>315294.79202676925</v>
      </c>
    </row>
    <row r="5081" spans="2:2" ht="15.5" x14ac:dyDescent="0.35">
      <c r="B5081" s="853">
        <v>267812.83611438639</v>
      </c>
    </row>
    <row r="5082" spans="2:2" ht="15.5" x14ac:dyDescent="0.35">
      <c r="B5082" s="853">
        <v>85236.619327637702</v>
      </c>
    </row>
    <row r="5083" spans="2:2" ht="15.5" x14ac:dyDescent="0.35">
      <c r="B5083" s="853">
        <v>364814.15932230646</v>
      </c>
    </row>
    <row r="5084" spans="2:2" ht="15.5" x14ac:dyDescent="0.35">
      <c r="B5084" s="853">
        <v>318087.45244963432</v>
      </c>
    </row>
    <row r="5085" spans="2:2" ht="15.5" x14ac:dyDescent="0.35">
      <c r="B5085" s="853">
        <v>2021.7982961629775</v>
      </c>
    </row>
    <row r="5086" spans="2:2" ht="15.5" x14ac:dyDescent="0.35">
      <c r="B5086" s="853">
        <v>427194.93724124978</v>
      </c>
    </row>
    <row r="5087" spans="2:2" ht="15.5" x14ac:dyDescent="0.35">
      <c r="B5087" s="853">
        <v>182272.21463711516</v>
      </c>
    </row>
    <row r="5088" spans="2:2" ht="15.5" x14ac:dyDescent="0.35">
      <c r="B5088" s="853">
        <v>228737.3231521275</v>
      </c>
    </row>
    <row r="5089" spans="2:2" ht="15.5" x14ac:dyDescent="0.35">
      <c r="B5089" s="853">
        <v>124164.29019403846</v>
      </c>
    </row>
    <row r="5090" spans="2:2" ht="15.5" x14ac:dyDescent="0.35">
      <c r="B5090" s="853">
        <v>384919.01297614735</v>
      </c>
    </row>
    <row r="5091" spans="2:2" ht="15.5" x14ac:dyDescent="0.35">
      <c r="B5091" s="853">
        <v>559697.83999405685</v>
      </c>
    </row>
    <row r="5092" spans="2:2" ht="15.5" x14ac:dyDescent="0.35">
      <c r="B5092" s="853">
        <v>419515.57159509603</v>
      </c>
    </row>
    <row r="5093" spans="2:2" ht="15.5" x14ac:dyDescent="0.35">
      <c r="B5093" s="853">
        <v>142429.440576102</v>
      </c>
    </row>
    <row r="5094" spans="2:2" ht="15.5" x14ac:dyDescent="0.35">
      <c r="B5094" s="853">
        <v>220337.85812443856</v>
      </c>
    </row>
    <row r="5095" spans="2:2" ht="15.5" x14ac:dyDescent="0.35">
      <c r="B5095" s="853">
        <v>348188.59670001391</v>
      </c>
    </row>
    <row r="5096" spans="2:2" ht="15.5" x14ac:dyDescent="0.35">
      <c r="B5096" s="853">
        <v>318501.0366587257</v>
      </c>
    </row>
    <row r="5097" spans="2:2" ht="15.5" x14ac:dyDescent="0.35">
      <c r="B5097" s="853">
        <v>92699.58239417155</v>
      </c>
    </row>
    <row r="5098" spans="2:2" ht="15.5" x14ac:dyDescent="0.35">
      <c r="B5098" s="853">
        <v>304890.52510635322</v>
      </c>
    </row>
    <row r="5099" spans="2:2" ht="15.5" x14ac:dyDescent="0.35">
      <c r="B5099" s="853">
        <v>285492.96612075064</v>
      </c>
    </row>
    <row r="5100" spans="2:2" ht="15.5" x14ac:dyDescent="0.35">
      <c r="B5100" s="853">
        <v>537639.07299087022</v>
      </c>
    </row>
    <row r="5101" spans="2:2" ht="15.5" x14ac:dyDescent="0.35">
      <c r="B5101" s="853">
        <v>403864.16380789824</v>
      </c>
    </row>
    <row r="5102" spans="2:2" ht="15.5" x14ac:dyDescent="0.35">
      <c r="B5102" s="853">
        <v>212069.26505857598</v>
      </c>
    </row>
    <row r="5103" spans="2:2" ht="15.5" x14ac:dyDescent="0.35">
      <c r="B5103" s="853">
        <v>332482.81143902102</v>
      </c>
    </row>
    <row r="5104" spans="2:2" ht="15.5" x14ac:dyDescent="0.35">
      <c r="B5104" s="853">
        <v>98532.800364400246</v>
      </c>
    </row>
    <row r="5105" spans="2:2" ht="15.5" x14ac:dyDescent="0.35">
      <c r="B5105" s="853">
        <v>192795.43859375932</v>
      </c>
    </row>
    <row r="5106" spans="2:2" ht="15.5" x14ac:dyDescent="0.35">
      <c r="B5106" s="853">
        <v>337992.70639181748</v>
      </c>
    </row>
    <row r="5107" spans="2:2" ht="15.5" x14ac:dyDescent="0.35">
      <c r="B5107" s="853">
        <v>406937.72460054554</v>
      </c>
    </row>
    <row r="5108" spans="2:2" ht="15.5" x14ac:dyDescent="0.35">
      <c r="B5108" s="853">
        <v>269979.30411876063</v>
      </c>
    </row>
    <row r="5109" spans="2:2" ht="15.5" x14ac:dyDescent="0.35">
      <c r="B5109" s="853">
        <v>106803.63668833232</v>
      </c>
    </row>
    <row r="5110" spans="2:2" ht="15.5" x14ac:dyDescent="0.35">
      <c r="B5110" s="853">
        <v>222703.88615270416</v>
      </c>
    </row>
    <row r="5111" spans="2:2" ht="15.5" x14ac:dyDescent="0.35">
      <c r="B5111" s="853">
        <v>430783.9362905614</v>
      </c>
    </row>
    <row r="5112" spans="2:2" ht="15.5" x14ac:dyDescent="0.35">
      <c r="B5112" s="853">
        <v>257038.99649347219</v>
      </c>
    </row>
    <row r="5113" spans="2:2" ht="15.5" x14ac:dyDescent="0.35">
      <c r="B5113" s="853">
        <v>528545.26151871704</v>
      </c>
    </row>
    <row r="5114" spans="2:2" ht="15.5" x14ac:dyDescent="0.35">
      <c r="B5114" s="853">
        <v>135464.62439744556</v>
      </c>
    </row>
    <row r="5115" spans="2:2" ht="15.5" x14ac:dyDescent="0.35">
      <c r="B5115" s="853">
        <v>273674.93475690752</v>
      </c>
    </row>
    <row r="5116" spans="2:2" ht="15.5" x14ac:dyDescent="0.35">
      <c r="B5116" s="853">
        <v>319960.66914248851</v>
      </c>
    </row>
    <row r="5117" spans="2:2" ht="15.5" x14ac:dyDescent="0.35">
      <c r="B5117" s="853">
        <v>159349.97515875858</v>
      </c>
    </row>
    <row r="5118" spans="2:2" ht="15.5" x14ac:dyDescent="0.35">
      <c r="B5118" s="853">
        <v>359843.22861265327</v>
      </c>
    </row>
    <row r="5119" spans="2:2" ht="15.5" x14ac:dyDescent="0.35">
      <c r="B5119" s="853">
        <v>43907.2566635525</v>
      </c>
    </row>
    <row r="5120" spans="2:2" ht="15.5" x14ac:dyDescent="0.35">
      <c r="B5120" s="853">
        <v>415176.78948254086</v>
      </c>
    </row>
    <row r="5121" spans="2:2" ht="15.5" x14ac:dyDescent="0.35">
      <c r="B5121" s="853">
        <v>221013.66798276422</v>
      </c>
    </row>
    <row r="5122" spans="2:2" ht="15.5" x14ac:dyDescent="0.35">
      <c r="B5122" s="853">
        <v>674820.40328883601</v>
      </c>
    </row>
    <row r="5123" spans="2:2" ht="15.5" x14ac:dyDescent="0.35">
      <c r="B5123" s="853">
        <v>447041.48824844795</v>
      </c>
    </row>
    <row r="5124" spans="2:2" ht="15.5" x14ac:dyDescent="0.35">
      <c r="B5124" s="853">
        <v>171218.92740298214</v>
      </c>
    </row>
    <row r="5125" spans="2:2" ht="15.5" x14ac:dyDescent="0.35">
      <c r="B5125" s="853">
        <v>276906.09177247301</v>
      </c>
    </row>
    <row r="5126" spans="2:2" ht="15.5" x14ac:dyDescent="0.35">
      <c r="B5126" s="853">
        <v>-60577.924578042126</v>
      </c>
    </row>
    <row r="5127" spans="2:2" ht="15.5" x14ac:dyDescent="0.35">
      <c r="B5127" s="853">
        <v>513721.6445831139</v>
      </c>
    </row>
    <row r="5128" spans="2:2" ht="15.5" x14ac:dyDescent="0.35">
      <c r="B5128" s="853">
        <v>419123.21285248408</v>
      </c>
    </row>
    <row r="5129" spans="2:2" ht="15.5" x14ac:dyDescent="0.35">
      <c r="B5129" s="853">
        <v>91919.399218741091</v>
      </c>
    </row>
    <row r="5130" spans="2:2" ht="15.5" x14ac:dyDescent="0.35">
      <c r="B5130" s="853">
        <v>197118.1343110262</v>
      </c>
    </row>
    <row r="5131" spans="2:2" ht="15.5" x14ac:dyDescent="0.35">
      <c r="B5131" s="853">
        <v>254024.97094765975</v>
      </c>
    </row>
    <row r="5132" spans="2:2" ht="15.5" x14ac:dyDescent="0.35">
      <c r="B5132" s="853">
        <v>269858.0597739768</v>
      </c>
    </row>
    <row r="5133" spans="2:2" ht="15.5" x14ac:dyDescent="0.35">
      <c r="B5133" s="853">
        <v>254241.65653746226</v>
      </c>
    </row>
    <row r="5134" spans="2:2" ht="15.5" x14ac:dyDescent="0.35">
      <c r="B5134" s="853">
        <v>222239.96458422858</v>
      </c>
    </row>
    <row r="5135" spans="2:2" ht="15.5" x14ac:dyDescent="0.35">
      <c r="B5135" s="853">
        <v>451958.82539301767</v>
      </c>
    </row>
    <row r="5136" spans="2:2" ht="15.5" x14ac:dyDescent="0.35">
      <c r="B5136" s="853">
        <v>685288.89533002151</v>
      </c>
    </row>
    <row r="5137" spans="2:2" ht="15.5" x14ac:dyDescent="0.35">
      <c r="B5137" s="853">
        <v>118246.99299314817</v>
      </c>
    </row>
    <row r="5138" spans="2:2" ht="15.5" x14ac:dyDescent="0.35">
      <c r="B5138" s="853">
        <v>499134.69944001694</v>
      </c>
    </row>
    <row r="5139" spans="2:2" ht="15.5" x14ac:dyDescent="0.35">
      <c r="B5139" s="853">
        <v>446291.43533528113</v>
      </c>
    </row>
    <row r="5140" spans="2:2" ht="15.5" x14ac:dyDescent="0.35">
      <c r="B5140" s="853">
        <v>358455.95734127087</v>
      </c>
    </row>
    <row r="5141" spans="2:2" ht="15.5" x14ac:dyDescent="0.35">
      <c r="B5141" s="853">
        <v>137674.09264932005</v>
      </c>
    </row>
    <row r="5142" spans="2:2" ht="15.5" x14ac:dyDescent="0.35">
      <c r="B5142" s="853">
        <v>501175.57229236991</v>
      </c>
    </row>
    <row r="5143" spans="2:2" ht="15.5" x14ac:dyDescent="0.35">
      <c r="B5143" s="853">
        <v>261723.7042860644</v>
      </c>
    </row>
    <row r="5144" spans="2:2" ht="15.5" x14ac:dyDescent="0.35">
      <c r="B5144" s="853">
        <v>576484.95025910542</v>
      </c>
    </row>
    <row r="5145" spans="2:2" ht="15.5" x14ac:dyDescent="0.35">
      <c r="B5145" s="853">
        <v>155986.63560666179</v>
      </c>
    </row>
    <row r="5146" spans="2:2" ht="15.5" x14ac:dyDescent="0.35">
      <c r="B5146" s="853">
        <v>428997.20822698198</v>
      </c>
    </row>
    <row r="5147" spans="2:2" ht="15.5" x14ac:dyDescent="0.35">
      <c r="B5147" s="853">
        <v>502087.19199678034</v>
      </c>
    </row>
    <row r="5148" spans="2:2" ht="15.5" x14ac:dyDescent="0.35">
      <c r="B5148" s="853">
        <v>418923.6596909744</v>
      </c>
    </row>
    <row r="5149" spans="2:2" ht="15.5" x14ac:dyDescent="0.35">
      <c r="B5149" s="853">
        <v>300298.62067482888</v>
      </c>
    </row>
    <row r="5150" spans="2:2" ht="15.5" x14ac:dyDescent="0.35">
      <c r="B5150" s="853">
        <v>540089.57909258094</v>
      </c>
    </row>
    <row r="5151" spans="2:2" ht="15.5" x14ac:dyDescent="0.35">
      <c r="B5151" s="853">
        <v>465426.13309486047</v>
      </c>
    </row>
    <row r="5152" spans="2:2" ht="15.5" x14ac:dyDescent="0.35">
      <c r="B5152" s="853">
        <v>344725.31547968934</v>
      </c>
    </row>
    <row r="5153" spans="2:2" ht="15.5" x14ac:dyDescent="0.35">
      <c r="B5153" s="853">
        <v>352657.80744454981</v>
      </c>
    </row>
    <row r="5154" spans="2:2" ht="15.5" x14ac:dyDescent="0.35">
      <c r="B5154" s="853">
        <v>454819.61928088882</v>
      </c>
    </row>
    <row r="5155" spans="2:2" ht="15.5" x14ac:dyDescent="0.35">
      <c r="B5155" s="853">
        <v>238801.78346292218</v>
      </c>
    </row>
    <row r="5156" spans="2:2" ht="15.5" x14ac:dyDescent="0.35">
      <c r="B5156" s="853">
        <v>576033.8500850196</v>
      </c>
    </row>
    <row r="5157" spans="2:2" ht="15.5" x14ac:dyDescent="0.35">
      <c r="B5157" s="853">
        <v>286202.56497610605</v>
      </c>
    </row>
    <row r="5158" spans="2:2" ht="15.5" x14ac:dyDescent="0.35">
      <c r="B5158" s="853">
        <v>547247.72813127679</v>
      </c>
    </row>
    <row r="5159" spans="2:2" ht="15.5" x14ac:dyDescent="0.35">
      <c r="B5159" s="853">
        <v>203865.28939238252</v>
      </c>
    </row>
    <row r="5160" spans="2:2" ht="15.5" x14ac:dyDescent="0.35">
      <c r="B5160" s="853">
        <v>71400.351177556338</v>
      </c>
    </row>
    <row r="5161" spans="2:2" ht="15.5" x14ac:dyDescent="0.35">
      <c r="B5161" s="853">
        <v>340217.59108617913</v>
      </c>
    </row>
    <row r="5162" spans="2:2" ht="15.5" x14ac:dyDescent="0.35">
      <c r="B5162" s="853">
        <v>435490.41652603174</v>
      </c>
    </row>
    <row r="5163" spans="2:2" ht="15.5" x14ac:dyDescent="0.35">
      <c r="B5163" s="853">
        <v>-81162.175930993457</v>
      </c>
    </row>
    <row r="5164" spans="2:2" ht="15.5" x14ac:dyDescent="0.35">
      <c r="B5164" s="853">
        <v>297782.7733347668</v>
      </c>
    </row>
    <row r="5165" spans="2:2" ht="15.5" x14ac:dyDescent="0.35">
      <c r="B5165" s="853">
        <v>48414.95198173714</v>
      </c>
    </row>
    <row r="5166" spans="2:2" ht="15.5" x14ac:dyDescent="0.35">
      <c r="B5166" s="853">
        <v>283418.93272952473</v>
      </c>
    </row>
    <row r="5167" spans="2:2" ht="15.5" x14ac:dyDescent="0.35">
      <c r="B5167" s="853">
        <v>310585.0353398287</v>
      </c>
    </row>
    <row r="5168" spans="2:2" ht="15.5" x14ac:dyDescent="0.35">
      <c r="B5168" s="853">
        <v>352993.41942432412</v>
      </c>
    </row>
    <row r="5169" spans="2:2" ht="15.5" x14ac:dyDescent="0.35">
      <c r="B5169" s="853">
        <v>335551.49105302221</v>
      </c>
    </row>
    <row r="5170" spans="2:2" ht="15.5" x14ac:dyDescent="0.35">
      <c r="B5170" s="853">
        <v>623002.95741826703</v>
      </c>
    </row>
    <row r="5171" spans="2:2" ht="15.5" x14ac:dyDescent="0.35">
      <c r="B5171" s="853">
        <v>216831.46791497909</v>
      </c>
    </row>
    <row r="5172" spans="2:2" ht="15.5" x14ac:dyDescent="0.35">
      <c r="B5172" s="853">
        <v>386342.30651128525</v>
      </c>
    </row>
    <row r="5173" spans="2:2" ht="15.5" x14ac:dyDescent="0.35">
      <c r="B5173" s="853">
        <v>24808.38430803936</v>
      </c>
    </row>
    <row r="5174" spans="2:2" ht="15.5" x14ac:dyDescent="0.35">
      <c r="B5174" s="853">
        <v>296558.49833129696</v>
      </c>
    </row>
    <row r="5175" spans="2:2" ht="15.5" x14ac:dyDescent="0.35">
      <c r="B5175" s="853">
        <v>368848.1223571045</v>
      </c>
    </row>
    <row r="5176" spans="2:2" ht="15.5" x14ac:dyDescent="0.35">
      <c r="B5176" s="853">
        <v>355848.31962565106</v>
      </c>
    </row>
    <row r="5177" spans="2:2" ht="15.5" x14ac:dyDescent="0.35">
      <c r="B5177" s="853">
        <v>322475.00006648921</v>
      </c>
    </row>
    <row r="5178" spans="2:2" ht="15.5" x14ac:dyDescent="0.35">
      <c r="B5178" s="853">
        <v>520089.79527494696</v>
      </c>
    </row>
    <row r="5179" spans="2:2" ht="15.5" x14ac:dyDescent="0.35">
      <c r="B5179" s="853">
        <v>238425.71417352677</v>
      </c>
    </row>
    <row r="5180" spans="2:2" ht="15.5" x14ac:dyDescent="0.35">
      <c r="B5180" s="853">
        <v>274204.98332312924</v>
      </c>
    </row>
    <row r="5181" spans="2:2" ht="15.5" x14ac:dyDescent="0.35">
      <c r="B5181" s="853">
        <v>283958.0232207799</v>
      </c>
    </row>
    <row r="5182" spans="2:2" ht="15.5" x14ac:dyDescent="0.35">
      <c r="B5182" s="853">
        <v>80664.257234385877</v>
      </c>
    </row>
    <row r="5183" spans="2:2" ht="15.5" x14ac:dyDescent="0.35">
      <c r="B5183" s="853">
        <v>252142.21400609866</v>
      </c>
    </row>
    <row r="5184" spans="2:2" ht="15.5" x14ac:dyDescent="0.35">
      <c r="B5184" s="853">
        <v>105808.87917260574</v>
      </c>
    </row>
    <row r="5185" spans="2:2" ht="15.5" x14ac:dyDescent="0.35">
      <c r="B5185" s="853">
        <v>350005.93543086707</v>
      </c>
    </row>
    <row r="5186" spans="2:2" ht="15.5" x14ac:dyDescent="0.35">
      <c r="B5186" s="853">
        <v>138607.06570641097</v>
      </c>
    </row>
    <row r="5187" spans="2:2" ht="15.5" x14ac:dyDescent="0.35">
      <c r="B5187" s="853">
        <v>306570.4939560463</v>
      </c>
    </row>
    <row r="5188" spans="2:2" ht="15.5" x14ac:dyDescent="0.35">
      <c r="B5188" s="853">
        <v>369014.26785477594</v>
      </c>
    </row>
    <row r="5189" spans="2:2" ht="15.5" x14ac:dyDescent="0.35">
      <c r="B5189" s="853">
        <v>219403.61967515276</v>
      </c>
    </row>
    <row r="5190" spans="2:2" ht="15.5" x14ac:dyDescent="0.35">
      <c r="B5190" s="853">
        <v>304846.59923272015</v>
      </c>
    </row>
    <row r="5191" spans="2:2" ht="15.5" x14ac:dyDescent="0.35">
      <c r="B5191" s="853">
        <v>429144.24570937845</v>
      </c>
    </row>
    <row r="5192" spans="2:2" ht="15.5" x14ac:dyDescent="0.35">
      <c r="B5192" s="853">
        <v>136562.52177643336</v>
      </c>
    </row>
    <row r="5193" spans="2:2" ht="15.5" x14ac:dyDescent="0.35">
      <c r="B5193" s="853">
        <v>325670.24742173275</v>
      </c>
    </row>
    <row r="5194" spans="2:2" ht="15.5" x14ac:dyDescent="0.35">
      <c r="B5194" s="853">
        <v>200415.2774617041</v>
      </c>
    </row>
    <row r="5195" spans="2:2" ht="15.5" x14ac:dyDescent="0.35">
      <c r="B5195" s="853">
        <v>293140.26378888072</v>
      </c>
    </row>
    <row r="5196" spans="2:2" ht="15.5" x14ac:dyDescent="0.35">
      <c r="B5196" s="853">
        <v>671372.20359443896</v>
      </c>
    </row>
    <row r="5197" spans="2:2" ht="15.5" x14ac:dyDescent="0.35">
      <c r="B5197" s="853">
        <v>160826.90321288106</v>
      </c>
    </row>
    <row r="5198" spans="2:2" ht="15.5" x14ac:dyDescent="0.35">
      <c r="B5198" s="853">
        <v>484204.32815491309</v>
      </c>
    </row>
    <row r="5199" spans="2:2" ht="15.5" x14ac:dyDescent="0.35">
      <c r="B5199" s="853">
        <v>89245.823376982444</v>
      </c>
    </row>
    <row r="5200" spans="2:2" ht="15.5" x14ac:dyDescent="0.35">
      <c r="B5200" s="853">
        <v>-50656.37731807385</v>
      </c>
    </row>
    <row r="5201" spans="2:2" ht="15.5" x14ac:dyDescent="0.35">
      <c r="B5201" s="853">
        <v>195162.65029596671</v>
      </c>
    </row>
    <row r="5202" spans="2:2" ht="15.5" x14ac:dyDescent="0.35">
      <c r="B5202" s="853">
        <v>38487.28626535376</v>
      </c>
    </row>
    <row r="5203" spans="2:2" ht="15.5" x14ac:dyDescent="0.35">
      <c r="B5203" s="853">
        <v>149137.45307557762</v>
      </c>
    </row>
    <row r="5204" spans="2:2" ht="15.5" x14ac:dyDescent="0.35">
      <c r="B5204" s="853">
        <v>317147.46826501482</v>
      </c>
    </row>
    <row r="5205" spans="2:2" ht="15.5" x14ac:dyDescent="0.35">
      <c r="B5205" s="853">
        <v>204798.44233426763</v>
      </c>
    </row>
    <row r="5206" spans="2:2" ht="15.5" x14ac:dyDescent="0.35">
      <c r="B5206" s="853">
        <v>64498.278900712015</v>
      </c>
    </row>
    <row r="5207" spans="2:2" ht="15.5" x14ac:dyDescent="0.35">
      <c r="B5207" s="853">
        <v>275419.07379606704</v>
      </c>
    </row>
    <row r="5208" spans="2:2" ht="15.5" x14ac:dyDescent="0.35">
      <c r="B5208" s="853">
        <v>22405.008524435998</v>
      </c>
    </row>
    <row r="5209" spans="2:2" ht="15.5" x14ac:dyDescent="0.35">
      <c r="B5209" s="853">
        <v>375322.45748137188</v>
      </c>
    </row>
    <row r="5210" spans="2:2" ht="15.5" x14ac:dyDescent="0.35">
      <c r="B5210" s="853">
        <v>357367.71716230712</v>
      </c>
    </row>
    <row r="5211" spans="2:2" ht="15.5" x14ac:dyDescent="0.35">
      <c r="B5211" s="853">
        <v>274761.1948304851</v>
      </c>
    </row>
    <row r="5212" spans="2:2" ht="15.5" x14ac:dyDescent="0.35">
      <c r="B5212" s="853">
        <v>269787.24748830352</v>
      </c>
    </row>
    <row r="5213" spans="2:2" ht="15.5" x14ac:dyDescent="0.35">
      <c r="B5213" s="853">
        <v>317946.79395185359</v>
      </c>
    </row>
    <row r="5214" spans="2:2" ht="15.5" x14ac:dyDescent="0.35">
      <c r="B5214" s="853">
        <v>389972.58494584344</v>
      </c>
    </row>
    <row r="5215" spans="2:2" ht="15.5" x14ac:dyDescent="0.35">
      <c r="B5215" s="853">
        <v>221362.56195472239</v>
      </c>
    </row>
    <row r="5216" spans="2:2" ht="15.5" x14ac:dyDescent="0.35">
      <c r="B5216" s="853">
        <v>355920.98139562528</v>
      </c>
    </row>
    <row r="5217" spans="2:2" ht="15.5" x14ac:dyDescent="0.35">
      <c r="B5217" s="853">
        <v>500340.72078324581</v>
      </c>
    </row>
    <row r="5218" spans="2:2" ht="15.5" x14ac:dyDescent="0.35">
      <c r="B5218" s="853">
        <v>332938.40005646925</v>
      </c>
    </row>
    <row r="5219" spans="2:2" ht="15.5" x14ac:dyDescent="0.35">
      <c r="B5219" s="853">
        <v>501160.24034233997</v>
      </c>
    </row>
    <row r="5220" spans="2:2" ht="15.5" x14ac:dyDescent="0.35">
      <c r="B5220" s="853">
        <v>622689.71220692061</v>
      </c>
    </row>
    <row r="5221" spans="2:2" ht="15.5" x14ac:dyDescent="0.35">
      <c r="B5221" s="853">
        <v>295510.78330947657</v>
      </c>
    </row>
    <row r="5222" spans="2:2" ht="15.5" x14ac:dyDescent="0.35">
      <c r="B5222" s="853">
        <v>413353.93501933163</v>
      </c>
    </row>
    <row r="5223" spans="2:2" ht="15.5" x14ac:dyDescent="0.35">
      <c r="B5223" s="853">
        <v>262659.77648293547</v>
      </c>
    </row>
    <row r="5224" spans="2:2" ht="15.5" x14ac:dyDescent="0.35">
      <c r="B5224" s="853">
        <v>366904.01904032106</v>
      </c>
    </row>
    <row r="5225" spans="2:2" ht="15.5" x14ac:dyDescent="0.35">
      <c r="B5225" s="853">
        <v>503698.77678821661</v>
      </c>
    </row>
    <row r="5226" spans="2:2" ht="15.5" x14ac:dyDescent="0.35">
      <c r="B5226" s="853">
        <v>320692.46094114013</v>
      </c>
    </row>
    <row r="5227" spans="2:2" ht="15.5" x14ac:dyDescent="0.35">
      <c r="B5227" s="853">
        <v>89360.111252653427</v>
      </c>
    </row>
    <row r="5228" spans="2:2" ht="15.5" x14ac:dyDescent="0.35">
      <c r="B5228" s="853">
        <v>489436.0027392928</v>
      </c>
    </row>
    <row r="5229" spans="2:2" ht="15.5" x14ac:dyDescent="0.35">
      <c r="B5229" s="853">
        <v>135806.5837758063</v>
      </c>
    </row>
    <row r="5230" spans="2:2" ht="15.5" x14ac:dyDescent="0.35">
      <c r="B5230" s="853">
        <v>309436.69285336579</v>
      </c>
    </row>
    <row r="5231" spans="2:2" ht="15.5" x14ac:dyDescent="0.35">
      <c r="B5231" s="853">
        <v>357916.79212968214</v>
      </c>
    </row>
    <row r="5232" spans="2:2" ht="15.5" x14ac:dyDescent="0.35">
      <c r="B5232" s="853">
        <v>485313.77668455115</v>
      </c>
    </row>
    <row r="5233" spans="2:2" ht="15.5" x14ac:dyDescent="0.35">
      <c r="B5233" s="853">
        <v>455474.49425316718</v>
      </c>
    </row>
    <row r="5234" spans="2:2" ht="15.5" x14ac:dyDescent="0.35">
      <c r="B5234" s="853">
        <v>487390.71685441962</v>
      </c>
    </row>
    <row r="5235" spans="2:2" ht="15.5" x14ac:dyDescent="0.35">
      <c r="B5235" s="853">
        <v>471921.81763602747</v>
      </c>
    </row>
    <row r="5236" spans="2:2" ht="15.5" x14ac:dyDescent="0.35">
      <c r="B5236" s="853">
        <v>399259.80638332845</v>
      </c>
    </row>
    <row r="5237" spans="2:2" ht="15.5" x14ac:dyDescent="0.35">
      <c r="B5237" s="853">
        <v>196113.38752092392</v>
      </c>
    </row>
    <row r="5238" spans="2:2" ht="15.5" x14ac:dyDescent="0.35">
      <c r="B5238" s="853">
        <v>161577.38665732383</v>
      </c>
    </row>
    <row r="5239" spans="2:2" ht="15.5" x14ac:dyDescent="0.35">
      <c r="B5239" s="853">
        <v>260387.67194453577</v>
      </c>
    </row>
    <row r="5240" spans="2:2" ht="15.5" x14ac:dyDescent="0.35">
      <c r="B5240" s="853">
        <v>283125.51302336104</v>
      </c>
    </row>
    <row r="5241" spans="2:2" ht="15.5" x14ac:dyDescent="0.35">
      <c r="B5241" s="853">
        <v>215438.90678776414</v>
      </c>
    </row>
    <row r="5242" spans="2:2" ht="15.5" x14ac:dyDescent="0.35">
      <c r="B5242" s="853">
        <v>516886.63272292056</v>
      </c>
    </row>
    <row r="5243" spans="2:2" ht="15.5" x14ac:dyDescent="0.35">
      <c r="B5243" s="853">
        <v>102716.1087587248</v>
      </c>
    </row>
    <row r="5244" spans="2:2" ht="15.5" x14ac:dyDescent="0.35">
      <c r="B5244" s="853">
        <v>167183.53828065083</v>
      </c>
    </row>
    <row r="5245" spans="2:2" ht="15.5" x14ac:dyDescent="0.35">
      <c r="B5245" s="853">
        <v>370082.69616838184</v>
      </c>
    </row>
    <row r="5246" spans="2:2" ht="15.5" x14ac:dyDescent="0.35">
      <c r="B5246" s="853">
        <v>122870.52050980172</v>
      </c>
    </row>
    <row r="5247" spans="2:2" ht="15.5" x14ac:dyDescent="0.35">
      <c r="B5247" s="853">
        <v>301012.49382349115</v>
      </c>
    </row>
    <row r="5248" spans="2:2" ht="15.5" x14ac:dyDescent="0.35">
      <c r="B5248" s="853">
        <v>76164.467493149801</v>
      </c>
    </row>
    <row r="5249" spans="2:2" ht="15.5" x14ac:dyDescent="0.35">
      <c r="B5249" s="853">
        <v>-115675.45937811572</v>
      </c>
    </row>
    <row r="5250" spans="2:2" ht="15.5" x14ac:dyDescent="0.35">
      <c r="B5250" s="853">
        <v>556149.3071198673</v>
      </c>
    </row>
    <row r="5251" spans="2:2" ht="15.5" x14ac:dyDescent="0.35">
      <c r="B5251" s="853">
        <v>252786.16695383601</v>
      </c>
    </row>
    <row r="5252" spans="2:2" ht="15.5" x14ac:dyDescent="0.35">
      <c r="B5252" s="853">
        <v>258550.76603698931</v>
      </c>
    </row>
    <row r="5253" spans="2:2" ht="15.5" x14ac:dyDescent="0.35">
      <c r="B5253" s="853">
        <v>132101.11611507199</v>
      </c>
    </row>
    <row r="5254" spans="2:2" ht="15.5" x14ac:dyDescent="0.35">
      <c r="B5254" s="853">
        <v>169212.4091086683</v>
      </c>
    </row>
    <row r="5255" spans="2:2" ht="15.5" x14ac:dyDescent="0.35">
      <c r="B5255" s="853">
        <v>339697.63913794409</v>
      </c>
    </row>
    <row r="5256" spans="2:2" ht="15.5" x14ac:dyDescent="0.35">
      <c r="B5256" s="853">
        <v>185611.59486391192</v>
      </c>
    </row>
    <row r="5257" spans="2:2" ht="15.5" x14ac:dyDescent="0.35">
      <c r="B5257" s="853">
        <v>525537.93013578421</v>
      </c>
    </row>
    <row r="5258" spans="2:2" ht="15.5" x14ac:dyDescent="0.35">
      <c r="B5258" s="853">
        <v>389631.646847806</v>
      </c>
    </row>
    <row r="5259" spans="2:2" ht="15.5" x14ac:dyDescent="0.35">
      <c r="B5259" s="853">
        <v>442427.5745828051</v>
      </c>
    </row>
    <row r="5260" spans="2:2" ht="15.5" x14ac:dyDescent="0.35">
      <c r="B5260" s="853">
        <v>254565.73369006536</v>
      </c>
    </row>
    <row r="5261" spans="2:2" ht="15.5" x14ac:dyDescent="0.35">
      <c r="B5261" s="853">
        <v>473768.66854924383</v>
      </c>
    </row>
    <row r="5262" spans="2:2" ht="15.5" x14ac:dyDescent="0.35">
      <c r="B5262" s="853">
        <v>133214.42785176958</v>
      </c>
    </row>
    <row r="5263" spans="2:2" ht="15.5" x14ac:dyDescent="0.35">
      <c r="B5263" s="853">
        <v>340992.59638708032</v>
      </c>
    </row>
    <row r="5264" spans="2:2" ht="15.5" x14ac:dyDescent="0.35">
      <c r="B5264" s="853">
        <v>371239.87977149471</v>
      </c>
    </row>
    <row r="5265" spans="2:2" ht="15.5" x14ac:dyDescent="0.35">
      <c r="B5265" s="853">
        <v>382453.84242370876</v>
      </c>
    </row>
    <row r="5266" spans="2:2" ht="15.5" x14ac:dyDescent="0.35">
      <c r="B5266" s="853">
        <v>213717.30274188289</v>
      </c>
    </row>
    <row r="5267" spans="2:2" ht="15.5" x14ac:dyDescent="0.35">
      <c r="B5267" s="853">
        <v>329968.85777873342</v>
      </c>
    </row>
    <row r="5268" spans="2:2" ht="15.5" x14ac:dyDescent="0.35">
      <c r="B5268" s="853">
        <v>256642.25025991158</v>
      </c>
    </row>
    <row r="5269" spans="2:2" ht="15.5" x14ac:dyDescent="0.35">
      <c r="B5269" s="853">
        <v>420922.27925091534</v>
      </c>
    </row>
    <row r="5270" spans="2:2" ht="15.5" x14ac:dyDescent="0.35">
      <c r="B5270" s="853">
        <v>312297.0075628974</v>
      </c>
    </row>
    <row r="5271" spans="2:2" ht="15.5" x14ac:dyDescent="0.35">
      <c r="B5271" s="853">
        <v>320959.00715890189</v>
      </c>
    </row>
    <row r="5272" spans="2:2" ht="15.5" x14ac:dyDescent="0.35">
      <c r="B5272" s="853">
        <v>110008.81608355923</v>
      </c>
    </row>
    <row r="5273" spans="2:2" ht="15.5" x14ac:dyDescent="0.35">
      <c r="B5273" s="853">
        <v>617556.66738899983</v>
      </c>
    </row>
    <row r="5274" spans="2:2" ht="15.5" x14ac:dyDescent="0.35">
      <c r="B5274" s="853">
        <v>365968.35406379233</v>
      </c>
    </row>
    <row r="5275" spans="2:2" ht="15.5" x14ac:dyDescent="0.35">
      <c r="B5275" s="853">
        <v>266148.01215416897</v>
      </c>
    </row>
    <row r="5276" spans="2:2" ht="15.5" x14ac:dyDescent="0.35">
      <c r="B5276" s="853">
        <v>387305.37552648911</v>
      </c>
    </row>
    <row r="5277" spans="2:2" ht="15.5" x14ac:dyDescent="0.35">
      <c r="B5277" s="853">
        <v>418809.6043356242</v>
      </c>
    </row>
    <row r="5278" spans="2:2" ht="15.5" x14ac:dyDescent="0.35">
      <c r="B5278" s="853">
        <v>253404.28537988261</v>
      </c>
    </row>
    <row r="5279" spans="2:2" ht="15.5" x14ac:dyDescent="0.35">
      <c r="B5279" s="853">
        <v>334550.94671888812</v>
      </c>
    </row>
    <row r="5280" spans="2:2" ht="15.5" x14ac:dyDescent="0.35">
      <c r="B5280" s="853">
        <v>242472.49342847991</v>
      </c>
    </row>
    <row r="5281" spans="2:2" ht="15.5" x14ac:dyDescent="0.35">
      <c r="B5281" s="853">
        <v>603911.50893208198</v>
      </c>
    </row>
    <row r="5282" spans="2:2" ht="15.5" x14ac:dyDescent="0.35">
      <c r="B5282" s="853">
        <v>226173.86755472561</v>
      </c>
    </row>
    <row r="5283" spans="2:2" ht="15.5" x14ac:dyDescent="0.35">
      <c r="B5283" s="853">
        <v>355899.65789100982</v>
      </c>
    </row>
    <row r="5284" spans="2:2" ht="15.5" x14ac:dyDescent="0.35">
      <c r="B5284" s="853">
        <v>361191.48967788671</v>
      </c>
    </row>
    <row r="5285" spans="2:2" ht="15.5" x14ac:dyDescent="0.35">
      <c r="B5285" s="853">
        <v>72462.846276371522</v>
      </c>
    </row>
    <row r="5286" spans="2:2" ht="15.5" x14ac:dyDescent="0.35">
      <c r="B5286" s="853">
        <v>133643.20215333899</v>
      </c>
    </row>
    <row r="5287" spans="2:2" ht="15.5" x14ac:dyDescent="0.35">
      <c r="B5287" s="853">
        <v>119534.34221889314</v>
      </c>
    </row>
    <row r="5288" spans="2:2" ht="15.5" x14ac:dyDescent="0.35">
      <c r="B5288" s="853">
        <v>213969.71834087317</v>
      </c>
    </row>
    <row r="5289" spans="2:2" ht="15.5" x14ac:dyDescent="0.35">
      <c r="B5289" s="853">
        <v>306725.43450746458</v>
      </c>
    </row>
    <row r="5290" spans="2:2" ht="15.5" x14ac:dyDescent="0.35">
      <c r="B5290" s="853">
        <v>482933.64903381234</v>
      </c>
    </row>
    <row r="5291" spans="2:2" ht="15.5" x14ac:dyDescent="0.35">
      <c r="B5291" s="853">
        <v>393116.26153024053</v>
      </c>
    </row>
    <row r="5292" spans="2:2" ht="15.5" x14ac:dyDescent="0.35">
      <c r="B5292" s="853">
        <v>8696.442749771817</v>
      </c>
    </row>
    <row r="5293" spans="2:2" ht="15.5" x14ac:dyDescent="0.35">
      <c r="B5293" s="853">
        <v>312840.06265619583</v>
      </c>
    </row>
    <row r="5294" spans="2:2" ht="15.5" x14ac:dyDescent="0.35">
      <c r="B5294" s="853">
        <v>231393.79613337168</v>
      </c>
    </row>
    <row r="5295" spans="2:2" ht="15.5" x14ac:dyDescent="0.35">
      <c r="B5295" s="853">
        <v>22869.769179460258</v>
      </c>
    </row>
    <row r="5296" spans="2:2" ht="15.5" x14ac:dyDescent="0.35">
      <c r="B5296" s="853">
        <v>360840.68232700386</v>
      </c>
    </row>
    <row r="5297" spans="2:2" ht="15.5" x14ac:dyDescent="0.35">
      <c r="B5297" s="853">
        <v>309124.91736844578</v>
      </c>
    </row>
    <row r="5298" spans="2:2" ht="15.5" x14ac:dyDescent="0.35">
      <c r="B5298" s="853">
        <v>185792.53458673836</v>
      </c>
    </row>
    <row r="5299" spans="2:2" ht="15.5" x14ac:dyDescent="0.35">
      <c r="B5299" s="853">
        <v>244843.44882422537</v>
      </c>
    </row>
    <row r="5300" spans="2:2" ht="15.5" x14ac:dyDescent="0.35">
      <c r="B5300" s="853">
        <v>161980.50622617779</v>
      </c>
    </row>
    <row r="5301" spans="2:2" ht="15.5" x14ac:dyDescent="0.35">
      <c r="B5301" s="853">
        <v>227604.10309068378</v>
      </c>
    </row>
    <row r="5302" spans="2:2" ht="15.5" x14ac:dyDescent="0.35">
      <c r="B5302" s="853">
        <v>180128.1955067798</v>
      </c>
    </row>
    <row r="5303" spans="2:2" ht="15.5" x14ac:dyDescent="0.35">
      <c r="B5303" s="853">
        <v>265560.31841360463</v>
      </c>
    </row>
    <row r="5304" spans="2:2" ht="15.5" x14ac:dyDescent="0.35">
      <c r="B5304" s="853">
        <v>368445.75449378596</v>
      </c>
    </row>
    <row r="5305" spans="2:2" ht="15.5" x14ac:dyDescent="0.35">
      <c r="B5305" s="853">
        <v>563895.4679580878</v>
      </c>
    </row>
    <row r="5306" spans="2:2" ht="15.5" x14ac:dyDescent="0.35">
      <c r="B5306" s="853">
        <v>385838.19286476384</v>
      </c>
    </row>
    <row r="5307" spans="2:2" ht="15.5" x14ac:dyDescent="0.35">
      <c r="B5307" s="853">
        <v>465198.66602903372</v>
      </c>
    </row>
    <row r="5308" spans="2:2" ht="15.5" x14ac:dyDescent="0.35">
      <c r="B5308" s="853">
        <v>356127.44449312246</v>
      </c>
    </row>
    <row r="5309" spans="2:2" ht="15.5" x14ac:dyDescent="0.35">
      <c r="B5309" s="853">
        <v>419167.82619321696</v>
      </c>
    </row>
    <row r="5310" spans="2:2" ht="15.5" x14ac:dyDescent="0.35">
      <c r="B5310" s="853">
        <v>373995.54105204326</v>
      </c>
    </row>
    <row r="5311" spans="2:2" ht="15.5" x14ac:dyDescent="0.35">
      <c r="B5311" s="853">
        <v>156066.85110013903</v>
      </c>
    </row>
    <row r="5312" spans="2:2" ht="15.5" x14ac:dyDescent="0.35">
      <c r="B5312" s="853">
        <v>287616.15720122843</v>
      </c>
    </row>
    <row r="5313" spans="2:2" ht="15.5" x14ac:dyDescent="0.35">
      <c r="B5313" s="853">
        <v>98695.408321784023</v>
      </c>
    </row>
    <row r="5314" spans="2:2" ht="15.5" x14ac:dyDescent="0.35">
      <c r="B5314" s="853">
        <v>281278.62937779084</v>
      </c>
    </row>
    <row r="5315" spans="2:2" ht="15.5" x14ac:dyDescent="0.35">
      <c r="B5315" s="853">
        <v>232274.58212137414</v>
      </c>
    </row>
    <row r="5316" spans="2:2" ht="15.5" x14ac:dyDescent="0.35">
      <c r="B5316" s="853">
        <v>294943.90279646125</v>
      </c>
    </row>
    <row r="5317" spans="2:2" ht="15.5" x14ac:dyDescent="0.35">
      <c r="B5317" s="853">
        <v>390891.21243180404</v>
      </c>
    </row>
    <row r="5318" spans="2:2" ht="15.5" x14ac:dyDescent="0.35">
      <c r="B5318" s="853">
        <v>495559.7593247926</v>
      </c>
    </row>
    <row r="5319" spans="2:2" ht="15.5" x14ac:dyDescent="0.35">
      <c r="B5319" s="853">
        <v>365721.27782247483</v>
      </c>
    </row>
    <row r="5320" spans="2:2" ht="15.5" x14ac:dyDescent="0.35">
      <c r="B5320" s="853">
        <v>416770.46424393903</v>
      </c>
    </row>
    <row r="5321" spans="2:2" ht="15.5" x14ac:dyDescent="0.35">
      <c r="B5321" s="853">
        <v>453030.55971635785</v>
      </c>
    </row>
    <row r="5322" spans="2:2" ht="15.5" x14ac:dyDescent="0.35">
      <c r="B5322" s="853">
        <v>338410.8606676652</v>
      </c>
    </row>
    <row r="5323" spans="2:2" ht="15.5" x14ac:dyDescent="0.35">
      <c r="B5323" s="853">
        <v>200973.46862218119</v>
      </c>
    </row>
    <row r="5324" spans="2:2" ht="15.5" x14ac:dyDescent="0.35">
      <c r="B5324" s="853">
        <v>172252.31841486495</v>
      </c>
    </row>
    <row r="5325" spans="2:2" ht="15.5" x14ac:dyDescent="0.35">
      <c r="B5325" s="853">
        <v>201352.9808898934</v>
      </c>
    </row>
    <row r="5326" spans="2:2" ht="15.5" x14ac:dyDescent="0.35">
      <c r="B5326" s="853">
        <v>461771.6226914922</v>
      </c>
    </row>
    <row r="5327" spans="2:2" ht="15.5" x14ac:dyDescent="0.35">
      <c r="B5327" s="853">
        <v>298073.73546266818</v>
      </c>
    </row>
    <row r="5328" spans="2:2" ht="15.5" x14ac:dyDescent="0.35">
      <c r="B5328" s="853">
        <v>119094.63452806027</v>
      </c>
    </row>
    <row r="5329" spans="2:2" ht="15.5" x14ac:dyDescent="0.35">
      <c r="B5329" s="853">
        <v>344229.69119100232</v>
      </c>
    </row>
    <row r="5330" spans="2:2" ht="15.5" x14ac:dyDescent="0.35">
      <c r="B5330" s="853">
        <v>350389.92801249493</v>
      </c>
    </row>
    <row r="5331" spans="2:2" ht="15.5" x14ac:dyDescent="0.35">
      <c r="B5331" s="853">
        <v>269179.89451596414</v>
      </c>
    </row>
    <row r="5332" spans="2:2" ht="15.5" x14ac:dyDescent="0.35">
      <c r="B5332" s="853">
        <v>268883.79501183273</v>
      </c>
    </row>
    <row r="5333" spans="2:2" ht="15.5" x14ac:dyDescent="0.35">
      <c r="B5333" s="853">
        <v>401443.99977756973</v>
      </c>
    </row>
    <row r="5334" spans="2:2" ht="15.5" x14ac:dyDescent="0.35">
      <c r="B5334" s="853">
        <v>228976.61307730121</v>
      </c>
    </row>
    <row r="5335" spans="2:2" ht="15.5" x14ac:dyDescent="0.35">
      <c r="B5335" s="853">
        <v>412029.17105752882</v>
      </c>
    </row>
    <row r="5336" spans="2:2" ht="15.5" x14ac:dyDescent="0.35">
      <c r="B5336" s="853">
        <v>462387.70033062238</v>
      </c>
    </row>
    <row r="5337" spans="2:2" ht="15.5" x14ac:dyDescent="0.35">
      <c r="B5337" s="853">
        <v>375612.69905260293</v>
      </c>
    </row>
    <row r="5338" spans="2:2" ht="15.5" x14ac:dyDescent="0.35">
      <c r="B5338" s="853">
        <v>304902.89412387926</v>
      </c>
    </row>
    <row r="5339" spans="2:2" ht="15.5" x14ac:dyDescent="0.35">
      <c r="B5339" s="853">
        <v>464839.46934952604</v>
      </c>
    </row>
    <row r="5340" spans="2:2" ht="15.5" x14ac:dyDescent="0.35">
      <c r="B5340" s="853">
        <v>363009.14297919982</v>
      </c>
    </row>
    <row r="5341" spans="2:2" ht="15.5" x14ac:dyDescent="0.35">
      <c r="B5341" s="853">
        <v>331027.81011366379</v>
      </c>
    </row>
    <row r="5342" spans="2:2" ht="15.5" x14ac:dyDescent="0.35">
      <c r="B5342" s="853">
        <v>236036.02235171455</v>
      </c>
    </row>
    <row r="5343" spans="2:2" ht="15.5" x14ac:dyDescent="0.35">
      <c r="B5343" s="853">
        <v>214986.67094890564</v>
      </c>
    </row>
    <row r="5344" spans="2:2" ht="15.5" x14ac:dyDescent="0.35">
      <c r="B5344" s="853">
        <v>322313.57711509214</v>
      </c>
    </row>
    <row r="5345" spans="2:2" ht="15.5" x14ac:dyDescent="0.35">
      <c r="B5345" s="853">
        <v>-79054.313706918154</v>
      </c>
    </row>
    <row r="5346" spans="2:2" ht="15.5" x14ac:dyDescent="0.35">
      <c r="B5346" s="853">
        <v>27114.459455512508</v>
      </c>
    </row>
    <row r="5347" spans="2:2" ht="15.5" x14ac:dyDescent="0.35">
      <c r="B5347" s="853">
        <v>240877.1383536713</v>
      </c>
    </row>
    <row r="5348" spans="2:2" ht="15.5" x14ac:dyDescent="0.35">
      <c r="B5348" s="853">
        <v>310264.72303930554</v>
      </c>
    </row>
    <row r="5349" spans="2:2" ht="15.5" x14ac:dyDescent="0.35">
      <c r="B5349" s="853">
        <v>340612.74247233558</v>
      </c>
    </row>
    <row r="5350" spans="2:2" ht="15.5" x14ac:dyDescent="0.35">
      <c r="B5350" s="853">
        <v>234982.02870521427</v>
      </c>
    </row>
    <row r="5351" spans="2:2" ht="15.5" x14ac:dyDescent="0.35">
      <c r="B5351" s="853">
        <v>244761.39323373584</v>
      </c>
    </row>
    <row r="5352" spans="2:2" ht="15.5" x14ac:dyDescent="0.35">
      <c r="B5352" s="853">
        <v>230176.74330850263</v>
      </c>
    </row>
    <row r="5353" spans="2:2" ht="15.5" x14ac:dyDescent="0.35">
      <c r="B5353" s="853">
        <v>450582.27206435899</v>
      </c>
    </row>
    <row r="5354" spans="2:2" ht="15.5" x14ac:dyDescent="0.35">
      <c r="B5354" s="853">
        <v>438585.23364133394</v>
      </c>
    </row>
    <row r="5355" spans="2:2" ht="15.5" x14ac:dyDescent="0.35">
      <c r="B5355" s="853">
        <v>195816.12155172916</v>
      </c>
    </row>
    <row r="5356" spans="2:2" ht="15.5" x14ac:dyDescent="0.35">
      <c r="B5356" s="853">
        <v>268027.13317577209</v>
      </c>
    </row>
    <row r="5357" spans="2:2" ht="15.5" x14ac:dyDescent="0.35">
      <c r="B5357" s="853">
        <v>210901.19540559672</v>
      </c>
    </row>
    <row r="5358" spans="2:2" ht="15.5" x14ac:dyDescent="0.35">
      <c r="B5358" s="853">
        <v>387531.39163641102</v>
      </c>
    </row>
    <row r="5359" spans="2:2" ht="15.5" x14ac:dyDescent="0.35">
      <c r="B5359" s="853">
        <v>241329.31211514422</v>
      </c>
    </row>
    <row r="5360" spans="2:2" ht="15.5" x14ac:dyDescent="0.35">
      <c r="B5360" s="853">
        <v>243163.18428783811</v>
      </c>
    </row>
    <row r="5361" spans="2:2" ht="15.5" x14ac:dyDescent="0.35">
      <c r="B5361" s="853">
        <v>483089.69262783841</v>
      </c>
    </row>
    <row r="5362" spans="2:2" ht="15.5" x14ac:dyDescent="0.35">
      <c r="B5362" s="853">
        <v>160588.73636740964</v>
      </c>
    </row>
    <row r="5363" spans="2:2" ht="15.5" x14ac:dyDescent="0.35">
      <c r="B5363" s="853">
        <v>264308.40710067714</v>
      </c>
    </row>
    <row r="5364" spans="2:2" ht="15.5" x14ac:dyDescent="0.35">
      <c r="B5364" s="853">
        <v>53841.86874781306</v>
      </c>
    </row>
    <row r="5365" spans="2:2" ht="15.5" x14ac:dyDescent="0.35">
      <c r="B5365" s="853">
        <v>108405.83915671446</v>
      </c>
    </row>
    <row r="5366" spans="2:2" ht="15.5" x14ac:dyDescent="0.35">
      <c r="B5366" s="853">
        <v>374072.10961337428</v>
      </c>
    </row>
    <row r="5367" spans="2:2" ht="15.5" x14ac:dyDescent="0.35">
      <c r="B5367" s="853">
        <v>328967.23314138933</v>
      </c>
    </row>
    <row r="5368" spans="2:2" ht="15.5" x14ac:dyDescent="0.35">
      <c r="B5368" s="853">
        <v>192813.23702408967</v>
      </c>
    </row>
    <row r="5369" spans="2:2" ht="15.5" x14ac:dyDescent="0.35">
      <c r="B5369" s="853">
        <v>523501.7933998917</v>
      </c>
    </row>
    <row r="5370" spans="2:2" ht="15.5" x14ac:dyDescent="0.35">
      <c r="B5370" s="853">
        <v>107943.40674486845</v>
      </c>
    </row>
    <row r="5371" spans="2:2" ht="15.5" x14ac:dyDescent="0.35">
      <c r="B5371" s="853">
        <v>165531.07101545078</v>
      </c>
    </row>
    <row r="5372" spans="2:2" ht="15.5" x14ac:dyDescent="0.35">
      <c r="B5372" s="853">
        <v>378873.15646394831</v>
      </c>
    </row>
    <row r="5373" spans="2:2" ht="15.5" x14ac:dyDescent="0.35">
      <c r="B5373" s="853">
        <v>277842.01323690935</v>
      </c>
    </row>
    <row r="5374" spans="2:2" ht="15.5" x14ac:dyDescent="0.35">
      <c r="B5374" s="853">
        <v>294469.96557226859</v>
      </c>
    </row>
    <row r="5375" spans="2:2" ht="15.5" x14ac:dyDescent="0.35">
      <c r="B5375" s="853">
        <v>769066.12097987917</v>
      </c>
    </row>
    <row r="5376" spans="2:2" ht="15.5" x14ac:dyDescent="0.35">
      <c r="B5376" s="853">
        <v>-168720.94922523675</v>
      </c>
    </row>
    <row r="5377" spans="2:2" ht="15.5" x14ac:dyDescent="0.35">
      <c r="B5377" s="853">
        <v>35788.229914276664</v>
      </c>
    </row>
    <row r="5378" spans="2:2" ht="15.5" x14ac:dyDescent="0.35">
      <c r="B5378" s="853">
        <v>254813.09309349125</v>
      </c>
    </row>
    <row r="5379" spans="2:2" ht="15.5" x14ac:dyDescent="0.35">
      <c r="B5379" s="853">
        <v>368668.45993116731</v>
      </c>
    </row>
    <row r="5380" spans="2:2" ht="15.5" x14ac:dyDescent="0.35">
      <c r="B5380" s="853">
        <v>240130.05720436797</v>
      </c>
    </row>
    <row r="5381" spans="2:2" ht="15.5" x14ac:dyDescent="0.35">
      <c r="B5381" s="853">
        <v>345208.64953329926</v>
      </c>
    </row>
    <row r="5382" spans="2:2" ht="15.5" x14ac:dyDescent="0.35">
      <c r="B5382" s="853">
        <v>150760.1792325101</v>
      </c>
    </row>
    <row r="5383" spans="2:2" ht="15.5" x14ac:dyDescent="0.35">
      <c r="B5383" s="853">
        <v>325835.79394889704</v>
      </c>
    </row>
    <row r="5384" spans="2:2" ht="15.5" x14ac:dyDescent="0.35">
      <c r="B5384" s="853">
        <v>460551.10463037068</v>
      </c>
    </row>
    <row r="5385" spans="2:2" ht="15.5" x14ac:dyDescent="0.35">
      <c r="B5385" s="853">
        <v>591122.36367735371</v>
      </c>
    </row>
    <row r="5386" spans="2:2" ht="15.5" x14ac:dyDescent="0.35">
      <c r="B5386" s="853">
        <v>154129.31902073041</v>
      </c>
    </row>
    <row r="5387" spans="2:2" ht="15.5" x14ac:dyDescent="0.35">
      <c r="B5387" s="853">
        <v>414751.97981175414</v>
      </c>
    </row>
    <row r="5388" spans="2:2" ht="15.5" x14ac:dyDescent="0.35">
      <c r="B5388" s="853">
        <v>274711.87351313466</v>
      </c>
    </row>
    <row r="5389" spans="2:2" ht="15.5" x14ac:dyDescent="0.35">
      <c r="B5389" s="853">
        <v>332434.53769016522</v>
      </c>
    </row>
    <row r="5390" spans="2:2" ht="15.5" x14ac:dyDescent="0.35">
      <c r="B5390" s="853">
        <v>272849.5634231593</v>
      </c>
    </row>
    <row r="5391" spans="2:2" ht="15.5" x14ac:dyDescent="0.35">
      <c r="B5391" s="853">
        <v>48567.437098215458</v>
      </c>
    </row>
    <row r="5392" spans="2:2" ht="15.5" x14ac:dyDescent="0.35">
      <c r="B5392" s="853">
        <v>300245.93101461668</v>
      </c>
    </row>
    <row r="5393" spans="2:2" ht="15.5" x14ac:dyDescent="0.35">
      <c r="B5393" s="853">
        <v>233446.55537561231</v>
      </c>
    </row>
    <row r="5394" spans="2:2" ht="15.5" x14ac:dyDescent="0.35">
      <c r="B5394" s="853">
        <v>473404.50571133383</v>
      </c>
    </row>
    <row r="5395" spans="2:2" ht="15.5" x14ac:dyDescent="0.35">
      <c r="B5395" s="853">
        <v>118108.00452043403</v>
      </c>
    </row>
    <row r="5396" spans="2:2" ht="15.5" x14ac:dyDescent="0.35">
      <c r="B5396" s="853">
        <v>404937.29877320846</v>
      </c>
    </row>
    <row r="5397" spans="2:2" ht="15.5" x14ac:dyDescent="0.35">
      <c r="B5397" s="853">
        <v>293885.39035460935</v>
      </c>
    </row>
    <row r="5398" spans="2:2" ht="15.5" x14ac:dyDescent="0.35">
      <c r="B5398" s="853">
        <v>298918.09576381004</v>
      </c>
    </row>
    <row r="5399" spans="2:2" ht="15.5" x14ac:dyDescent="0.35">
      <c r="B5399" s="853">
        <v>553994.65208588657</v>
      </c>
    </row>
    <row r="5400" spans="2:2" ht="15.5" x14ac:dyDescent="0.35">
      <c r="B5400" s="853">
        <v>303237.78557844937</v>
      </c>
    </row>
    <row r="5401" spans="2:2" ht="15.5" x14ac:dyDescent="0.35">
      <c r="B5401" s="853">
        <v>175916.85134153988</v>
      </c>
    </row>
    <row r="5402" spans="2:2" ht="15.5" x14ac:dyDescent="0.35">
      <c r="B5402" s="853">
        <v>454666.80638661527</v>
      </c>
    </row>
    <row r="5403" spans="2:2" ht="15.5" x14ac:dyDescent="0.35">
      <c r="B5403" s="853">
        <v>184503.78270641924</v>
      </c>
    </row>
    <row r="5404" spans="2:2" ht="15.5" x14ac:dyDescent="0.35">
      <c r="B5404" s="853">
        <v>409918.73809631576</v>
      </c>
    </row>
    <row r="5405" spans="2:2" ht="15.5" x14ac:dyDescent="0.35">
      <c r="B5405" s="853">
        <v>537621.9577119021</v>
      </c>
    </row>
    <row r="5406" spans="2:2" ht="15.5" x14ac:dyDescent="0.35">
      <c r="B5406" s="853">
        <v>150434.74556220663</v>
      </c>
    </row>
    <row r="5407" spans="2:2" ht="15.5" x14ac:dyDescent="0.35">
      <c r="B5407" s="853">
        <v>308820.65524889773</v>
      </c>
    </row>
    <row r="5408" spans="2:2" ht="15.5" x14ac:dyDescent="0.35">
      <c r="B5408" s="853">
        <v>240245.16026826957</v>
      </c>
    </row>
    <row r="5409" spans="2:2" ht="15.5" x14ac:dyDescent="0.35">
      <c r="B5409" s="853">
        <v>345938.31480384059</v>
      </c>
    </row>
    <row r="5410" spans="2:2" ht="15.5" x14ac:dyDescent="0.35">
      <c r="B5410" s="853">
        <v>393169.60188735079</v>
      </c>
    </row>
    <row r="5411" spans="2:2" ht="15.5" x14ac:dyDescent="0.35">
      <c r="B5411" s="853">
        <v>337151.0278050031</v>
      </c>
    </row>
    <row r="5412" spans="2:2" ht="15.5" x14ac:dyDescent="0.35">
      <c r="B5412" s="853">
        <v>195863.95770986596</v>
      </c>
    </row>
    <row r="5413" spans="2:2" ht="15.5" x14ac:dyDescent="0.35">
      <c r="B5413" s="853">
        <v>372111.66250732052</v>
      </c>
    </row>
    <row r="5414" spans="2:2" ht="15.5" x14ac:dyDescent="0.35">
      <c r="B5414" s="853">
        <v>114286.6781038577</v>
      </c>
    </row>
    <row r="5415" spans="2:2" ht="15.5" x14ac:dyDescent="0.35">
      <c r="B5415" s="853">
        <v>310322.56279779825</v>
      </c>
    </row>
    <row r="5416" spans="2:2" ht="15.5" x14ac:dyDescent="0.35">
      <c r="B5416" s="853">
        <v>275692.98257359082</v>
      </c>
    </row>
    <row r="5417" spans="2:2" ht="15.5" x14ac:dyDescent="0.35">
      <c r="B5417" s="853">
        <v>255503.10728366597</v>
      </c>
    </row>
    <row r="5418" spans="2:2" ht="15.5" x14ac:dyDescent="0.35">
      <c r="B5418" s="853">
        <v>432047.35853297618</v>
      </c>
    </row>
    <row r="5419" spans="2:2" ht="15.5" x14ac:dyDescent="0.35">
      <c r="B5419" s="853">
        <v>69269.980014562767</v>
      </c>
    </row>
    <row r="5420" spans="2:2" ht="15.5" x14ac:dyDescent="0.35">
      <c r="B5420" s="853">
        <v>158024.63810956731</v>
      </c>
    </row>
    <row r="5421" spans="2:2" ht="15.5" x14ac:dyDescent="0.35">
      <c r="B5421" s="853">
        <v>72485.634293044248</v>
      </c>
    </row>
    <row r="5422" spans="2:2" ht="15.5" x14ac:dyDescent="0.35">
      <c r="B5422" s="853">
        <v>511443.04699532321</v>
      </c>
    </row>
    <row r="5423" spans="2:2" ht="15.5" x14ac:dyDescent="0.35">
      <c r="B5423" s="853">
        <v>210837.46561853125</v>
      </c>
    </row>
    <row r="5424" spans="2:2" ht="15.5" x14ac:dyDescent="0.35">
      <c r="B5424" s="853">
        <v>344873.01391697209</v>
      </c>
    </row>
    <row r="5425" spans="2:2" ht="15.5" x14ac:dyDescent="0.35">
      <c r="B5425" s="853">
        <v>771018.02636564279</v>
      </c>
    </row>
    <row r="5426" spans="2:2" ht="15.5" x14ac:dyDescent="0.35">
      <c r="B5426" s="853">
        <v>187057.27682787291</v>
      </c>
    </row>
    <row r="5427" spans="2:2" ht="15.5" x14ac:dyDescent="0.35">
      <c r="B5427" s="853">
        <v>83401.191177899469</v>
      </c>
    </row>
    <row r="5428" spans="2:2" ht="15.5" x14ac:dyDescent="0.35">
      <c r="B5428" s="853">
        <v>93470.366146059969</v>
      </c>
    </row>
    <row r="5429" spans="2:2" ht="15.5" x14ac:dyDescent="0.35">
      <c r="B5429" s="853">
        <v>341794.22169349616</v>
      </c>
    </row>
    <row r="5430" spans="2:2" ht="15.5" x14ac:dyDescent="0.35">
      <c r="B5430" s="853">
        <v>433248.677497686</v>
      </c>
    </row>
    <row r="5431" spans="2:2" ht="15.5" x14ac:dyDescent="0.35">
      <c r="B5431" s="853">
        <v>221823.74307296515</v>
      </c>
    </row>
    <row r="5432" spans="2:2" ht="15.5" x14ac:dyDescent="0.35">
      <c r="B5432" s="853">
        <v>228638.2659087803</v>
      </c>
    </row>
    <row r="5433" spans="2:2" ht="15.5" x14ac:dyDescent="0.35">
      <c r="B5433" s="853">
        <v>-46749.726830198932</v>
      </c>
    </row>
    <row r="5434" spans="2:2" ht="15.5" x14ac:dyDescent="0.35">
      <c r="B5434" s="853">
        <v>195744.0640040717</v>
      </c>
    </row>
    <row r="5435" spans="2:2" ht="15.5" x14ac:dyDescent="0.35">
      <c r="B5435" s="853">
        <v>130611.41029456774</v>
      </c>
    </row>
    <row r="5436" spans="2:2" ht="15.5" x14ac:dyDescent="0.35">
      <c r="B5436" s="853">
        <v>299439.07623579883</v>
      </c>
    </row>
    <row r="5437" spans="2:2" ht="15.5" x14ac:dyDescent="0.35">
      <c r="B5437" s="853">
        <v>293252.34490925545</v>
      </c>
    </row>
    <row r="5438" spans="2:2" ht="15.5" x14ac:dyDescent="0.35">
      <c r="B5438" s="853">
        <v>87225.173265944584</v>
      </c>
    </row>
    <row r="5439" spans="2:2" ht="15.5" x14ac:dyDescent="0.35">
      <c r="B5439" s="853">
        <v>6610.2931396195027</v>
      </c>
    </row>
    <row r="5440" spans="2:2" ht="15.5" x14ac:dyDescent="0.35">
      <c r="B5440" s="853">
        <v>474595.73759424267</v>
      </c>
    </row>
    <row r="5441" spans="2:2" ht="15.5" x14ac:dyDescent="0.35">
      <c r="B5441" s="853">
        <v>358796.72078208945</v>
      </c>
    </row>
    <row r="5442" spans="2:2" ht="15.5" x14ac:dyDescent="0.35">
      <c r="B5442" s="853">
        <v>304276.5271358703</v>
      </c>
    </row>
    <row r="5443" spans="2:2" ht="15.5" x14ac:dyDescent="0.35">
      <c r="B5443" s="853">
        <v>305971.50573533482</v>
      </c>
    </row>
    <row r="5444" spans="2:2" ht="15.5" x14ac:dyDescent="0.35">
      <c r="B5444" s="853">
        <v>429781.45945464546</v>
      </c>
    </row>
    <row r="5445" spans="2:2" ht="15.5" x14ac:dyDescent="0.35">
      <c r="B5445" s="853">
        <v>422281.39950910432</v>
      </c>
    </row>
    <row r="5446" spans="2:2" ht="15.5" x14ac:dyDescent="0.35">
      <c r="B5446" s="853">
        <v>296491.83551073173</v>
      </c>
    </row>
    <row r="5447" spans="2:2" ht="15.5" x14ac:dyDescent="0.35">
      <c r="B5447" s="853">
        <v>379400.07131841051</v>
      </c>
    </row>
    <row r="5448" spans="2:2" ht="15.5" x14ac:dyDescent="0.35">
      <c r="B5448" s="853">
        <v>534587.03722528892</v>
      </c>
    </row>
    <row r="5449" spans="2:2" ht="15.5" x14ac:dyDescent="0.35">
      <c r="B5449" s="853">
        <v>411315.28168918908</v>
      </c>
    </row>
    <row r="5450" spans="2:2" ht="15.5" x14ac:dyDescent="0.35">
      <c r="B5450" s="853">
        <v>240684.37800003853</v>
      </c>
    </row>
    <row r="5451" spans="2:2" ht="15.5" x14ac:dyDescent="0.35">
      <c r="B5451" s="853">
        <v>143565.97310467763</v>
      </c>
    </row>
    <row r="5452" spans="2:2" ht="15.5" x14ac:dyDescent="0.35">
      <c r="B5452" s="853">
        <v>432837.47160964063</v>
      </c>
    </row>
    <row r="5453" spans="2:2" ht="15.5" x14ac:dyDescent="0.35">
      <c r="B5453" s="853">
        <v>120482.45603468045</v>
      </c>
    </row>
    <row r="5454" spans="2:2" ht="15.5" x14ac:dyDescent="0.35">
      <c r="B5454" s="853">
        <v>549116.98427589319</v>
      </c>
    </row>
    <row r="5455" spans="2:2" ht="15.5" x14ac:dyDescent="0.35">
      <c r="B5455" s="853">
        <v>465216.91777422087</v>
      </c>
    </row>
    <row r="5456" spans="2:2" ht="15.5" x14ac:dyDescent="0.35">
      <c r="B5456" s="853">
        <v>358689.23179147078</v>
      </c>
    </row>
    <row r="5457" spans="2:2" ht="15.5" x14ac:dyDescent="0.35">
      <c r="B5457" s="853">
        <v>72118.312240459607</v>
      </c>
    </row>
    <row r="5458" spans="2:2" ht="15.5" x14ac:dyDescent="0.35">
      <c r="B5458" s="853">
        <v>205626.81607942146</v>
      </c>
    </row>
    <row r="5459" spans="2:2" ht="15.5" x14ac:dyDescent="0.35">
      <c r="B5459" s="853">
        <v>81536.472304244628</v>
      </c>
    </row>
    <row r="5460" spans="2:2" ht="15.5" x14ac:dyDescent="0.35">
      <c r="B5460" s="853">
        <v>540946.98530630884</v>
      </c>
    </row>
    <row r="5461" spans="2:2" ht="15.5" x14ac:dyDescent="0.35">
      <c r="B5461" s="853">
        <v>125442.77141271663</v>
      </c>
    </row>
    <row r="5462" spans="2:2" ht="15.5" x14ac:dyDescent="0.35">
      <c r="B5462" s="853">
        <v>232347.63455332539</v>
      </c>
    </row>
    <row r="5463" spans="2:2" ht="15.5" x14ac:dyDescent="0.35">
      <c r="B5463" s="853">
        <v>616895.83269249077</v>
      </c>
    </row>
    <row r="5464" spans="2:2" ht="15.5" x14ac:dyDescent="0.35">
      <c r="B5464" s="853">
        <v>367055.41433793213</v>
      </c>
    </row>
    <row r="5465" spans="2:2" ht="15.5" x14ac:dyDescent="0.35">
      <c r="B5465" s="853">
        <v>499966.59507750714</v>
      </c>
    </row>
    <row r="5466" spans="2:2" ht="15.5" x14ac:dyDescent="0.35">
      <c r="B5466" s="853">
        <v>258187.51502118577</v>
      </c>
    </row>
    <row r="5467" spans="2:2" ht="15.5" x14ac:dyDescent="0.35">
      <c r="B5467" s="853">
        <v>295354.47785929171</v>
      </c>
    </row>
    <row r="5468" spans="2:2" ht="15.5" x14ac:dyDescent="0.35">
      <c r="B5468" s="853">
        <v>537596.44132142258</v>
      </c>
    </row>
    <row r="5469" spans="2:2" ht="15.5" x14ac:dyDescent="0.35">
      <c r="B5469" s="853">
        <v>319865.6463343809</v>
      </c>
    </row>
    <row r="5470" spans="2:2" ht="15.5" x14ac:dyDescent="0.35">
      <c r="B5470" s="853">
        <v>484161.6793055099</v>
      </c>
    </row>
    <row r="5471" spans="2:2" ht="15.5" x14ac:dyDescent="0.35">
      <c r="B5471" s="853">
        <v>596112.98015879199</v>
      </c>
    </row>
    <row r="5472" spans="2:2" ht="15.5" x14ac:dyDescent="0.35">
      <c r="B5472" s="853">
        <v>405797.31341510842</v>
      </c>
    </row>
    <row r="5473" spans="2:2" ht="15.5" x14ac:dyDescent="0.35">
      <c r="B5473" s="853">
        <v>387501.12615762849</v>
      </c>
    </row>
    <row r="5474" spans="2:2" ht="15.5" x14ac:dyDescent="0.35">
      <c r="B5474" s="853">
        <v>324530.06875708111</v>
      </c>
    </row>
    <row r="5475" spans="2:2" ht="15.5" x14ac:dyDescent="0.35">
      <c r="B5475" s="853">
        <v>292711.09639898787</v>
      </c>
    </row>
    <row r="5476" spans="2:2" ht="15.5" x14ac:dyDescent="0.35">
      <c r="B5476" s="853">
        <v>371320.32516040368</v>
      </c>
    </row>
    <row r="5477" spans="2:2" ht="15.5" x14ac:dyDescent="0.35">
      <c r="B5477" s="853">
        <v>415078.58048284688</v>
      </c>
    </row>
    <row r="5478" spans="2:2" ht="15.5" x14ac:dyDescent="0.35">
      <c r="B5478" s="853">
        <v>371473.22585548135</v>
      </c>
    </row>
    <row r="5479" spans="2:2" ht="15.5" x14ac:dyDescent="0.35">
      <c r="B5479" s="853">
        <v>129370.14885470179</v>
      </c>
    </row>
    <row r="5480" spans="2:2" ht="15.5" x14ac:dyDescent="0.35">
      <c r="B5480" s="853">
        <v>272218.18744452408</v>
      </c>
    </row>
    <row r="5481" spans="2:2" ht="15.5" x14ac:dyDescent="0.35">
      <c r="B5481" s="853">
        <v>328221.35623564356</v>
      </c>
    </row>
    <row r="5482" spans="2:2" ht="15.5" x14ac:dyDescent="0.35">
      <c r="B5482" s="853">
        <v>318568.02374705684</v>
      </c>
    </row>
    <row r="5483" spans="2:2" ht="15.5" x14ac:dyDescent="0.35">
      <c r="B5483" s="853">
        <v>141656.12275041218</v>
      </c>
    </row>
    <row r="5484" spans="2:2" ht="15.5" x14ac:dyDescent="0.35">
      <c r="B5484" s="853">
        <v>585691.62532097148</v>
      </c>
    </row>
    <row r="5485" spans="2:2" ht="15.5" x14ac:dyDescent="0.35">
      <c r="B5485" s="853">
        <v>265437.7186030717</v>
      </c>
    </row>
    <row r="5486" spans="2:2" ht="15.5" x14ac:dyDescent="0.35">
      <c r="B5486" s="853">
        <v>177123.77105110962</v>
      </c>
    </row>
    <row r="5487" spans="2:2" ht="15.5" x14ac:dyDescent="0.35">
      <c r="B5487" s="853">
        <v>295782.29197664716</v>
      </c>
    </row>
    <row r="5488" spans="2:2" ht="15.5" x14ac:dyDescent="0.35">
      <c r="B5488" s="853">
        <v>167605.35307267116</v>
      </c>
    </row>
    <row r="5489" spans="2:2" ht="15.5" x14ac:dyDescent="0.35">
      <c r="B5489" s="853">
        <v>210164.85595735483</v>
      </c>
    </row>
    <row r="5490" spans="2:2" ht="15.5" x14ac:dyDescent="0.35">
      <c r="B5490" s="853">
        <v>65563.137035621025</v>
      </c>
    </row>
    <row r="5491" spans="2:2" ht="15.5" x14ac:dyDescent="0.35">
      <c r="B5491" s="853">
        <v>260137.37956964583</v>
      </c>
    </row>
    <row r="5492" spans="2:2" ht="15.5" x14ac:dyDescent="0.35">
      <c r="B5492" s="853">
        <v>469544.64495653735</v>
      </c>
    </row>
    <row r="5493" spans="2:2" ht="15.5" x14ac:dyDescent="0.35">
      <c r="B5493" s="853">
        <v>294925.62702583871</v>
      </c>
    </row>
    <row r="5494" spans="2:2" ht="15.5" x14ac:dyDescent="0.35">
      <c r="B5494" s="853">
        <v>325753.30343314522</v>
      </c>
    </row>
    <row r="5495" spans="2:2" ht="15.5" x14ac:dyDescent="0.35">
      <c r="B5495" s="853">
        <v>182198.67791342147</v>
      </c>
    </row>
    <row r="5496" spans="2:2" ht="15.5" x14ac:dyDescent="0.35">
      <c r="B5496" s="853">
        <v>372764.85331576772</v>
      </c>
    </row>
    <row r="5497" spans="2:2" ht="15.5" x14ac:dyDescent="0.35">
      <c r="B5497" s="853">
        <v>290712.43624213181</v>
      </c>
    </row>
    <row r="5498" spans="2:2" ht="15.5" x14ac:dyDescent="0.35">
      <c r="B5498" s="853">
        <v>272199.64453951688</v>
      </c>
    </row>
    <row r="5499" spans="2:2" ht="15.5" x14ac:dyDescent="0.35">
      <c r="B5499" s="853">
        <v>135703.68388029985</v>
      </c>
    </row>
    <row r="5500" spans="2:2" ht="15.5" x14ac:dyDescent="0.35">
      <c r="B5500" s="853">
        <v>483084.48852948233</v>
      </c>
    </row>
    <row r="5501" spans="2:2" ht="15.5" x14ac:dyDescent="0.35">
      <c r="B5501" s="853">
        <v>606128.50993166829</v>
      </c>
    </row>
    <row r="5502" spans="2:2" ht="15.5" x14ac:dyDescent="0.35">
      <c r="B5502" s="853">
        <v>379476.73364794627</v>
      </c>
    </row>
    <row r="5503" spans="2:2" ht="15.5" x14ac:dyDescent="0.35">
      <c r="B5503" s="853">
        <v>30653.51597970034</v>
      </c>
    </row>
    <row r="5504" spans="2:2" ht="15.5" x14ac:dyDescent="0.35">
      <c r="B5504" s="853">
        <v>195069.59425973418</v>
      </c>
    </row>
    <row r="5505" spans="2:2" ht="15.5" x14ac:dyDescent="0.35">
      <c r="B5505" s="853">
        <v>600418.32612934266</v>
      </c>
    </row>
    <row r="5506" spans="2:2" ht="15.5" x14ac:dyDescent="0.35">
      <c r="B5506" s="853">
        <v>410893.98843263224</v>
      </c>
    </row>
    <row r="5507" spans="2:2" ht="15.5" x14ac:dyDescent="0.35">
      <c r="B5507" s="853">
        <v>443496.22539673507</v>
      </c>
    </row>
    <row r="5508" spans="2:2" ht="15.5" x14ac:dyDescent="0.35">
      <c r="B5508" s="853">
        <v>291916.34178297338</v>
      </c>
    </row>
    <row r="5509" spans="2:2" ht="15.5" x14ac:dyDescent="0.35">
      <c r="B5509" s="853">
        <v>179889.6689293794</v>
      </c>
    </row>
    <row r="5510" spans="2:2" ht="15.5" x14ac:dyDescent="0.35">
      <c r="B5510" s="853">
        <v>156398.60484759879</v>
      </c>
    </row>
    <row r="5511" spans="2:2" ht="15.5" x14ac:dyDescent="0.35">
      <c r="B5511" s="853">
        <v>298716.23183958989</v>
      </c>
    </row>
    <row r="5512" spans="2:2" ht="15.5" x14ac:dyDescent="0.35">
      <c r="B5512" s="853">
        <v>663918.90452801087</v>
      </c>
    </row>
    <row r="5513" spans="2:2" ht="15.5" x14ac:dyDescent="0.35">
      <c r="B5513" s="853">
        <v>292298.03732103977</v>
      </c>
    </row>
    <row r="5514" spans="2:2" ht="15.5" x14ac:dyDescent="0.35">
      <c r="B5514" s="853">
        <v>573147.27239488252</v>
      </c>
    </row>
    <row r="5515" spans="2:2" ht="15.5" x14ac:dyDescent="0.35">
      <c r="B5515" s="853">
        <v>420550.51904196077</v>
      </c>
    </row>
    <row r="5516" spans="2:2" ht="15.5" x14ac:dyDescent="0.35">
      <c r="B5516" s="853">
        <v>451761.13182410965</v>
      </c>
    </row>
    <row r="5517" spans="2:2" ht="15.5" x14ac:dyDescent="0.35">
      <c r="B5517" s="853">
        <v>160913.5328691114</v>
      </c>
    </row>
    <row r="5518" spans="2:2" ht="15.5" x14ac:dyDescent="0.35">
      <c r="B5518" s="853">
        <v>425002.39916368201</v>
      </c>
    </row>
    <row r="5519" spans="2:2" ht="15.5" x14ac:dyDescent="0.35">
      <c r="B5519" s="853">
        <v>361722.26630672521</v>
      </c>
    </row>
    <row r="5520" spans="2:2" ht="15.5" x14ac:dyDescent="0.35">
      <c r="B5520" s="853">
        <v>256425.63311263401</v>
      </c>
    </row>
    <row r="5521" spans="2:2" ht="15.5" x14ac:dyDescent="0.35">
      <c r="B5521" s="853">
        <v>586583.04236350418</v>
      </c>
    </row>
    <row r="5522" spans="2:2" ht="15.5" x14ac:dyDescent="0.35">
      <c r="B5522" s="853">
        <v>263106.16509284987</v>
      </c>
    </row>
    <row r="5523" spans="2:2" ht="15.5" x14ac:dyDescent="0.35">
      <c r="B5523" s="853">
        <v>346807.50796761474</v>
      </c>
    </row>
    <row r="5524" spans="2:2" ht="15.5" x14ac:dyDescent="0.35">
      <c r="B5524" s="853">
        <v>353703.64174676331</v>
      </c>
    </row>
    <row r="5525" spans="2:2" ht="15.5" x14ac:dyDescent="0.35">
      <c r="B5525" s="853">
        <v>-175237.85943015208</v>
      </c>
    </row>
    <row r="5526" spans="2:2" ht="15.5" x14ac:dyDescent="0.35">
      <c r="B5526" s="853">
        <v>341108.45522034593</v>
      </c>
    </row>
    <row r="5527" spans="2:2" ht="15.5" x14ac:dyDescent="0.35">
      <c r="B5527" s="853">
        <v>56193.159989376894</v>
      </c>
    </row>
    <row r="5528" spans="2:2" ht="15.5" x14ac:dyDescent="0.35">
      <c r="B5528" s="853">
        <v>268216.06928002235</v>
      </c>
    </row>
    <row r="5529" spans="2:2" ht="15.5" x14ac:dyDescent="0.35">
      <c r="B5529" s="853">
        <v>548022.08713756932</v>
      </c>
    </row>
    <row r="5530" spans="2:2" ht="15.5" x14ac:dyDescent="0.35">
      <c r="B5530" s="853">
        <v>324307.95020733896</v>
      </c>
    </row>
    <row r="5531" spans="2:2" ht="15.5" x14ac:dyDescent="0.35">
      <c r="B5531" s="853">
        <v>123087.12724729168</v>
      </c>
    </row>
    <row r="5532" spans="2:2" ht="15.5" x14ac:dyDescent="0.35">
      <c r="B5532" s="853">
        <v>170340.51746551952</v>
      </c>
    </row>
    <row r="5533" spans="2:2" ht="15.5" x14ac:dyDescent="0.35">
      <c r="B5533" s="853">
        <v>255214.70623225521</v>
      </c>
    </row>
    <row r="5534" spans="2:2" ht="15.5" x14ac:dyDescent="0.35">
      <c r="B5534" s="853">
        <v>117633.33946766383</v>
      </c>
    </row>
    <row r="5535" spans="2:2" ht="15.5" x14ac:dyDescent="0.35">
      <c r="B5535" s="853">
        <v>225975.55105503678</v>
      </c>
    </row>
    <row r="5536" spans="2:2" ht="15.5" x14ac:dyDescent="0.35">
      <c r="B5536" s="853">
        <v>274428.57117981144</v>
      </c>
    </row>
    <row r="5537" spans="2:2" ht="15.5" x14ac:dyDescent="0.35">
      <c r="B5537" s="853">
        <v>502045.39448942168</v>
      </c>
    </row>
    <row r="5538" spans="2:2" ht="15.5" x14ac:dyDescent="0.35">
      <c r="B5538" s="853">
        <v>211434.72921211249</v>
      </c>
    </row>
    <row r="5539" spans="2:2" ht="15.5" x14ac:dyDescent="0.35">
      <c r="B5539" s="853">
        <v>448285.17674038169</v>
      </c>
    </row>
    <row r="5540" spans="2:2" ht="15.5" x14ac:dyDescent="0.35">
      <c r="B5540" s="853">
        <v>233856.78460921627</v>
      </c>
    </row>
    <row r="5541" spans="2:2" ht="15.5" x14ac:dyDescent="0.35">
      <c r="B5541" s="853">
        <v>260708.32393967445</v>
      </c>
    </row>
    <row r="5542" spans="2:2" ht="15.5" x14ac:dyDescent="0.35">
      <c r="B5542" s="853">
        <v>212819.34985284117</v>
      </c>
    </row>
    <row r="5543" spans="2:2" ht="15.5" x14ac:dyDescent="0.35">
      <c r="B5543" s="853">
        <v>245024.74565834223</v>
      </c>
    </row>
    <row r="5544" spans="2:2" ht="15.5" x14ac:dyDescent="0.35">
      <c r="B5544" s="853">
        <v>274368.12095420389</v>
      </c>
    </row>
    <row r="5545" spans="2:2" ht="15.5" x14ac:dyDescent="0.35">
      <c r="B5545" s="853">
        <v>225274.16252843675</v>
      </c>
    </row>
    <row r="5546" spans="2:2" ht="15.5" x14ac:dyDescent="0.35">
      <c r="B5546" s="853">
        <v>240983.66941614484</v>
      </c>
    </row>
    <row r="5547" spans="2:2" ht="15.5" x14ac:dyDescent="0.35">
      <c r="B5547" s="853">
        <v>22724.325436202565</v>
      </c>
    </row>
    <row r="5548" spans="2:2" ht="15.5" x14ac:dyDescent="0.35">
      <c r="B5548" s="853">
        <v>447850.41691802826</v>
      </c>
    </row>
    <row r="5549" spans="2:2" ht="15.5" x14ac:dyDescent="0.35">
      <c r="B5549" s="853">
        <v>109415.67959500768</v>
      </c>
    </row>
    <row r="5550" spans="2:2" ht="15.5" x14ac:dyDescent="0.35">
      <c r="B5550" s="853">
        <v>510741.33269566414</v>
      </c>
    </row>
    <row r="5551" spans="2:2" ht="15.5" x14ac:dyDescent="0.35">
      <c r="B5551" s="853">
        <v>97571.532852218385</v>
      </c>
    </row>
    <row r="5552" spans="2:2" ht="15.5" x14ac:dyDescent="0.35">
      <c r="B5552" s="853">
        <v>157234.87899785166</v>
      </c>
    </row>
    <row r="5553" spans="2:2" ht="15.5" x14ac:dyDescent="0.35">
      <c r="B5553" s="853">
        <v>165124.43304847041</v>
      </c>
    </row>
    <row r="5554" spans="2:2" ht="15.5" x14ac:dyDescent="0.35">
      <c r="B5554" s="853">
        <v>160496.28883807457</v>
      </c>
    </row>
    <row r="5555" spans="2:2" ht="15.5" x14ac:dyDescent="0.35">
      <c r="B5555" s="853">
        <v>301437.63328887906</v>
      </c>
    </row>
    <row r="5556" spans="2:2" ht="15.5" x14ac:dyDescent="0.35">
      <c r="B5556" s="853">
        <v>171908.6274335199</v>
      </c>
    </row>
    <row r="5557" spans="2:2" ht="15.5" x14ac:dyDescent="0.35">
      <c r="B5557" s="853">
        <v>529735.65604687948</v>
      </c>
    </row>
    <row r="5558" spans="2:2" ht="15.5" x14ac:dyDescent="0.35">
      <c r="B5558" s="853">
        <v>251420.97210176542</v>
      </c>
    </row>
    <row r="5559" spans="2:2" ht="15.5" x14ac:dyDescent="0.35">
      <c r="B5559" s="853">
        <v>373606.86210108275</v>
      </c>
    </row>
    <row r="5560" spans="2:2" ht="15.5" x14ac:dyDescent="0.35">
      <c r="B5560" s="853">
        <v>171204.13675637922</v>
      </c>
    </row>
    <row r="5561" spans="2:2" ht="15.5" x14ac:dyDescent="0.35">
      <c r="B5561" s="853">
        <v>470502.61591463455</v>
      </c>
    </row>
    <row r="5562" spans="2:2" ht="15.5" x14ac:dyDescent="0.35">
      <c r="B5562" s="853">
        <v>236280.58979972123</v>
      </c>
    </row>
    <row r="5563" spans="2:2" ht="15.5" x14ac:dyDescent="0.35">
      <c r="B5563" s="853">
        <v>161714.15789545391</v>
      </c>
    </row>
    <row r="5564" spans="2:2" ht="15.5" x14ac:dyDescent="0.35">
      <c r="B5564" s="853">
        <v>150521.7355935114</v>
      </c>
    </row>
    <row r="5565" spans="2:2" ht="15.5" x14ac:dyDescent="0.35">
      <c r="B5565" s="853">
        <v>373920.1568763713</v>
      </c>
    </row>
    <row r="5566" spans="2:2" ht="15.5" x14ac:dyDescent="0.35">
      <c r="B5566" s="853">
        <v>520803.3973554633</v>
      </c>
    </row>
    <row r="5567" spans="2:2" ht="15.5" x14ac:dyDescent="0.35">
      <c r="B5567" s="853">
        <v>96628.535062170689</v>
      </c>
    </row>
    <row r="5568" spans="2:2" ht="15.5" x14ac:dyDescent="0.35">
      <c r="B5568" s="853">
        <v>266978.65568162635</v>
      </c>
    </row>
    <row r="5569" spans="2:2" ht="15.5" x14ac:dyDescent="0.35">
      <c r="B5569" s="853">
        <v>456645.26078232762</v>
      </c>
    </row>
    <row r="5570" spans="2:2" ht="15.5" x14ac:dyDescent="0.35">
      <c r="B5570" s="853">
        <v>226634.42286613301</v>
      </c>
    </row>
    <row r="5571" spans="2:2" ht="15.5" x14ac:dyDescent="0.35">
      <c r="B5571" s="853">
        <v>34487.219692932013</v>
      </c>
    </row>
    <row r="5572" spans="2:2" ht="15.5" x14ac:dyDescent="0.35">
      <c r="B5572" s="853">
        <v>184848.08394759064</v>
      </c>
    </row>
    <row r="5573" spans="2:2" ht="15.5" x14ac:dyDescent="0.35">
      <c r="B5573" s="853">
        <v>397779.04358394525</v>
      </c>
    </row>
    <row r="5574" spans="2:2" ht="15.5" x14ac:dyDescent="0.35">
      <c r="B5574" s="853">
        <v>235830.55795344507</v>
      </c>
    </row>
    <row r="5575" spans="2:2" ht="15.5" x14ac:dyDescent="0.35">
      <c r="B5575" s="853">
        <v>122103.78013667681</v>
      </c>
    </row>
    <row r="5576" spans="2:2" ht="15.5" x14ac:dyDescent="0.35">
      <c r="B5576" s="853">
        <v>77188.222938213803</v>
      </c>
    </row>
    <row r="5577" spans="2:2" ht="15.5" x14ac:dyDescent="0.35">
      <c r="B5577" s="853">
        <v>274619.79985585285</v>
      </c>
    </row>
    <row r="5578" spans="2:2" ht="15.5" x14ac:dyDescent="0.35">
      <c r="B5578" s="853">
        <v>330594.35553421779</v>
      </c>
    </row>
    <row r="5579" spans="2:2" ht="15.5" x14ac:dyDescent="0.35">
      <c r="B5579" s="853">
        <v>466684.61916901229</v>
      </c>
    </row>
    <row r="5580" spans="2:2" ht="15.5" x14ac:dyDescent="0.35">
      <c r="B5580" s="853">
        <v>303905.73535736505</v>
      </c>
    </row>
    <row r="5581" spans="2:2" ht="15.5" x14ac:dyDescent="0.35">
      <c r="B5581" s="853">
        <v>547878.78112328798</v>
      </c>
    </row>
    <row r="5582" spans="2:2" ht="15.5" x14ac:dyDescent="0.35">
      <c r="B5582" s="853">
        <v>562041.68387148459</v>
      </c>
    </row>
    <row r="5583" spans="2:2" ht="15.5" x14ac:dyDescent="0.35">
      <c r="B5583" s="853">
        <v>392536.54493971705</v>
      </c>
    </row>
    <row r="5584" spans="2:2" ht="15.5" x14ac:dyDescent="0.35">
      <c r="B5584" s="853">
        <v>102639.05745030002</v>
      </c>
    </row>
    <row r="5585" spans="2:2" ht="15.5" x14ac:dyDescent="0.35">
      <c r="B5585" s="853">
        <v>600393.64552084345</v>
      </c>
    </row>
    <row r="5586" spans="2:2" ht="15.5" x14ac:dyDescent="0.35">
      <c r="B5586" s="853">
        <v>113173.02230231219</v>
      </c>
    </row>
    <row r="5587" spans="2:2" ht="15.5" x14ac:dyDescent="0.35">
      <c r="B5587" s="853">
        <v>187502.46066645184</v>
      </c>
    </row>
    <row r="5588" spans="2:2" ht="15.5" x14ac:dyDescent="0.35">
      <c r="B5588" s="853">
        <v>505757.99008022004</v>
      </c>
    </row>
    <row r="5589" spans="2:2" ht="15.5" x14ac:dyDescent="0.35">
      <c r="B5589" s="853">
        <v>3735.4361027914024</v>
      </c>
    </row>
    <row r="5590" spans="2:2" ht="15.5" x14ac:dyDescent="0.35">
      <c r="B5590" s="853">
        <v>420086.52872257447</v>
      </c>
    </row>
    <row r="5591" spans="2:2" ht="15.5" x14ac:dyDescent="0.35">
      <c r="B5591" s="853">
        <v>562839.56394599541</v>
      </c>
    </row>
    <row r="5592" spans="2:2" ht="15.5" x14ac:dyDescent="0.35">
      <c r="B5592" s="853">
        <v>347741.65132189239</v>
      </c>
    </row>
    <row r="5593" spans="2:2" ht="15.5" x14ac:dyDescent="0.35">
      <c r="B5593" s="853">
        <v>104832.09655431932</v>
      </c>
    </row>
    <row r="5594" spans="2:2" ht="15.5" x14ac:dyDescent="0.35">
      <c r="B5594" s="853">
        <v>313611.65649235528</v>
      </c>
    </row>
    <row r="5595" spans="2:2" ht="15.5" x14ac:dyDescent="0.35">
      <c r="B5595" s="853">
        <v>432924.66925023013</v>
      </c>
    </row>
    <row r="5596" spans="2:2" ht="15.5" x14ac:dyDescent="0.35">
      <c r="B5596" s="853">
        <v>473743.31951560255</v>
      </c>
    </row>
    <row r="5597" spans="2:2" ht="15.5" x14ac:dyDescent="0.35">
      <c r="B5597" s="853">
        <v>515095.68638015835</v>
      </c>
    </row>
    <row r="5598" spans="2:2" ht="15.5" x14ac:dyDescent="0.35">
      <c r="B5598" s="853">
        <v>328930.37696092686</v>
      </c>
    </row>
    <row r="5599" spans="2:2" ht="15.5" x14ac:dyDescent="0.35">
      <c r="B5599" s="853">
        <v>167827.75123435474</v>
      </c>
    </row>
    <row r="5600" spans="2:2" ht="15.5" x14ac:dyDescent="0.35">
      <c r="B5600" s="853">
        <v>358805.52970136248</v>
      </c>
    </row>
    <row r="5601" spans="2:2" ht="15.5" x14ac:dyDescent="0.35">
      <c r="B5601" s="853">
        <v>485784.04963523563</v>
      </c>
    </row>
    <row r="5602" spans="2:2" ht="15.5" x14ac:dyDescent="0.35">
      <c r="B5602" s="853">
        <v>411922.87949207547</v>
      </c>
    </row>
    <row r="5603" spans="2:2" ht="15.5" x14ac:dyDescent="0.35">
      <c r="B5603" s="853">
        <v>418281.68811143935</v>
      </c>
    </row>
    <row r="5604" spans="2:2" ht="15.5" x14ac:dyDescent="0.35">
      <c r="B5604" s="853">
        <v>115612.10490682682</v>
      </c>
    </row>
    <row r="5605" spans="2:2" ht="15.5" x14ac:dyDescent="0.35">
      <c r="B5605" s="853">
        <v>221842.84883177248</v>
      </c>
    </row>
    <row r="5606" spans="2:2" ht="15.5" x14ac:dyDescent="0.35">
      <c r="B5606" s="853">
        <v>505894.20327023487</v>
      </c>
    </row>
    <row r="5607" spans="2:2" ht="15.5" x14ac:dyDescent="0.35">
      <c r="B5607" s="853">
        <v>369410.75160642824</v>
      </c>
    </row>
    <row r="5608" spans="2:2" ht="15.5" x14ac:dyDescent="0.35">
      <c r="B5608" s="853">
        <v>416666.91009065125</v>
      </c>
    </row>
    <row r="5609" spans="2:2" ht="15.5" x14ac:dyDescent="0.35">
      <c r="B5609" s="853">
        <v>292885.68671943952</v>
      </c>
    </row>
    <row r="5610" spans="2:2" ht="15.5" x14ac:dyDescent="0.35">
      <c r="B5610" s="853">
        <v>442873.61345945304</v>
      </c>
    </row>
    <row r="5611" spans="2:2" ht="15.5" x14ac:dyDescent="0.35">
      <c r="B5611" s="853">
        <v>419376.55355123774</v>
      </c>
    </row>
    <row r="5612" spans="2:2" ht="15.5" x14ac:dyDescent="0.35">
      <c r="B5612" s="853">
        <v>273218.46908130462</v>
      </c>
    </row>
    <row r="5613" spans="2:2" ht="15.5" x14ac:dyDescent="0.35">
      <c r="B5613" s="853">
        <v>173751.92219594735</v>
      </c>
    </row>
    <row r="5614" spans="2:2" ht="15.5" x14ac:dyDescent="0.35">
      <c r="B5614" s="853">
        <v>147519.59335274229</v>
      </c>
    </row>
    <row r="5615" spans="2:2" ht="15.5" x14ac:dyDescent="0.35">
      <c r="B5615" s="853">
        <v>122616.60459870641</v>
      </c>
    </row>
    <row r="5616" spans="2:2" ht="15.5" x14ac:dyDescent="0.35">
      <c r="B5616" s="853">
        <v>114197.04813408623</v>
      </c>
    </row>
    <row r="5617" spans="2:2" ht="15.5" x14ac:dyDescent="0.35">
      <c r="B5617" s="853">
        <v>389284.75581481284</v>
      </c>
    </row>
    <row r="5618" spans="2:2" ht="15.5" x14ac:dyDescent="0.35">
      <c r="B5618" s="853">
        <v>357102.82363424811</v>
      </c>
    </row>
    <row r="5619" spans="2:2" ht="15.5" x14ac:dyDescent="0.35">
      <c r="B5619" s="853">
        <v>493455.77575699956</v>
      </c>
    </row>
    <row r="5620" spans="2:2" ht="15.5" x14ac:dyDescent="0.35">
      <c r="B5620" s="853">
        <v>209678.5060195722</v>
      </c>
    </row>
    <row r="5621" spans="2:2" ht="15.5" x14ac:dyDescent="0.35">
      <c r="B5621" s="853">
        <v>462032.15677705326</v>
      </c>
    </row>
    <row r="5622" spans="2:2" ht="15.5" x14ac:dyDescent="0.35">
      <c r="B5622" s="853">
        <v>247789.23108489593</v>
      </c>
    </row>
    <row r="5623" spans="2:2" ht="15.5" x14ac:dyDescent="0.35">
      <c r="B5623" s="853">
        <v>352895.7229293228</v>
      </c>
    </row>
    <row r="5624" spans="2:2" ht="15.5" x14ac:dyDescent="0.35">
      <c r="B5624" s="853">
        <v>474799.0327607384</v>
      </c>
    </row>
    <row r="5625" spans="2:2" ht="15.5" x14ac:dyDescent="0.35">
      <c r="B5625" s="853">
        <v>320711.32251505076</v>
      </c>
    </row>
    <row r="5626" spans="2:2" ht="15.5" x14ac:dyDescent="0.35">
      <c r="B5626" s="853">
        <v>213024.24349823248</v>
      </c>
    </row>
    <row r="5627" spans="2:2" ht="15.5" x14ac:dyDescent="0.35">
      <c r="B5627" s="853">
        <v>463649.53700939688</v>
      </c>
    </row>
    <row r="5628" spans="2:2" ht="15.5" x14ac:dyDescent="0.35">
      <c r="B5628" s="853">
        <v>375355.5377576694</v>
      </c>
    </row>
    <row r="5629" spans="2:2" ht="15.5" x14ac:dyDescent="0.35">
      <c r="B5629" s="853">
        <v>278904.81918145268</v>
      </c>
    </row>
    <row r="5630" spans="2:2" ht="15.5" x14ac:dyDescent="0.35">
      <c r="B5630" s="853">
        <v>459024.20896577864</v>
      </c>
    </row>
    <row r="5631" spans="2:2" ht="15.5" x14ac:dyDescent="0.35">
      <c r="B5631" s="853">
        <v>463483.4233019402</v>
      </c>
    </row>
    <row r="5632" spans="2:2" ht="15.5" x14ac:dyDescent="0.35">
      <c r="B5632" s="853">
        <v>439403.3953617838</v>
      </c>
    </row>
    <row r="5633" spans="2:2" ht="15.5" x14ac:dyDescent="0.35">
      <c r="B5633" s="853">
        <v>312180.14178822801</v>
      </c>
    </row>
    <row r="5634" spans="2:2" ht="15.5" x14ac:dyDescent="0.35">
      <c r="B5634" s="853">
        <v>292044.63102900935</v>
      </c>
    </row>
    <row r="5635" spans="2:2" ht="15.5" x14ac:dyDescent="0.35">
      <c r="B5635" s="853">
        <v>155671.07810790036</v>
      </c>
    </row>
    <row r="5636" spans="2:2" ht="15.5" x14ac:dyDescent="0.35">
      <c r="B5636" s="853">
        <v>464580.6535910184</v>
      </c>
    </row>
    <row r="5637" spans="2:2" ht="15.5" x14ac:dyDescent="0.35">
      <c r="B5637" s="853">
        <v>241034.15027979587</v>
      </c>
    </row>
    <row r="5638" spans="2:2" ht="15.5" x14ac:dyDescent="0.35">
      <c r="B5638" s="853">
        <v>411451.81209320587</v>
      </c>
    </row>
    <row r="5639" spans="2:2" ht="15.5" x14ac:dyDescent="0.35">
      <c r="B5639" s="853">
        <v>-12799.159333532476</v>
      </c>
    </row>
    <row r="5640" spans="2:2" ht="15.5" x14ac:dyDescent="0.35">
      <c r="B5640" s="853">
        <v>281665.68501950544</v>
      </c>
    </row>
    <row r="5641" spans="2:2" ht="15.5" x14ac:dyDescent="0.35">
      <c r="B5641" s="853">
        <v>514366.95001069346</v>
      </c>
    </row>
    <row r="5642" spans="2:2" ht="15.5" x14ac:dyDescent="0.35">
      <c r="B5642" s="853">
        <v>411773.27237001265</v>
      </c>
    </row>
    <row r="5643" spans="2:2" ht="15.5" x14ac:dyDescent="0.35">
      <c r="B5643" s="853">
        <v>236754.9204054141</v>
      </c>
    </row>
    <row r="5644" spans="2:2" ht="15.5" x14ac:dyDescent="0.35">
      <c r="B5644" s="853">
        <v>193784.9195190988</v>
      </c>
    </row>
    <row r="5645" spans="2:2" ht="15.5" x14ac:dyDescent="0.35">
      <c r="B5645" s="853">
        <v>197090.61906263742</v>
      </c>
    </row>
    <row r="5646" spans="2:2" ht="15.5" x14ac:dyDescent="0.35">
      <c r="B5646" s="853">
        <v>75383.396952619718</v>
      </c>
    </row>
    <row r="5647" spans="2:2" ht="15.5" x14ac:dyDescent="0.35">
      <c r="B5647" s="853">
        <v>221869.00676482305</v>
      </c>
    </row>
    <row r="5648" spans="2:2" ht="15.5" x14ac:dyDescent="0.35">
      <c r="B5648" s="853">
        <v>190129.24051741959</v>
      </c>
    </row>
    <row r="5649" spans="2:2" ht="15.5" x14ac:dyDescent="0.35">
      <c r="B5649" s="853">
        <v>230298.87606464457</v>
      </c>
    </row>
    <row r="5650" spans="2:2" ht="15.5" x14ac:dyDescent="0.35">
      <c r="B5650" s="853">
        <v>488052.64261879149</v>
      </c>
    </row>
    <row r="5651" spans="2:2" ht="15.5" x14ac:dyDescent="0.35">
      <c r="B5651" s="853">
        <v>438497.46778688161</v>
      </c>
    </row>
    <row r="5652" spans="2:2" ht="15.5" x14ac:dyDescent="0.35">
      <c r="B5652" s="853">
        <v>339740.65779803949</v>
      </c>
    </row>
    <row r="5653" spans="2:2" ht="15.5" x14ac:dyDescent="0.35">
      <c r="B5653" s="853">
        <v>88721.754478453397</v>
      </c>
    </row>
    <row r="5654" spans="2:2" ht="15.5" x14ac:dyDescent="0.35">
      <c r="B5654" s="853">
        <v>473692.17558204709</v>
      </c>
    </row>
    <row r="5655" spans="2:2" ht="15.5" x14ac:dyDescent="0.35">
      <c r="B5655" s="853">
        <v>443178.27701617236</v>
      </c>
    </row>
    <row r="5656" spans="2:2" ht="15.5" x14ac:dyDescent="0.35">
      <c r="B5656" s="853">
        <v>260731.88052903759</v>
      </c>
    </row>
    <row r="5657" spans="2:2" ht="15.5" x14ac:dyDescent="0.35">
      <c r="B5657" s="853">
        <v>162121.11080718777</v>
      </c>
    </row>
    <row r="5658" spans="2:2" ht="15.5" x14ac:dyDescent="0.35">
      <c r="B5658" s="853">
        <v>217094.60298320002</v>
      </c>
    </row>
    <row r="5659" spans="2:2" ht="15.5" x14ac:dyDescent="0.35">
      <c r="B5659" s="853">
        <v>236144.30647435429</v>
      </c>
    </row>
    <row r="5660" spans="2:2" ht="15.5" x14ac:dyDescent="0.35">
      <c r="B5660" s="853">
        <v>390727.40075666923</v>
      </c>
    </row>
    <row r="5661" spans="2:2" ht="15.5" x14ac:dyDescent="0.35">
      <c r="B5661" s="853">
        <v>298853.9523312294</v>
      </c>
    </row>
    <row r="5662" spans="2:2" ht="15.5" x14ac:dyDescent="0.35">
      <c r="B5662" s="853">
        <v>248985.5926655948</v>
      </c>
    </row>
    <row r="5663" spans="2:2" ht="15.5" x14ac:dyDescent="0.35">
      <c r="B5663" s="853">
        <v>178150.23758193187</v>
      </c>
    </row>
    <row r="5664" spans="2:2" ht="15.5" x14ac:dyDescent="0.35">
      <c r="B5664" s="853">
        <v>122453.40409531031</v>
      </c>
    </row>
    <row r="5665" spans="2:2" ht="15.5" x14ac:dyDescent="0.35">
      <c r="B5665" s="853">
        <v>252697.6988774139</v>
      </c>
    </row>
    <row r="5666" spans="2:2" ht="15.5" x14ac:dyDescent="0.35">
      <c r="B5666" s="853">
        <v>175460.9766402425</v>
      </c>
    </row>
    <row r="5667" spans="2:2" ht="15.5" x14ac:dyDescent="0.35">
      <c r="B5667" s="853">
        <v>318314.41097892367</v>
      </c>
    </row>
    <row r="5668" spans="2:2" ht="15.5" x14ac:dyDescent="0.35">
      <c r="B5668" s="853">
        <v>234277.69083346112</v>
      </c>
    </row>
    <row r="5669" spans="2:2" ht="15.5" x14ac:dyDescent="0.35">
      <c r="B5669" s="853">
        <v>73993.827537171892</v>
      </c>
    </row>
    <row r="5670" spans="2:2" ht="15.5" x14ac:dyDescent="0.35">
      <c r="B5670" s="853">
        <v>231883.58211491627</v>
      </c>
    </row>
    <row r="5671" spans="2:2" ht="15.5" x14ac:dyDescent="0.35">
      <c r="B5671" s="853">
        <v>160831.79484510189</v>
      </c>
    </row>
    <row r="5672" spans="2:2" ht="15.5" x14ac:dyDescent="0.35">
      <c r="B5672" s="853">
        <v>384111.41240628861</v>
      </c>
    </row>
    <row r="5673" spans="2:2" ht="15.5" x14ac:dyDescent="0.35">
      <c r="B5673" s="853">
        <v>300589.96499768196</v>
      </c>
    </row>
    <row r="5674" spans="2:2" ht="15.5" x14ac:dyDescent="0.35">
      <c r="B5674" s="853">
        <v>446673.28132647666</v>
      </c>
    </row>
    <row r="5675" spans="2:2" ht="15.5" x14ac:dyDescent="0.35">
      <c r="B5675" s="853">
        <v>140706.6879804646</v>
      </c>
    </row>
    <row r="5676" spans="2:2" ht="15.5" x14ac:dyDescent="0.35">
      <c r="B5676" s="853">
        <v>340918.74571632943</v>
      </c>
    </row>
    <row r="5677" spans="2:2" ht="15.5" x14ac:dyDescent="0.35">
      <c r="B5677" s="853">
        <v>395288.20447066985</v>
      </c>
    </row>
    <row r="5678" spans="2:2" ht="15.5" x14ac:dyDescent="0.35">
      <c r="B5678" s="853">
        <v>361489.32512272609</v>
      </c>
    </row>
    <row r="5679" spans="2:2" ht="15.5" x14ac:dyDescent="0.35">
      <c r="B5679" s="853">
        <v>323971.16972537391</v>
      </c>
    </row>
    <row r="5680" spans="2:2" ht="15.5" x14ac:dyDescent="0.35">
      <c r="B5680" s="853">
        <v>146288.35190324934</v>
      </c>
    </row>
    <row r="5681" spans="2:2" ht="15.5" x14ac:dyDescent="0.35">
      <c r="B5681" s="853">
        <v>210983.04452427509</v>
      </c>
    </row>
    <row r="5682" spans="2:2" ht="15.5" x14ac:dyDescent="0.35">
      <c r="B5682" s="853">
        <v>227453.29770500551</v>
      </c>
    </row>
    <row r="5683" spans="2:2" ht="15.5" x14ac:dyDescent="0.35">
      <c r="B5683" s="853">
        <v>332353.18338109227</v>
      </c>
    </row>
    <row r="5684" spans="2:2" ht="15.5" x14ac:dyDescent="0.35">
      <c r="B5684" s="853">
        <v>366764.71753182076</v>
      </c>
    </row>
    <row r="5685" spans="2:2" ht="15.5" x14ac:dyDescent="0.35">
      <c r="B5685" s="853">
        <v>63315.504456159317</v>
      </c>
    </row>
    <row r="5686" spans="2:2" ht="15.5" x14ac:dyDescent="0.35">
      <c r="B5686" s="853">
        <v>358077.63894889102</v>
      </c>
    </row>
    <row r="5687" spans="2:2" ht="15.5" x14ac:dyDescent="0.35">
      <c r="B5687" s="853">
        <v>527875.35798587452</v>
      </c>
    </row>
    <row r="5688" spans="2:2" ht="15.5" x14ac:dyDescent="0.35">
      <c r="B5688" s="853">
        <v>218701.60358197082</v>
      </c>
    </row>
    <row r="5689" spans="2:2" ht="15.5" x14ac:dyDescent="0.35">
      <c r="B5689" s="853">
        <v>-28106.959945607156</v>
      </c>
    </row>
    <row r="5690" spans="2:2" ht="15.5" x14ac:dyDescent="0.35">
      <c r="B5690" s="853">
        <v>609442.01646385633</v>
      </c>
    </row>
    <row r="5691" spans="2:2" ht="15.5" x14ac:dyDescent="0.35">
      <c r="B5691" s="853">
        <v>606700.57399193733</v>
      </c>
    </row>
    <row r="5692" spans="2:2" ht="15.5" x14ac:dyDescent="0.35">
      <c r="B5692" s="853">
        <v>450965.78324444266</v>
      </c>
    </row>
    <row r="5693" spans="2:2" ht="15.5" x14ac:dyDescent="0.35">
      <c r="B5693" s="853">
        <v>454919.94043140416</v>
      </c>
    </row>
    <row r="5694" spans="2:2" ht="15.5" x14ac:dyDescent="0.35">
      <c r="B5694" s="853">
        <v>214742.82229222724</v>
      </c>
    </row>
    <row r="5695" spans="2:2" ht="15.5" x14ac:dyDescent="0.35">
      <c r="B5695" s="853">
        <v>239685.48135561394</v>
      </c>
    </row>
    <row r="5696" spans="2:2" ht="15.5" x14ac:dyDescent="0.35">
      <c r="B5696" s="853">
        <v>309783.16670872632</v>
      </c>
    </row>
    <row r="5697" spans="2:2" ht="15.5" x14ac:dyDescent="0.35">
      <c r="B5697" s="853">
        <v>518991.93536309368</v>
      </c>
    </row>
    <row r="5698" spans="2:2" ht="15.5" x14ac:dyDescent="0.35">
      <c r="B5698" s="853">
        <v>773614.28663226566</v>
      </c>
    </row>
    <row r="5699" spans="2:2" ht="15.5" x14ac:dyDescent="0.35">
      <c r="B5699" s="853">
        <v>486089.62262507051</v>
      </c>
    </row>
    <row r="5700" spans="2:2" ht="15.5" x14ac:dyDescent="0.35">
      <c r="B5700" s="853">
        <v>186695.2308897968</v>
      </c>
    </row>
    <row r="5701" spans="2:2" ht="15.5" x14ac:dyDescent="0.35">
      <c r="B5701" s="853">
        <v>361599.18039121031</v>
      </c>
    </row>
    <row r="5702" spans="2:2" ht="15.5" x14ac:dyDescent="0.35">
      <c r="B5702" s="853">
        <v>235443.9010103491</v>
      </c>
    </row>
    <row r="5703" spans="2:2" ht="15.5" x14ac:dyDescent="0.35">
      <c r="B5703" s="853">
        <v>248267.21842979296</v>
      </c>
    </row>
    <row r="5704" spans="2:2" ht="15.5" x14ac:dyDescent="0.35">
      <c r="B5704" s="853">
        <v>98874.043777249593</v>
      </c>
    </row>
    <row r="5705" spans="2:2" ht="15.5" x14ac:dyDescent="0.35">
      <c r="B5705" s="853">
        <v>66720.612982223363</v>
      </c>
    </row>
    <row r="5706" spans="2:2" ht="15.5" x14ac:dyDescent="0.35">
      <c r="B5706" s="853">
        <v>493849.26282055036</v>
      </c>
    </row>
    <row r="5707" spans="2:2" ht="15.5" x14ac:dyDescent="0.35">
      <c r="B5707" s="853">
        <v>333097.96234458045</v>
      </c>
    </row>
    <row r="5708" spans="2:2" ht="15.5" x14ac:dyDescent="0.35">
      <c r="B5708" s="853">
        <v>356453.70832253556</v>
      </c>
    </row>
    <row r="5709" spans="2:2" ht="15.5" x14ac:dyDescent="0.35">
      <c r="B5709" s="853">
        <v>332103.3503390667</v>
      </c>
    </row>
    <row r="5710" spans="2:2" ht="15.5" x14ac:dyDescent="0.35">
      <c r="B5710" s="853">
        <v>147055.07578343671</v>
      </c>
    </row>
    <row r="5711" spans="2:2" ht="15.5" x14ac:dyDescent="0.35">
      <c r="B5711" s="853">
        <v>470495.1676292569</v>
      </c>
    </row>
    <row r="5712" spans="2:2" ht="15.5" x14ac:dyDescent="0.35">
      <c r="B5712" s="853">
        <v>175915.1850106265</v>
      </c>
    </row>
    <row r="5713" spans="2:2" ht="15.5" x14ac:dyDescent="0.35">
      <c r="B5713" s="853">
        <v>356877.67989264923</v>
      </c>
    </row>
    <row r="5714" spans="2:2" ht="15.5" x14ac:dyDescent="0.35">
      <c r="B5714" s="853">
        <v>335530.49777336023</v>
      </c>
    </row>
    <row r="5715" spans="2:2" ht="15.5" x14ac:dyDescent="0.35">
      <c r="B5715" s="853">
        <v>563949.80827418668</v>
      </c>
    </row>
    <row r="5716" spans="2:2" ht="15.5" x14ac:dyDescent="0.35">
      <c r="B5716" s="853">
        <v>518345.88750977814</v>
      </c>
    </row>
    <row r="5717" spans="2:2" ht="15.5" x14ac:dyDescent="0.35">
      <c r="B5717" s="853">
        <v>199794.23293727753</v>
      </c>
    </row>
    <row r="5718" spans="2:2" ht="15.5" x14ac:dyDescent="0.35">
      <c r="B5718" s="853">
        <v>134021.46111574335</v>
      </c>
    </row>
    <row r="5719" spans="2:2" ht="15.5" x14ac:dyDescent="0.35">
      <c r="B5719" s="853">
        <v>475808.11426818342</v>
      </c>
    </row>
    <row r="5720" spans="2:2" ht="15.5" x14ac:dyDescent="0.35">
      <c r="B5720" s="853">
        <v>466761.50418964075</v>
      </c>
    </row>
    <row r="5721" spans="2:2" ht="15.5" x14ac:dyDescent="0.35">
      <c r="B5721" s="853">
        <v>165232.04046653555</v>
      </c>
    </row>
    <row r="5722" spans="2:2" ht="15.5" x14ac:dyDescent="0.35">
      <c r="B5722" s="853">
        <v>213086.81798689248</v>
      </c>
    </row>
    <row r="5723" spans="2:2" ht="15.5" x14ac:dyDescent="0.35">
      <c r="B5723" s="853">
        <v>378521.90742281999</v>
      </c>
    </row>
    <row r="5724" spans="2:2" ht="15.5" x14ac:dyDescent="0.35">
      <c r="B5724" s="853">
        <v>56981.362071606556</v>
      </c>
    </row>
    <row r="5725" spans="2:2" ht="15.5" x14ac:dyDescent="0.35">
      <c r="B5725" s="853">
        <v>-32346.864417230852</v>
      </c>
    </row>
    <row r="5726" spans="2:2" ht="15.5" x14ac:dyDescent="0.35">
      <c r="B5726" s="853">
        <v>475848.91541264579</v>
      </c>
    </row>
    <row r="5727" spans="2:2" ht="15.5" x14ac:dyDescent="0.35">
      <c r="B5727" s="853">
        <v>143131.49025557219</v>
      </c>
    </row>
    <row r="5728" spans="2:2" ht="15.5" x14ac:dyDescent="0.35">
      <c r="B5728" s="853">
        <v>175649.86431364017</v>
      </c>
    </row>
    <row r="5729" spans="2:2" ht="15.5" x14ac:dyDescent="0.35">
      <c r="B5729" s="853">
        <v>478158.61161464517</v>
      </c>
    </row>
    <row r="5730" spans="2:2" ht="15.5" x14ac:dyDescent="0.35">
      <c r="B5730" s="853">
        <v>184524.27809146672</v>
      </c>
    </row>
    <row r="5731" spans="2:2" ht="15.5" x14ac:dyDescent="0.35">
      <c r="B5731" s="853">
        <v>453345.40925568115</v>
      </c>
    </row>
    <row r="5732" spans="2:2" ht="15.5" x14ac:dyDescent="0.35">
      <c r="B5732" s="853">
        <v>39083.460932495764</v>
      </c>
    </row>
    <row r="5733" spans="2:2" ht="15.5" x14ac:dyDescent="0.35">
      <c r="B5733" s="853">
        <v>241168.77997043123</v>
      </c>
    </row>
    <row r="5734" spans="2:2" ht="15.5" x14ac:dyDescent="0.35">
      <c r="B5734" s="853">
        <v>195712.55762882935</v>
      </c>
    </row>
    <row r="5735" spans="2:2" ht="15.5" x14ac:dyDescent="0.35">
      <c r="B5735" s="853">
        <v>140619.18928558377</v>
      </c>
    </row>
    <row r="5736" spans="2:2" ht="15.5" x14ac:dyDescent="0.35">
      <c r="B5736" s="853">
        <v>338727.21406669694</v>
      </c>
    </row>
    <row r="5737" spans="2:2" ht="15.5" x14ac:dyDescent="0.35">
      <c r="B5737" s="853">
        <v>499358.32076153299</v>
      </c>
    </row>
    <row r="5738" spans="2:2" ht="15.5" x14ac:dyDescent="0.35">
      <c r="B5738" s="853">
        <v>563016.34040282562</v>
      </c>
    </row>
    <row r="5739" spans="2:2" ht="15.5" x14ac:dyDescent="0.35">
      <c r="B5739" s="853">
        <v>117398.05948122595</v>
      </c>
    </row>
    <row r="5740" spans="2:2" ht="15.5" x14ac:dyDescent="0.35">
      <c r="B5740" s="853">
        <v>173448.08481317182</v>
      </c>
    </row>
    <row r="5741" spans="2:2" ht="15.5" x14ac:dyDescent="0.35">
      <c r="B5741" s="853">
        <v>368904.52922646457</v>
      </c>
    </row>
    <row r="5742" spans="2:2" ht="15.5" x14ac:dyDescent="0.35">
      <c r="B5742" s="853">
        <v>233524.2242027614</v>
      </c>
    </row>
    <row r="5743" spans="2:2" ht="15.5" x14ac:dyDescent="0.35">
      <c r="B5743" s="853">
        <v>309714.20321759977</v>
      </c>
    </row>
    <row r="5744" spans="2:2" ht="15.5" x14ac:dyDescent="0.35">
      <c r="B5744" s="853">
        <v>284501.27638857631</v>
      </c>
    </row>
    <row r="5745" spans="2:2" ht="15.5" x14ac:dyDescent="0.35">
      <c r="B5745" s="853">
        <v>461086.88017101318</v>
      </c>
    </row>
    <row r="5746" spans="2:2" ht="15.5" x14ac:dyDescent="0.35">
      <c r="B5746" s="853">
        <v>658352.10753853701</v>
      </c>
    </row>
    <row r="5747" spans="2:2" ht="15.5" x14ac:dyDescent="0.35">
      <c r="B5747" s="853">
        <v>492977.20344446931</v>
      </c>
    </row>
    <row r="5748" spans="2:2" ht="15.5" x14ac:dyDescent="0.35">
      <c r="B5748" s="853">
        <v>137510.88221058113</v>
      </c>
    </row>
    <row r="5749" spans="2:2" ht="15.5" x14ac:dyDescent="0.35">
      <c r="B5749" s="853">
        <v>473292.41601985018</v>
      </c>
    </row>
    <row r="5750" spans="2:2" ht="15.5" x14ac:dyDescent="0.35">
      <c r="B5750" s="853">
        <v>345116.35750349076</v>
      </c>
    </row>
    <row r="5751" spans="2:2" ht="15.5" x14ac:dyDescent="0.35">
      <c r="B5751" s="853">
        <v>496970.71773305599</v>
      </c>
    </row>
    <row r="5752" spans="2:2" ht="15.5" x14ac:dyDescent="0.35">
      <c r="B5752" s="853">
        <v>310216.07066596125</v>
      </c>
    </row>
    <row r="5753" spans="2:2" ht="15.5" x14ac:dyDescent="0.35">
      <c r="B5753" s="853">
        <v>351635.1704358097</v>
      </c>
    </row>
    <row r="5754" spans="2:2" ht="15.5" x14ac:dyDescent="0.35">
      <c r="B5754" s="853">
        <v>-23436.242994675533</v>
      </c>
    </row>
    <row r="5755" spans="2:2" ht="15.5" x14ac:dyDescent="0.35">
      <c r="B5755" s="853">
        <v>386025.01689914917</v>
      </c>
    </row>
    <row r="5756" spans="2:2" ht="15.5" x14ac:dyDescent="0.35">
      <c r="B5756" s="853">
        <v>138367.06334317461</v>
      </c>
    </row>
    <row r="5757" spans="2:2" ht="15.5" x14ac:dyDescent="0.35">
      <c r="B5757" s="853">
        <v>139016.08275928997</v>
      </c>
    </row>
    <row r="5758" spans="2:2" ht="15.5" x14ac:dyDescent="0.35">
      <c r="B5758" s="853">
        <v>399606.13743221067</v>
      </c>
    </row>
    <row r="5759" spans="2:2" ht="15.5" x14ac:dyDescent="0.35">
      <c r="B5759" s="853">
        <v>121239.48927797037</v>
      </c>
    </row>
    <row r="5760" spans="2:2" ht="15.5" x14ac:dyDescent="0.35">
      <c r="B5760" s="853">
        <v>334457.92080175836</v>
      </c>
    </row>
    <row r="5761" spans="2:2" ht="15.5" x14ac:dyDescent="0.35">
      <c r="B5761" s="853">
        <v>556830.83531074459</v>
      </c>
    </row>
    <row r="5762" spans="2:2" ht="15.5" x14ac:dyDescent="0.35">
      <c r="B5762" s="853">
        <v>146492.4734737376</v>
      </c>
    </row>
    <row r="5763" spans="2:2" ht="15.5" x14ac:dyDescent="0.35">
      <c r="B5763" s="853">
        <v>179994.5232563935</v>
      </c>
    </row>
    <row r="5764" spans="2:2" ht="15.5" x14ac:dyDescent="0.35">
      <c r="B5764" s="853">
        <v>150467.03007348703</v>
      </c>
    </row>
    <row r="5765" spans="2:2" ht="15.5" x14ac:dyDescent="0.35">
      <c r="B5765" s="853">
        <v>389253.81909521704</v>
      </c>
    </row>
    <row r="5766" spans="2:2" ht="15.5" x14ac:dyDescent="0.35">
      <c r="B5766" s="853">
        <v>212710.2995854342</v>
      </c>
    </row>
    <row r="5767" spans="2:2" ht="15.5" x14ac:dyDescent="0.35">
      <c r="B5767" s="853">
        <v>136931.26934195808</v>
      </c>
    </row>
    <row r="5768" spans="2:2" ht="15.5" x14ac:dyDescent="0.35">
      <c r="B5768" s="853">
        <v>222584.88372849714</v>
      </c>
    </row>
    <row r="5769" spans="2:2" ht="15.5" x14ac:dyDescent="0.35">
      <c r="B5769" s="853">
        <v>322636.62938528362</v>
      </c>
    </row>
    <row r="5770" spans="2:2" ht="15.5" x14ac:dyDescent="0.35">
      <c r="B5770" s="853">
        <v>308443.71186925331</v>
      </c>
    </row>
    <row r="5771" spans="2:2" ht="15.5" x14ac:dyDescent="0.35">
      <c r="B5771" s="853">
        <v>96989.295001715247</v>
      </c>
    </row>
    <row r="5772" spans="2:2" ht="15.5" x14ac:dyDescent="0.35">
      <c r="B5772" s="853">
        <v>287696.27935085853</v>
      </c>
    </row>
    <row r="5773" spans="2:2" ht="15.5" x14ac:dyDescent="0.35">
      <c r="B5773" s="853">
        <v>397634.8532161857</v>
      </c>
    </row>
    <row r="5774" spans="2:2" ht="15.5" x14ac:dyDescent="0.35">
      <c r="B5774" s="853">
        <v>238987.43581212513</v>
      </c>
    </row>
    <row r="5775" spans="2:2" ht="15.5" x14ac:dyDescent="0.35">
      <c r="B5775" s="853">
        <v>177607.61598226847</v>
      </c>
    </row>
    <row r="5776" spans="2:2" ht="15.5" x14ac:dyDescent="0.35">
      <c r="B5776" s="853">
        <v>222084.83581103446</v>
      </c>
    </row>
    <row r="5777" spans="2:2" ht="15.5" x14ac:dyDescent="0.35">
      <c r="B5777" s="853">
        <v>372337.2275329862</v>
      </c>
    </row>
    <row r="5778" spans="2:2" ht="15.5" x14ac:dyDescent="0.35">
      <c r="B5778" s="853">
        <v>228675.20855290577</v>
      </c>
    </row>
    <row r="5779" spans="2:2" ht="15.5" x14ac:dyDescent="0.35">
      <c r="B5779" s="853">
        <v>522283.28296620614</v>
      </c>
    </row>
    <row r="5780" spans="2:2" ht="15.5" x14ac:dyDescent="0.35">
      <c r="B5780" s="853">
        <v>153086.69408556921</v>
      </c>
    </row>
    <row r="5781" spans="2:2" ht="15.5" x14ac:dyDescent="0.35">
      <c r="B5781" s="853">
        <v>416013.57717717806</v>
      </c>
    </row>
    <row r="5782" spans="2:2" ht="15.5" x14ac:dyDescent="0.35">
      <c r="B5782" s="853">
        <v>393307.77973942948</v>
      </c>
    </row>
    <row r="5783" spans="2:2" ht="15.5" x14ac:dyDescent="0.35">
      <c r="B5783" s="853">
        <v>344666.05622908392</v>
      </c>
    </row>
    <row r="5784" spans="2:2" ht="15.5" x14ac:dyDescent="0.35">
      <c r="B5784" s="853">
        <v>180098.57243991827</v>
      </c>
    </row>
    <row r="5785" spans="2:2" ht="15.5" x14ac:dyDescent="0.35">
      <c r="B5785" s="853">
        <v>463456.91542810254</v>
      </c>
    </row>
    <row r="5786" spans="2:2" ht="15.5" x14ac:dyDescent="0.35">
      <c r="B5786" s="853">
        <v>370909.53109250701</v>
      </c>
    </row>
    <row r="5787" spans="2:2" ht="15.5" x14ac:dyDescent="0.35">
      <c r="B5787" s="853">
        <v>466714.34050161723</v>
      </c>
    </row>
    <row r="5788" spans="2:2" ht="15.5" x14ac:dyDescent="0.35">
      <c r="B5788" s="853">
        <v>528580.0482543055</v>
      </c>
    </row>
    <row r="5789" spans="2:2" ht="15.5" x14ac:dyDescent="0.35">
      <c r="B5789" s="853">
        <v>146465.7176168875</v>
      </c>
    </row>
    <row r="5790" spans="2:2" ht="15.5" x14ac:dyDescent="0.35">
      <c r="B5790" s="853">
        <v>495825.64740651898</v>
      </c>
    </row>
    <row r="5791" spans="2:2" ht="15.5" x14ac:dyDescent="0.35">
      <c r="B5791" s="853">
        <v>252504.38432664241</v>
      </c>
    </row>
    <row r="5792" spans="2:2" ht="15.5" x14ac:dyDescent="0.35">
      <c r="B5792" s="853">
        <v>197441.20525974946</v>
      </c>
    </row>
    <row r="5793" spans="2:2" ht="15.5" x14ac:dyDescent="0.35">
      <c r="B5793" s="853">
        <v>492912.39646632574</v>
      </c>
    </row>
    <row r="5794" spans="2:2" ht="15.5" x14ac:dyDescent="0.35">
      <c r="B5794" s="853">
        <v>465619.13843103265</v>
      </c>
    </row>
    <row r="5795" spans="2:2" ht="15.5" x14ac:dyDescent="0.35">
      <c r="B5795" s="853">
        <v>468856.6650690512</v>
      </c>
    </row>
    <row r="5796" spans="2:2" ht="15.5" x14ac:dyDescent="0.35">
      <c r="B5796" s="853">
        <v>425322.90323224204</v>
      </c>
    </row>
    <row r="5797" spans="2:2" ht="15.5" x14ac:dyDescent="0.35">
      <c r="B5797" s="853">
        <v>329947.26124378777</v>
      </c>
    </row>
    <row r="5798" spans="2:2" ht="15.5" x14ac:dyDescent="0.35">
      <c r="B5798" s="853">
        <v>138024.81841295448</v>
      </c>
    </row>
    <row r="5799" spans="2:2" ht="15.5" x14ac:dyDescent="0.35">
      <c r="B5799" s="853">
        <v>145125.94145204619</v>
      </c>
    </row>
    <row r="5800" spans="2:2" ht="15.5" x14ac:dyDescent="0.35">
      <c r="B5800" s="853">
        <v>455144.16278807819</v>
      </c>
    </row>
    <row r="5801" spans="2:2" ht="15.5" x14ac:dyDescent="0.35">
      <c r="B5801" s="853">
        <v>597829.09339601581</v>
      </c>
    </row>
    <row r="5802" spans="2:2" ht="15.5" x14ac:dyDescent="0.35">
      <c r="B5802" s="853">
        <v>401706.64426326589</v>
      </c>
    </row>
    <row r="5803" spans="2:2" ht="15.5" x14ac:dyDescent="0.35">
      <c r="B5803" s="853">
        <v>146775.00776264133</v>
      </c>
    </row>
    <row r="5804" spans="2:2" ht="15.5" x14ac:dyDescent="0.35">
      <c r="B5804" s="853">
        <v>129300.64585088694</v>
      </c>
    </row>
    <row r="5805" spans="2:2" ht="15.5" x14ac:dyDescent="0.35">
      <c r="B5805" s="853">
        <v>363894.36044259416</v>
      </c>
    </row>
    <row r="5806" spans="2:2" ht="15.5" x14ac:dyDescent="0.35">
      <c r="B5806" s="853">
        <v>-1698.1027184931863</v>
      </c>
    </row>
    <row r="5807" spans="2:2" ht="15.5" x14ac:dyDescent="0.35">
      <c r="B5807" s="853">
        <v>611541.74871349952</v>
      </c>
    </row>
    <row r="5808" spans="2:2" ht="15.5" x14ac:dyDescent="0.35">
      <c r="B5808" s="853">
        <v>180972.40760544298</v>
      </c>
    </row>
    <row r="5809" spans="2:2" ht="15.5" x14ac:dyDescent="0.35">
      <c r="B5809" s="853">
        <v>397515.44718994322</v>
      </c>
    </row>
    <row r="5810" spans="2:2" ht="15.5" x14ac:dyDescent="0.35">
      <c r="B5810" s="853">
        <v>127920.79380822083</v>
      </c>
    </row>
    <row r="5811" spans="2:2" ht="15.5" x14ac:dyDescent="0.35">
      <c r="B5811" s="853">
        <v>487615.71443638095</v>
      </c>
    </row>
    <row r="5812" spans="2:2" ht="15.5" x14ac:dyDescent="0.35">
      <c r="B5812" s="853">
        <v>156315.2695932893</v>
      </c>
    </row>
    <row r="5813" spans="2:2" ht="15.5" x14ac:dyDescent="0.35">
      <c r="B5813" s="853">
        <v>352785.49762388843</v>
      </c>
    </row>
    <row r="5814" spans="2:2" ht="15.5" x14ac:dyDescent="0.35">
      <c r="B5814" s="853">
        <v>239536.73070457348</v>
      </c>
    </row>
    <row r="5815" spans="2:2" ht="15.5" x14ac:dyDescent="0.35">
      <c r="B5815" s="853">
        <v>480181.23251577787</v>
      </c>
    </row>
    <row r="5816" spans="2:2" ht="15.5" x14ac:dyDescent="0.35">
      <c r="B5816" s="853">
        <v>514362.04143946961</v>
      </c>
    </row>
    <row r="5817" spans="2:2" ht="15.5" x14ac:dyDescent="0.35">
      <c r="B5817" s="853">
        <v>414166.40990069491</v>
      </c>
    </row>
    <row r="5818" spans="2:2" ht="15.5" x14ac:dyDescent="0.35">
      <c r="B5818" s="853">
        <v>185691.05867158025</v>
      </c>
    </row>
    <row r="5819" spans="2:2" ht="15.5" x14ac:dyDescent="0.35">
      <c r="B5819" s="853">
        <v>203952.57751974455</v>
      </c>
    </row>
    <row r="5820" spans="2:2" ht="15.5" x14ac:dyDescent="0.35">
      <c r="B5820" s="853">
        <v>372543.95943852316</v>
      </c>
    </row>
    <row r="5821" spans="2:2" ht="15.5" x14ac:dyDescent="0.35">
      <c r="B5821" s="853">
        <v>172188.59212545271</v>
      </c>
    </row>
    <row r="5822" spans="2:2" ht="15.5" x14ac:dyDescent="0.35">
      <c r="B5822" s="853">
        <v>227120.33615535422</v>
      </c>
    </row>
    <row r="5823" spans="2:2" ht="15.5" x14ac:dyDescent="0.35">
      <c r="B5823" s="853">
        <v>287898.83326882741</v>
      </c>
    </row>
    <row r="5824" spans="2:2" ht="15.5" x14ac:dyDescent="0.35">
      <c r="B5824" s="853">
        <v>326574.73911749502</v>
      </c>
    </row>
    <row r="5825" spans="2:2" ht="15.5" x14ac:dyDescent="0.35">
      <c r="B5825" s="853">
        <v>282296.04000561318</v>
      </c>
    </row>
    <row r="5826" spans="2:2" ht="15.5" x14ac:dyDescent="0.35">
      <c r="B5826" s="853">
        <v>588763.87517174461</v>
      </c>
    </row>
    <row r="5827" spans="2:2" ht="15.5" x14ac:dyDescent="0.35">
      <c r="B5827" s="853">
        <v>171326.05543945255</v>
      </c>
    </row>
    <row r="5828" spans="2:2" ht="15.5" x14ac:dyDescent="0.35">
      <c r="B5828" s="853">
        <v>683494.97985747561</v>
      </c>
    </row>
    <row r="5829" spans="2:2" ht="15.5" x14ac:dyDescent="0.35">
      <c r="B5829" s="853">
        <v>191487.39127651046</v>
      </c>
    </row>
    <row r="5830" spans="2:2" ht="15.5" x14ac:dyDescent="0.35">
      <c r="B5830" s="853">
        <v>237327.64341777877</v>
      </c>
    </row>
    <row r="5831" spans="2:2" ht="15.5" x14ac:dyDescent="0.35">
      <c r="B5831" s="853">
        <v>219067.51737923798</v>
      </c>
    </row>
    <row r="5832" spans="2:2" ht="15.5" x14ac:dyDescent="0.35">
      <c r="B5832" s="853">
        <v>84013.441190737052</v>
      </c>
    </row>
    <row r="5833" spans="2:2" ht="15.5" x14ac:dyDescent="0.35">
      <c r="B5833" s="853">
        <v>435694.03411581996</v>
      </c>
    </row>
    <row r="5834" spans="2:2" ht="15.5" x14ac:dyDescent="0.35">
      <c r="B5834" s="853">
        <v>247599.01295793246</v>
      </c>
    </row>
    <row r="5835" spans="2:2" ht="15.5" x14ac:dyDescent="0.35">
      <c r="B5835" s="853">
        <v>25064.062488637879</v>
      </c>
    </row>
    <row r="5836" spans="2:2" ht="15.5" x14ac:dyDescent="0.35">
      <c r="B5836" s="853">
        <v>286006.22802273073</v>
      </c>
    </row>
    <row r="5837" spans="2:2" ht="15.5" x14ac:dyDescent="0.35">
      <c r="B5837" s="853">
        <v>89949.605645654301</v>
      </c>
    </row>
    <row r="5838" spans="2:2" ht="15.5" x14ac:dyDescent="0.35">
      <c r="B5838" s="853">
        <v>634703.38051570579</v>
      </c>
    </row>
    <row r="5839" spans="2:2" ht="15.5" x14ac:dyDescent="0.35">
      <c r="B5839" s="853">
        <v>154095.06598303595</v>
      </c>
    </row>
    <row r="5840" spans="2:2" ht="15.5" x14ac:dyDescent="0.35">
      <c r="B5840" s="853">
        <v>90514.415233851396</v>
      </c>
    </row>
    <row r="5841" spans="2:2" ht="15.5" x14ac:dyDescent="0.35">
      <c r="B5841" s="853">
        <v>440051.29789635551</v>
      </c>
    </row>
    <row r="5842" spans="2:2" ht="15.5" x14ac:dyDescent="0.35">
      <c r="B5842" s="853">
        <v>296765.22093077051</v>
      </c>
    </row>
    <row r="5843" spans="2:2" ht="15.5" x14ac:dyDescent="0.35">
      <c r="B5843" s="853">
        <v>105098.66341261553</v>
      </c>
    </row>
    <row r="5844" spans="2:2" ht="15.5" x14ac:dyDescent="0.35">
      <c r="B5844" s="853">
        <v>285458.43792321609</v>
      </c>
    </row>
    <row r="5845" spans="2:2" ht="15.5" x14ac:dyDescent="0.35">
      <c r="B5845" s="853">
        <v>134456.28667016231</v>
      </c>
    </row>
    <row r="5846" spans="2:2" ht="15.5" x14ac:dyDescent="0.35">
      <c r="B5846" s="853">
        <v>287698.86306750198</v>
      </c>
    </row>
    <row r="5847" spans="2:2" ht="15.5" x14ac:dyDescent="0.35">
      <c r="B5847" s="853">
        <v>422039.38735741295</v>
      </c>
    </row>
    <row r="5848" spans="2:2" ht="15.5" x14ac:dyDescent="0.35">
      <c r="B5848" s="853">
        <v>301184.59939607995</v>
      </c>
    </row>
    <row r="5849" spans="2:2" ht="15.5" x14ac:dyDescent="0.35">
      <c r="B5849" s="853">
        <v>467133.34372157522</v>
      </c>
    </row>
    <row r="5850" spans="2:2" ht="15.5" x14ac:dyDescent="0.35">
      <c r="B5850" s="853">
        <v>393935.88002890296</v>
      </c>
    </row>
    <row r="5851" spans="2:2" ht="15.5" x14ac:dyDescent="0.35">
      <c r="B5851" s="853">
        <v>321309.93304159585</v>
      </c>
    </row>
    <row r="5852" spans="2:2" ht="15.5" x14ac:dyDescent="0.35">
      <c r="B5852" s="853">
        <v>97633.895877404051</v>
      </c>
    </row>
    <row r="5853" spans="2:2" ht="15.5" x14ac:dyDescent="0.35">
      <c r="B5853" s="853">
        <v>263553.2630305863</v>
      </c>
    </row>
    <row r="5854" spans="2:2" ht="15.5" x14ac:dyDescent="0.35">
      <c r="B5854" s="853">
        <v>602128.42261927621</v>
      </c>
    </row>
    <row r="5855" spans="2:2" ht="15.5" x14ac:dyDescent="0.35">
      <c r="B5855" s="853">
        <v>292359.55008197605</v>
      </c>
    </row>
    <row r="5856" spans="2:2" ht="15.5" x14ac:dyDescent="0.35">
      <c r="B5856" s="853">
        <v>26623.496413064222</v>
      </c>
    </row>
    <row r="5857" spans="2:2" ht="15.5" x14ac:dyDescent="0.35">
      <c r="B5857" s="853">
        <v>225006.17235247401</v>
      </c>
    </row>
    <row r="5858" spans="2:2" ht="15.5" x14ac:dyDescent="0.35">
      <c r="B5858" s="853">
        <v>263120.33550818992</v>
      </c>
    </row>
    <row r="5859" spans="2:2" ht="15.5" x14ac:dyDescent="0.35">
      <c r="B5859" s="853">
        <v>680267.44478494406</v>
      </c>
    </row>
    <row r="5860" spans="2:2" ht="15.5" x14ac:dyDescent="0.35">
      <c r="B5860" s="853">
        <v>352957.34081067186</v>
      </c>
    </row>
    <row r="5861" spans="2:2" ht="15.5" x14ac:dyDescent="0.35">
      <c r="B5861" s="853">
        <v>411802.91975167673</v>
      </c>
    </row>
    <row r="5862" spans="2:2" ht="15.5" x14ac:dyDescent="0.35">
      <c r="B5862" s="853">
        <v>394220.54985393642</v>
      </c>
    </row>
    <row r="5863" spans="2:2" ht="15.5" x14ac:dyDescent="0.35">
      <c r="B5863" s="853">
        <v>507177.15902512899</v>
      </c>
    </row>
    <row r="5864" spans="2:2" ht="15.5" x14ac:dyDescent="0.35">
      <c r="B5864" s="853">
        <v>202098.5136555935</v>
      </c>
    </row>
    <row r="5865" spans="2:2" ht="15.5" x14ac:dyDescent="0.35">
      <c r="B5865" s="853">
        <v>488317.44635960471</v>
      </c>
    </row>
    <row r="5866" spans="2:2" ht="15.5" x14ac:dyDescent="0.35">
      <c r="B5866" s="853">
        <v>227225.38706150852</v>
      </c>
    </row>
    <row r="5867" spans="2:2" ht="15.5" x14ac:dyDescent="0.35">
      <c r="B5867" s="853">
        <v>562526.00575360353</v>
      </c>
    </row>
    <row r="5868" spans="2:2" ht="15.5" x14ac:dyDescent="0.35">
      <c r="B5868" s="853">
        <v>395144.03709083848</v>
      </c>
    </row>
    <row r="5869" spans="2:2" ht="15.5" x14ac:dyDescent="0.35">
      <c r="B5869" s="853">
        <v>319207.40587068244</v>
      </c>
    </row>
    <row r="5870" spans="2:2" ht="15.5" x14ac:dyDescent="0.35">
      <c r="B5870" s="853">
        <v>265051.04911439511</v>
      </c>
    </row>
    <row r="5871" spans="2:2" ht="15.5" x14ac:dyDescent="0.35">
      <c r="B5871" s="853">
        <v>300728.13080922357</v>
      </c>
    </row>
    <row r="5872" spans="2:2" ht="15.5" x14ac:dyDescent="0.35">
      <c r="B5872" s="853">
        <v>240540.14001065769</v>
      </c>
    </row>
    <row r="5873" spans="2:2" ht="15.5" x14ac:dyDescent="0.35">
      <c r="B5873" s="853">
        <v>486632.84770797426</v>
      </c>
    </row>
    <row r="5874" spans="2:2" ht="15.5" x14ac:dyDescent="0.35">
      <c r="B5874" s="853">
        <v>163715.91481338098</v>
      </c>
    </row>
    <row r="5875" spans="2:2" ht="15.5" x14ac:dyDescent="0.35">
      <c r="B5875" s="853">
        <v>474561.96840965265</v>
      </c>
    </row>
    <row r="5876" spans="2:2" ht="15.5" x14ac:dyDescent="0.35">
      <c r="B5876" s="853">
        <v>275549.99455124437</v>
      </c>
    </row>
    <row r="5877" spans="2:2" ht="15.5" x14ac:dyDescent="0.35">
      <c r="B5877" s="853">
        <v>432247.99266733549</v>
      </c>
    </row>
    <row r="5878" spans="2:2" ht="15.5" x14ac:dyDescent="0.35">
      <c r="B5878" s="853">
        <v>224251.76293998596</v>
      </c>
    </row>
    <row r="5879" spans="2:2" ht="15.5" x14ac:dyDescent="0.35">
      <c r="B5879" s="853">
        <v>186480.56930652307</v>
      </c>
    </row>
    <row r="5880" spans="2:2" ht="15.5" x14ac:dyDescent="0.35">
      <c r="B5880" s="853">
        <v>252105.25759563787</v>
      </c>
    </row>
    <row r="5881" spans="2:2" ht="15.5" x14ac:dyDescent="0.35">
      <c r="B5881" s="853">
        <v>331184.98133851006</v>
      </c>
    </row>
    <row r="5882" spans="2:2" ht="15.5" x14ac:dyDescent="0.35">
      <c r="B5882" s="853">
        <v>260054.11347664241</v>
      </c>
    </row>
    <row r="5883" spans="2:2" ht="15.5" x14ac:dyDescent="0.35">
      <c r="B5883" s="853">
        <v>-34083.495267070764</v>
      </c>
    </row>
    <row r="5884" spans="2:2" ht="15.5" x14ac:dyDescent="0.35">
      <c r="B5884" s="853">
        <v>326669.2266999486</v>
      </c>
    </row>
    <row r="5885" spans="2:2" ht="15.5" x14ac:dyDescent="0.35">
      <c r="B5885" s="853">
        <v>371670.20558815612</v>
      </c>
    </row>
    <row r="5886" spans="2:2" ht="15.5" x14ac:dyDescent="0.35">
      <c r="B5886" s="853">
        <v>300300.53807092196</v>
      </c>
    </row>
    <row r="5887" spans="2:2" ht="15.5" x14ac:dyDescent="0.35">
      <c r="B5887" s="853">
        <v>425922.95354821347</v>
      </c>
    </row>
    <row r="5888" spans="2:2" ht="15.5" x14ac:dyDescent="0.35">
      <c r="B5888" s="853">
        <v>476284.9025301435</v>
      </c>
    </row>
    <row r="5889" spans="2:2" ht="15.5" x14ac:dyDescent="0.35">
      <c r="B5889" s="853">
        <v>293098.42338385381</v>
      </c>
    </row>
    <row r="5890" spans="2:2" ht="15.5" x14ac:dyDescent="0.35">
      <c r="B5890" s="853">
        <v>359218.04082722263</v>
      </c>
    </row>
    <row r="5891" spans="2:2" ht="15.5" x14ac:dyDescent="0.35">
      <c r="B5891" s="853">
        <v>350400.87832586747</v>
      </c>
    </row>
    <row r="5892" spans="2:2" ht="15.5" x14ac:dyDescent="0.35">
      <c r="B5892" s="853">
        <v>353130.79656644532</v>
      </c>
    </row>
    <row r="5893" spans="2:2" ht="15.5" x14ac:dyDescent="0.35">
      <c r="B5893" s="853">
        <v>256045.26603790798</v>
      </c>
    </row>
    <row r="5894" spans="2:2" ht="15.5" x14ac:dyDescent="0.35">
      <c r="B5894" s="853">
        <v>319230.56174222461</v>
      </c>
    </row>
    <row r="5895" spans="2:2" ht="15.5" x14ac:dyDescent="0.35">
      <c r="B5895" s="853">
        <v>316192.41919710906</v>
      </c>
    </row>
    <row r="5896" spans="2:2" ht="15.5" x14ac:dyDescent="0.35">
      <c r="B5896" s="853">
        <v>357544.93125066371</v>
      </c>
    </row>
    <row r="5897" spans="2:2" ht="15.5" x14ac:dyDescent="0.35">
      <c r="B5897" s="853">
        <v>218069.29426428833</v>
      </c>
    </row>
    <row r="5898" spans="2:2" ht="15.5" x14ac:dyDescent="0.35">
      <c r="B5898" s="853">
        <v>204710.72297763755</v>
      </c>
    </row>
    <row r="5899" spans="2:2" ht="15.5" x14ac:dyDescent="0.35">
      <c r="B5899" s="853">
        <v>235962.32884502778</v>
      </c>
    </row>
    <row r="5900" spans="2:2" ht="15.5" x14ac:dyDescent="0.35">
      <c r="B5900" s="853">
        <v>90794.609860603392</v>
      </c>
    </row>
    <row r="5901" spans="2:2" ht="15.5" x14ac:dyDescent="0.35">
      <c r="B5901" s="853">
        <v>57225.871894357901</v>
      </c>
    </row>
    <row r="5902" spans="2:2" ht="15.5" x14ac:dyDescent="0.35">
      <c r="B5902" s="853">
        <v>465821.54118043871</v>
      </c>
    </row>
    <row r="5903" spans="2:2" ht="15.5" x14ac:dyDescent="0.35">
      <c r="B5903" s="853">
        <v>383852.84503167641</v>
      </c>
    </row>
    <row r="5904" spans="2:2" ht="15.5" x14ac:dyDescent="0.35">
      <c r="B5904" s="853">
        <v>647908.51190164231</v>
      </c>
    </row>
    <row r="5905" spans="2:2" ht="15.5" x14ac:dyDescent="0.35">
      <c r="B5905" s="853">
        <v>437315.94434435654</v>
      </c>
    </row>
    <row r="5906" spans="2:2" ht="15.5" x14ac:dyDescent="0.35">
      <c r="B5906" s="853">
        <v>303399.77880327543</v>
      </c>
    </row>
    <row r="5907" spans="2:2" ht="15.5" x14ac:dyDescent="0.35">
      <c r="B5907" s="853">
        <v>162479.58749805365</v>
      </c>
    </row>
    <row r="5908" spans="2:2" ht="15.5" x14ac:dyDescent="0.35">
      <c r="B5908" s="853">
        <v>330525.76450679189</v>
      </c>
    </row>
    <row r="5909" spans="2:2" ht="15.5" x14ac:dyDescent="0.35">
      <c r="B5909" s="853">
        <v>396823.43916186161</v>
      </c>
    </row>
    <row r="5910" spans="2:2" ht="15.5" x14ac:dyDescent="0.35">
      <c r="B5910" s="853">
        <v>375346.59839512606</v>
      </c>
    </row>
    <row r="5911" spans="2:2" ht="15.5" x14ac:dyDescent="0.35">
      <c r="B5911" s="853">
        <v>340699.37403903896</v>
      </c>
    </row>
    <row r="5912" spans="2:2" ht="15.5" x14ac:dyDescent="0.35">
      <c r="B5912" s="853">
        <v>510117.43581169652</v>
      </c>
    </row>
    <row r="5913" spans="2:2" ht="15.5" x14ac:dyDescent="0.35">
      <c r="B5913" s="853">
        <v>-43024.966120808087</v>
      </c>
    </row>
    <row r="5914" spans="2:2" ht="15.5" x14ac:dyDescent="0.35">
      <c r="B5914" s="853">
        <v>341493.3483595138</v>
      </c>
    </row>
    <row r="5915" spans="2:2" ht="15.5" x14ac:dyDescent="0.35">
      <c r="B5915" s="853">
        <v>100636.1395239548</v>
      </c>
    </row>
    <row r="5916" spans="2:2" ht="15.5" x14ac:dyDescent="0.35">
      <c r="B5916" s="853">
        <v>228949.71203003998</v>
      </c>
    </row>
    <row r="5917" spans="2:2" ht="15.5" x14ac:dyDescent="0.35">
      <c r="B5917" s="853">
        <v>440291.51183648099</v>
      </c>
    </row>
    <row r="5918" spans="2:2" ht="15.5" x14ac:dyDescent="0.35">
      <c r="B5918" s="853">
        <v>240710.83094815107</v>
      </c>
    </row>
    <row r="5919" spans="2:2" ht="15.5" x14ac:dyDescent="0.35">
      <c r="B5919" s="853">
        <v>370730.8757667045</v>
      </c>
    </row>
    <row r="5920" spans="2:2" ht="15.5" x14ac:dyDescent="0.35">
      <c r="B5920" s="853">
        <v>175955.62200276888</v>
      </c>
    </row>
    <row r="5921" spans="2:2" ht="15.5" x14ac:dyDescent="0.35">
      <c r="B5921" s="853">
        <v>131331.79006044971</v>
      </c>
    </row>
    <row r="5922" spans="2:2" ht="15.5" x14ac:dyDescent="0.35">
      <c r="B5922" s="853">
        <v>407498.63926706172</v>
      </c>
    </row>
    <row r="5923" spans="2:2" ht="15.5" x14ac:dyDescent="0.35">
      <c r="B5923" s="853">
        <v>373580.09044105507</v>
      </c>
    </row>
    <row r="5924" spans="2:2" ht="15.5" x14ac:dyDescent="0.35">
      <c r="B5924" s="853">
        <v>346754.44299055828</v>
      </c>
    </row>
    <row r="5925" spans="2:2" ht="15.5" x14ac:dyDescent="0.35">
      <c r="B5925" s="853">
        <v>157084.68336433201</v>
      </c>
    </row>
    <row r="5926" spans="2:2" ht="15.5" x14ac:dyDescent="0.35">
      <c r="B5926" s="853">
        <v>67599.943587206988</v>
      </c>
    </row>
    <row r="5927" spans="2:2" ht="15.5" x14ac:dyDescent="0.35">
      <c r="B5927" s="853">
        <v>329558.71194886003</v>
      </c>
    </row>
    <row r="5928" spans="2:2" ht="15.5" x14ac:dyDescent="0.35">
      <c r="B5928" s="853">
        <v>450014.88767516834</v>
      </c>
    </row>
    <row r="5929" spans="2:2" ht="15.5" x14ac:dyDescent="0.35">
      <c r="B5929" s="853">
        <v>274991.6099824938</v>
      </c>
    </row>
    <row r="5930" spans="2:2" ht="15.5" x14ac:dyDescent="0.35">
      <c r="B5930" s="853">
        <v>307517.72113204951</v>
      </c>
    </row>
    <row r="5931" spans="2:2" ht="15.5" x14ac:dyDescent="0.35">
      <c r="B5931" s="853">
        <v>223130.96675145352</v>
      </c>
    </row>
    <row r="5932" spans="2:2" ht="15.5" x14ac:dyDescent="0.35">
      <c r="B5932" s="853">
        <v>341656.18846775393</v>
      </c>
    </row>
    <row r="5933" spans="2:2" ht="15.5" x14ac:dyDescent="0.35">
      <c r="B5933" s="853">
        <v>418550.61590192677</v>
      </c>
    </row>
    <row r="5934" spans="2:2" ht="15.5" x14ac:dyDescent="0.35">
      <c r="B5934" s="853">
        <v>396800.21335359139</v>
      </c>
    </row>
    <row r="5935" spans="2:2" ht="15.5" x14ac:dyDescent="0.35">
      <c r="B5935" s="853">
        <v>208063.03691271483</v>
      </c>
    </row>
    <row r="5936" spans="2:2" ht="15.5" x14ac:dyDescent="0.35">
      <c r="B5936" s="853">
        <v>267172.80424361484</v>
      </c>
    </row>
    <row r="5937" spans="2:2" ht="15.5" x14ac:dyDescent="0.35">
      <c r="B5937" s="853">
        <v>251623.99659068455</v>
      </c>
    </row>
    <row r="5938" spans="2:2" ht="15.5" x14ac:dyDescent="0.35">
      <c r="B5938" s="853">
        <v>163324.6754319579</v>
      </c>
    </row>
    <row r="5939" spans="2:2" ht="15.5" x14ac:dyDescent="0.35">
      <c r="B5939" s="853">
        <v>275191.0658836668</v>
      </c>
    </row>
    <row r="5940" spans="2:2" ht="15.5" x14ac:dyDescent="0.35">
      <c r="B5940" s="853">
        <v>257131.21354491869</v>
      </c>
    </row>
    <row r="5941" spans="2:2" ht="15.5" x14ac:dyDescent="0.35">
      <c r="B5941" s="853">
        <v>160584.23620999165</v>
      </c>
    </row>
    <row r="5942" spans="2:2" ht="15.5" x14ac:dyDescent="0.35">
      <c r="B5942" s="853">
        <v>152714.86785606216</v>
      </c>
    </row>
    <row r="5943" spans="2:2" ht="15.5" x14ac:dyDescent="0.35">
      <c r="B5943" s="853">
        <v>532594.88990613795</v>
      </c>
    </row>
    <row r="5944" spans="2:2" ht="15.5" x14ac:dyDescent="0.35">
      <c r="B5944" s="853">
        <v>473619.31502874842</v>
      </c>
    </row>
    <row r="5945" spans="2:2" ht="15.5" x14ac:dyDescent="0.35">
      <c r="B5945" s="853">
        <v>272318.13986726798</v>
      </c>
    </row>
    <row r="5946" spans="2:2" ht="15.5" x14ac:dyDescent="0.35">
      <c r="B5946" s="853">
        <v>326266.28391963826</v>
      </c>
    </row>
    <row r="5947" spans="2:2" ht="15.5" x14ac:dyDescent="0.35">
      <c r="B5947" s="853">
        <v>135464.50464233436</v>
      </c>
    </row>
    <row r="5948" spans="2:2" ht="15.5" x14ac:dyDescent="0.35">
      <c r="B5948" s="853">
        <v>133760.82631664467</v>
      </c>
    </row>
    <row r="5949" spans="2:2" ht="15.5" x14ac:dyDescent="0.35">
      <c r="B5949" s="853">
        <v>414368.42409721739</v>
      </c>
    </row>
    <row r="5950" spans="2:2" ht="15.5" x14ac:dyDescent="0.35">
      <c r="B5950" s="853">
        <v>548736.44583265844</v>
      </c>
    </row>
    <row r="5951" spans="2:2" ht="15.5" x14ac:dyDescent="0.35">
      <c r="B5951" s="853">
        <v>387908.15220242436</v>
      </c>
    </row>
    <row r="5952" spans="2:2" ht="15.5" x14ac:dyDescent="0.35">
      <c r="B5952" s="853">
        <v>337909.18317047023</v>
      </c>
    </row>
    <row r="5953" spans="2:2" ht="15.5" x14ac:dyDescent="0.35">
      <c r="B5953" s="853">
        <v>291539.69019970129</v>
      </c>
    </row>
    <row r="5954" spans="2:2" ht="15.5" x14ac:dyDescent="0.35">
      <c r="B5954" s="853">
        <v>182980.2429443663</v>
      </c>
    </row>
    <row r="5955" spans="2:2" ht="15.5" x14ac:dyDescent="0.35">
      <c r="B5955" s="853">
        <v>271562.18321658223</v>
      </c>
    </row>
    <row r="5956" spans="2:2" ht="15.5" x14ac:dyDescent="0.35">
      <c r="B5956" s="853">
        <v>114520.35665072134</v>
      </c>
    </row>
    <row r="5957" spans="2:2" ht="15.5" x14ac:dyDescent="0.35">
      <c r="B5957" s="853">
        <v>288512.41300419584</v>
      </c>
    </row>
    <row r="5958" spans="2:2" ht="15.5" x14ac:dyDescent="0.35">
      <c r="B5958" s="853">
        <v>319626.8943780422</v>
      </c>
    </row>
    <row r="5959" spans="2:2" ht="15.5" x14ac:dyDescent="0.35">
      <c r="B5959" s="853">
        <v>405407.57080816117</v>
      </c>
    </row>
    <row r="5960" spans="2:2" ht="15.5" x14ac:dyDescent="0.35">
      <c r="B5960" s="853">
        <v>496693.77544384648</v>
      </c>
    </row>
    <row r="5961" spans="2:2" ht="15.5" x14ac:dyDescent="0.35">
      <c r="B5961" s="853">
        <v>321191.88581321342</v>
      </c>
    </row>
    <row r="5962" spans="2:2" ht="15.5" x14ac:dyDescent="0.35">
      <c r="B5962" s="853">
        <v>707076.97675186943</v>
      </c>
    </row>
    <row r="5963" spans="2:2" ht="15.5" x14ac:dyDescent="0.35">
      <c r="B5963" s="853">
        <v>395286.72313502419</v>
      </c>
    </row>
    <row r="5964" spans="2:2" ht="15.5" x14ac:dyDescent="0.35">
      <c r="B5964" s="853">
        <v>422496.1581001936</v>
      </c>
    </row>
    <row r="5965" spans="2:2" ht="15.5" x14ac:dyDescent="0.35">
      <c r="B5965" s="853">
        <v>486564.22016846295</v>
      </c>
    </row>
    <row r="5966" spans="2:2" ht="15.5" x14ac:dyDescent="0.35">
      <c r="B5966" s="853">
        <v>379630.39746471029</v>
      </c>
    </row>
    <row r="5967" spans="2:2" ht="15.5" x14ac:dyDescent="0.35">
      <c r="B5967" s="853">
        <v>284995.43834010058</v>
      </c>
    </row>
    <row r="5968" spans="2:2" ht="15.5" x14ac:dyDescent="0.35">
      <c r="B5968" s="853">
        <v>-26275.509307886994</v>
      </c>
    </row>
    <row r="5969" spans="2:2" ht="15.5" x14ac:dyDescent="0.35">
      <c r="B5969" s="853">
        <v>128585.50848955764</v>
      </c>
    </row>
    <row r="5970" spans="2:2" ht="15.5" x14ac:dyDescent="0.35">
      <c r="B5970" s="853">
        <v>346512.10249359818</v>
      </c>
    </row>
    <row r="5971" spans="2:2" ht="15.5" x14ac:dyDescent="0.35">
      <c r="B5971" s="853">
        <v>154330.28843926627</v>
      </c>
    </row>
    <row r="5972" spans="2:2" ht="15.5" x14ac:dyDescent="0.35">
      <c r="B5972" s="853">
        <v>412308.86488909944</v>
      </c>
    </row>
    <row r="5973" spans="2:2" ht="15.5" x14ac:dyDescent="0.35">
      <c r="B5973" s="853">
        <v>174381.51943266726</v>
      </c>
    </row>
    <row r="5974" spans="2:2" ht="15.5" x14ac:dyDescent="0.35">
      <c r="B5974" s="853">
        <v>372369.62800141715</v>
      </c>
    </row>
    <row r="5975" spans="2:2" ht="15.5" x14ac:dyDescent="0.35">
      <c r="B5975" s="853">
        <v>372611.1544722307</v>
      </c>
    </row>
    <row r="5976" spans="2:2" ht="15.5" x14ac:dyDescent="0.35">
      <c r="B5976" s="853">
        <v>498264.34538109077</v>
      </c>
    </row>
    <row r="5977" spans="2:2" ht="15.5" x14ac:dyDescent="0.35">
      <c r="B5977" s="853">
        <v>457476.5114405991</v>
      </c>
    </row>
    <row r="5978" spans="2:2" ht="15.5" x14ac:dyDescent="0.35">
      <c r="B5978" s="853">
        <v>436111.76868321706</v>
      </c>
    </row>
    <row r="5979" spans="2:2" ht="15.5" x14ac:dyDescent="0.35">
      <c r="B5979" s="853">
        <v>282407.40463154297</v>
      </c>
    </row>
    <row r="5980" spans="2:2" ht="15.5" x14ac:dyDescent="0.35">
      <c r="B5980" s="853">
        <v>659598.51533392014</v>
      </c>
    </row>
    <row r="5981" spans="2:2" ht="15.5" x14ac:dyDescent="0.35">
      <c r="B5981" s="853">
        <v>620775.65285378974</v>
      </c>
    </row>
    <row r="5982" spans="2:2" ht="15.5" x14ac:dyDescent="0.35">
      <c r="B5982" s="853">
        <v>497572.64701061213</v>
      </c>
    </row>
    <row r="5983" spans="2:2" ht="15.5" x14ac:dyDescent="0.35">
      <c r="B5983" s="853">
        <v>263895.15407879243</v>
      </c>
    </row>
    <row r="5984" spans="2:2" ht="15.5" x14ac:dyDescent="0.35">
      <c r="B5984" s="853">
        <v>151137.66926078557</v>
      </c>
    </row>
    <row r="5985" spans="2:2" ht="15.5" x14ac:dyDescent="0.35">
      <c r="B5985" s="853">
        <v>268746.09980322263</v>
      </c>
    </row>
    <row r="5986" spans="2:2" ht="15.5" x14ac:dyDescent="0.35">
      <c r="B5986" s="853">
        <v>578934.67828272027</v>
      </c>
    </row>
    <row r="5987" spans="2:2" ht="15.5" x14ac:dyDescent="0.35">
      <c r="B5987" s="853">
        <v>154651.63335894243</v>
      </c>
    </row>
    <row r="5988" spans="2:2" ht="15.5" x14ac:dyDescent="0.35">
      <c r="B5988" s="853">
        <v>394405.62880853878</v>
      </c>
    </row>
    <row r="5989" spans="2:2" ht="15.5" x14ac:dyDescent="0.35">
      <c r="B5989" s="853">
        <v>182793.34047016679</v>
      </c>
    </row>
    <row r="5990" spans="2:2" ht="15.5" x14ac:dyDescent="0.35">
      <c r="B5990" s="853">
        <v>165285.96331701655</v>
      </c>
    </row>
    <row r="5991" spans="2:2" ht="15.5" x14ac:dyDescent="0.35">
      <c r="B5991" s="853">
        <v>299454.10498000559</v>
      </c>
    </row>
    <row r="5992" spans="2:2" ht="15.5" x14ac:dyDescent="0.35">
      <c r="B5992" s="853">
        <v>272704.92014298373</v>
      </c>
    </row>
    <row r="5993" spans="2:2" ht="15.5" x14ac:dyDescent="0.35">
      <c r="B5993" s="853">
        <v>520163.3551201566</v>
      </c>
    </row>
    <row r="5994" spans="2:2" ht="15.5" x14ac:dyDescent="0.35">
      <c r="B5994" s="853">
        <v>393717.21069571114</v>
      </c>
    </row>
    <row r="5995" spans="2:2" ht="15.5" x14ac:dyDescent="0.35">
      <c r="B5995" s="853">
        <v>335560.61549777258</v>
      </c>
    </row>
    <row r="5996" spans="2:2" ht="15.5" x14ac:dyDescent="0.35">
      <c r="B5996" s="853">
        <v>32690.018880472966</v>
      </c>
    </row>
    <row r="5997" spans="2:2" ht="15.5" x14ac:dyDescent="0.35">
      <c r="B5997" s="853">
        <v>389767.24742161587</v>
      </c>
    </row>
    <row r="5998" spans="2:2" ht="15.5" x14ac:dyDescent="0.35">
      <c r="B5998" s="853">
        <v>175066.24195537058</v>
      </c>
    </row>
    <row r="5999" spans="2:2" ht="15.5" x14ac:dyDescent="0.35">
      <c r="B5999" s="853">
        <v>354663.75692921871</v>
      </c>
    </row>
    <row r="6000" spans="2:2" ht="15.5" x14ac:dyDescent="0.35">
      <c r="B6000" s="853">
        <v>338084.34353125066</v>
      </c>
    </row>
    <row r="6001" spans="2:2" ht="15.5" x14ac:dyDescent="0.35">
      <c r="B6001" s="853">
        <v>312465.2743203803</v>
      </c>
    </row>
    <row r="6002" spans="2:2" ht="15.5" x14ac:dyDescent="0.35">
      <c r="B6002" s="853">
        <v>377275.44485506963</v>
      </c>
    </row>
    <row r="6003" spans="2:2" ht="15.5" x14ac:dyDescent="0.35">
      <c r="B6003" s="853">
        <v>362075.66244793386</v>
      </c>
    </row>
    <row r="6004" spans="2:2" ht="15.5" x14ac:dyDescent="0.35">
      <c r="B6004" s="853">
        <v>485250.67685561848</v>
      </c>
    </row>
    <row r="6005" spans="2:2" ht="15.5" x14ac:dyDescent="0.35">
      <c r="B6005" s="853">
        <v>369772.46620445198</v>
      </c>
    </row>
    <row r="6006" spans="2:2" ht="15.5" x14ac:dyDescent="0.35">
      <c r="B6006" s="853">
        <v>401299.36255284661</v>
      </c>
    </row>
    <row r="6007" spans="2:2" ht="15.5" x14ac:dyDescent="0.35">
      <c r="B6007" s="853">
        <v>168986.43807267156</v>
      </c>
    </row>
    <row r="6008" spans="2:2" ht="15.5" x14ac:dyDescent="0.35">
      <c r="B6008" s="853">
        <v>270480.33727665321</v>
      </c>
    </row>
    <row r="6009" spans="2:2" ht="15.5" x14ac:dyDescent="0.35">
      <c r="B6009" s="853">
        <v>211319.58997585322</v>
      </c>
    </row>
    <row r="6010" spans="2:2" ht="15.5" x14ac:dyDescent="0.35">
      <c r="B6010" s="853">
        <v>385333.53867922333</v>
      </c>
    </row>
    <row r="6011" spans="2:2" ht="15.5" x14ac:dyDescent="0.35">
      <c r="B6011" s="853">
        <v>306312.92580227798</v>
      </c>
    </row>
    <row r="6012" spans="2:2" ht="15.5" x14ac:dyDescent="0.35">
      <c r="B6012" s="853">
        <v>279233.27325235488</v>
      </c>
    </row>
    <row r="6013" spans="2:2" ht="15.5" x14ac:dyDescent="0.35">
      <c r="B6013" s="853">
        <v>464320.44019969355</v>
      </c>
    </row>
    <row r="6014" spans="2:2" ht="15.5" x14ac:dyDescent="0.35">
      <c r="B6014" s="853">
        <v>216785.29433082353</v>
      </c>
    </row>
    <row r="6015" spans="2:2" ht="15.5" x14ac:dyDescent="0.35">
      <c r="B6015" s="853">
        <v>259295.84548056044</v>
      </c>
    </row>
    <row r="6016" spans="2:2" ht="15.5" x14ac:dyDescent="0.35">
      <c r="B6016" s="853">
        <v>171829.85267022424</v>
      </c>
    </row>
    <row r="6017" spans="2:2" ht="15.5" x14ac:dyDescent="0.35">
      <c r="B6017" s="853">
        <v>346666.96816458245</v>
      </c>
    </row>
    <row r="6018" spans="2:2" ht="15.5" x14ac:dyDescent="0.35">
      <c r="B6018" s="853">
        <v>119710.14868987659</v>
      </c>
    </row>
    <row r="6019" spans="2:2" ht="15.5" x14ac:dyDescent="0.35">
      <c r="B6019" s="853">
        <v>480262.3913768598</v>
      </c>
    </row>
    <row r="6020" spans="2:2" ht="15.5" x14ac:dyDescent="0.35">
      <c r="B6020" s="853">
        <v>140975.33013908661</v>
      </c>
    </row>
    <row r="6021" spans="2:2" ht="15.5" x14ac:dyDescent="0.35">
      <c r="B6021" s="853">
        <v>457235.40519396722</v>
      </c>
    </row>
    <row r="6022" spans="2:2" ht="15.5" x14ac:dyDescent="0.35">
      <c r="B6022" s="853">
        <v>254074.8970070853</v>
      </c>
    </row>
    <row r="6023" spans="2:2" ht="15.5" x14ac:dyDescent="0.35">
      <c r="B6023" s="853">
        <v>297452.36932784662</v>
      </c>
    </row>
    <row r="6024" spans="2:2" ht="15.5" x14ac:dyDescent="0.35">
      <c r="B6024" s="853">
        <v>336431.24912025564</v>
      </c>
    </row>
    <row r="6025" spans="2:2" ht="15.5" x14ac:dyDescent="0.35">
      <c r="B6025" s="853">
        <v>216818.29058759345</v>
      </c>
    </row>
    <row r="6026" spans="2:2" ht="15.5" x14ac:dyDescent="0.35">
      <c r="B6026" s="853">
        <v>343594.48848473263</v>
      </c>
    </row>
    <row r="6027" spans="2:2" ht="15.5" x14ac:dyDescent="0.35">
      <c r="B6027" s="853">
        <v>446064.14239462756</v>
      </c>
    </row>
    <row r="6028" spans="2:2" ht="15.5" x14ac:dyDescent="0.35">
      <c r="B6028" s="853">
        <v>540546.23992691468</v>
      </c>
    </row>
    <row r="6029" spans="2:2" ht="15.5" x14ac:dyDescent="0.35">
      <c r="B6029" s="853">
        <v>342798.27319442882</v>
      </c>
    </row>
    <row r="6030" spans="2:2" ht="15.5" x14ac:dyDescent="0.35">
      <c r="B6030" s="853">
        <v>368282.55807434081</v>
      </c>
    </row>
    <row r="6031" spans="2:2" ht="15.5" x14ac:dyDescent="0.35">
      <c r="B6031" s="853">
        <v>298756.38875191641</v>
      </c>
    </row>
    <row r="6032" spans="2:2" ht="15.5" x14ac:dyDescent="0.35">
      <c r="B6032" s="853">
        <v>291076.70559880068</v>
      </c>
    </row>
    <row r="6033" spans="2:2" ht="15.5" x14ac:dyDescent="0.35">
      <c r="B6033" s="853">
        <v>267748.0520037128</v>
      </c>
    </row>
    <row r="6034" spans="2:2" ht="15.5" x14ac:dyDescent="0.35">
      <c r="B6034" s="853">
        <v>247339.00277791033</v>
      </c>
    </row>
    <row r="6035" spans="2:2" ht="15.5" x14ac:dyDescent="0.35">
      <c r="B6035" s="853">
        <v>386302.43788160017</v>
      </c>
    </row>
    <row r="6036" spans="2:2" ht="15.5" x14ac:dyDescent="0.35">
      <c r="B6036" s="853">
        <v>350939.44954108994</v>
      </c>
    </row>
    <row r="6037" spans="2:2" ht="15.5" x14ac:dyDescent="0.35">
      <c r="B6037" s="853">
        <v>286910.84656776994</v>
      </c>
    </row>
    <row r="6038" spans="2:2" ht="15.5" x14ac:dyDescent="0.35">
      <c r="B6038" s="853">
        <v>150210.19479625317</v>
      </c>
    </row>
    <row r="6039" spans="2:2" ht="15.5" x14ac:dyDescent="0.35">
      <c r="B6039" s="853">
        <v>497000.50445588579</v>
      </c>
    </row>
    <row r="6040" spans="2:2" ht="15.5" x14ac:dyDescent="0.35">
      <c r="B6040" s="853">
        <v>269013.82257824851</v>
      </c>
    </row>
    <row r="6041" spans="2:2" ht="15.5" x14ac:dyDescent="0.35">
      <c r="B6041" s="853">
        <v>462230.91187270451</v>
      </c>
    </row>
    <row r="6042" spans="2:2" ht="15.5" x14ac:dyDescent="0.35">
      <c r="B6042" s="853">
        <v>118897.37262019243</v>
      </c>
    </row>
    <row r="6043" spans="2:2" ht="15.5" x14ac:dyDescent="0.35">
      <c r="B6043" s="853">
        <v>469263.16326453502</v>
      </c>
    </row>
    <row r="6044" spans="2:2" ht="15.5" x14ac:dyDescent="0.35">
      <c r="B6044" s="853">
        <v>491398.57248342899</v>
      </c>
    </row>
    <row r="6045" spans="2:2" ht="15.5" x14ac:dyDescent="0.35">
      <c r="B6045" s="853">
        <v>362135.44720643235</v>
      </c>
    </row>
    <row r="6046" spans="2:2" ht="15.5" x14ac:dyDescent="0.35">
      <c r="B6046" s="853">
        <v>493358.08917704667</v>
      </c>
    </row>
    <row r="6047" spans="2:2" ht="15.5" x14ac:dyDescent="0.35">
      <c r="B6047" s="853">
        <v>438027.38107549475</v>
      </c>
    </row>
    <row r="6048" spans="2:2" ht="15.5" x14ac:dyDescent="0.35">
      <c r="B6048" s="853">
        <v>287680.47106698737</v>
      </c>
    </row>
    <row r="6049" spans="2:2" ht="15.5" x14ac:dyDescent="0.35">
      <c r="B6049" s="853">
        <v>347902.09200918069</v>
      </c>
    </row>
    <row r="6050" spans="2:2" ht="15.5" x14ac:dyDescent="0.35">
      <c r="B6050" s="853">
        <v>417351.09327744762</v>
      </c>
    </row>
    <row r="6051" spans="2:2" ht="15.5" x14ac:dyDescent="0.35">
      <c r="B6051" s="853">
        <v>166864.56838341185</v>
      </c>
    </row>
    <row r="6052" spans="2:2" ht="15.5" x14ac:dyDescent="0.35">
      <c r="B6052" s="853">
        <v>284226.26975810732</v>
      </c>
    </row>
    <row r="6053" spans="2:2" ht="15.5" x14ac:dyDescent="0.35">
      <c r="B6053" s="853">
        <v>369665.92174214439</v>
      </c>
    </row>
    <row r="6054" spans="2:2" ht="15.5" x14ac:dyDescent="0.35">
      <c r="B6054" s="853">
        <v>147824.37232053562</v>
      </c>
    </row>
    <row r="6055" spans="2:2" ht="15.5" x14ac:dyDescent="0.35">
      <c r="B6055" s="853">
        <v>367929.97779789334</v>
      </c>
    </row>
    <row r="6056" spans="2:2" ht="15.5" x14ac:dyDescent="0.35">
      <c r="B6056" s="853">
        <v>405093.71937174228</v>
      </c>
    </row>
    <row r="6057" spans="2:2" ht="15.5" x14ac:dyDescent="0.35">
      <c r="B6057" s="853">
        <v>233513.70639224377</v>
      </c>
    </row>
    <row r="6058" spans="2:2" ht="15.5" x14ac:dyDescent="0.35">
      <c r="B6058" s="853">
        <v>158072.932349974</v>
      </c>
    </row>
    <row r="6059" spans="2:2" ht="15.5" x14ac:dyDescent="0.35">
      <c r="B6059" s="853">
        <v>119376.8992923918</v>
      </c>
    </row>
    <row r="6060" spans="2:2" ht="15.5" x14ac:dyDescent="0.35">
      <c r="B6060" s="853">
        <v>304145.18960408441</v>
      </c>
    </row>
    <row r="6061" spans="2:2" ht="15.5" x14ac:dyDescent="0.35">
      <c r="B6061" s="853">
        <v>207747.40707939691</v>
      </c>
    </row>
    <row r="6062" spans="2:2" ht="15.5" x14ac:dyDescent="0.35">
      <c r="B6062" s="853">
        <v>372744.78142390784</v>
      </c>
    </row>
    <row r="6063" spans="2:2" ht="15.5" x14ac:dyDescent="0.35">
      <c r="B6063" s="853">
        <v>208759.77575565031</v>
      </c>
    </row>
    <row r="6064" spans="2:2" ht="15.5" x14ac:dyDescent="0.35">
      <c r="B6064" s="853">
        <v>269407.75666073285</v>
      </c>
    </row>
    <row r="6065" spans="2:2" ht="15.5" x14ac:dyDescent="0.35">
      <c r="B6065" s="853">
        <v>569460.95809321175</v>
      </c>
    </row>
    <row r="6066" spans="2:2" ht="15.5" x14ac:dyDescent="0.35">
      <c r="B6066" s="853">
        <v>420229.6860126782</v>
      </c>
    </row>
    <row r="6067" spans="2:2" ht="15.5" x14ac:dyDescent="0.35">
      <c r="B6067" s="853">
        <v>370318.50365390419</v>
      </c>
    </row>
    <row r="6068" spans="2:2" ht="15.5" x14ac:dyDescent="0.35">
      <c r="B6068" s="853">
        <v>356597.33247559331</v>
      </c>
    </row>
    <row r="6069" spans="2:2" ht="15.5" x14ac:dyDescent="0.35">
      <c r="B6069" s="853">
        <v>343327.25596479216</v>
      </c>
    </row>
    <row r="6070" spans="2:2" ht="15.5" x14ac:dyDescent="0.35">
      <c r="B6070" s="853">
        <v>399138.40628749866</v>
      </c>
    </row>
    <row r="6071" spans="2:2" ht="15.5" x14ac:dyDescent="0.35">
      <c r="B6071" s="853">
        <v>-103965.84619196338</v>
      </c>
    </row>
    <row r="6072" spans="2:2" ht="15.5" x14ac:dyDescent="0.35">
      <c r="B6072" s="853">
        <v>317196.47874834517</v>
      </c>
    </row>
    <row r="6073" spans="2:2" ht="15.5" x14ac:dyDescent="0.35">
      <c r="B6073" s="853">
        <v>178410.69518803922</v>
      </c>
    </row>
    <row r="6074" spans="2:2" ht="15.5" x14ac:dyDescent="0.35">
      <c r="B6074" s="853">
        <v>301573.86719223508</v>
      </c>
    </row>
    <row r="6075" spans="2:2" ht="15.5" x14ac:dyDescent="0.35">
      <c r="B6075" s="853">
        <v>98161.724714894212</v>
      </c>
    </row>
    <row r="6076" spans="2:2" ht="15.5" x14ac:dyDescent="0.35">
      <c r="B6076" s="853">
        <v>284915.0259186863</v>
      </c>
    </row>
    <row r="6077" spans="2:2" ht="15.5" x14ac:dyDescent="0.35">
      <c r="B6077" s="853">
        <v>197207.42411855902</v>
      </c>
    </row>
    <row r="6078" spans="2:2" ht="15.5" x14ac:dyDescent="0.35">
      <c r="B6078" s="853">
        <v>231519.12953651283</v>
      </c>
    </row>
    <row r="6079" spans="2:2" ht="15.5" x14ac:dyDescent="0.35">
      <c r="B6079" s="853">
        <v>130777.23830853635</v>
      </c>
    </row>
    <row r="6080" spans="2:2" ht="15.5" x14ac:dyDescent="0.35">
      <c r="B6080" s="853">
        <v>444715.66387817182</v>
      </c>
    </row>
    <row r="6081" spans="2:2" ht="15.5" x14ac:dyDescent="0.35">
      <c r="B6081" s="853">
        <v>620836.5643786086</v>
      </c>
    </row>
    <row r="6082" spans="2:2" ht="15.5" x14ac:dyDescent="0.35">
      <c r="B6082" s="853">
        <v>313295.84666306461</v>
      </c>
    </row>
    <row r="6083" spans="2:2" ht="15.5" x14ac:dyDescent="0.35">
      <c r="B6083" s="853">
        <v>294922.58449972904</v>
      </c>
    </row>
    <row r="6084" spans="2:2" ht="15.5" x14ac:dyDescent="0.35">
      <c r="B6084" s="853">
        <v>364173.35500833625</v>
      </c>
    </row>
    <row r="6085" spans="2:2" ht="15.5" x14ac:dyDescent="0.35">
      <c r="B6085" s="853">
        <v>170882.74762016084</v>
      </c>
    </row>
    <row r="6086" spans="2:2" ht="15.5" x14ac:dyDescent="0.35">
      <c r="B6086" s="853">
        <v>271855.44888921769</v>
      </c>
    </row>
    <row r="6087" spans="2:2" ht="15.5" x14ac:dyDescent="0.35">
      <c r="B6087" s="853">
        <v>297156.72422968881</v>
      </c>
    </row>
    <row r="6088" spans="2:2" ht="15.5" x14ac:dyDescent="0.35">
      <c r="B6088" s="853">
        <v>321630.55423286941</v>
      </c>
    </row>
    <row r="6089" spans="2:2" ht="15.5" x14ac:dyDescent="0.35">
      <c r="B6089" s="853">
        <v>190942.66775075515</v>
      </c>
    </row>
    <row r="6090" spans="2:2" ht="15.5" x14ac:dyDescent="0.35">
      <c r="B6090" s="853">
        <v>379149.75004211505</v>
      </c>
    </row>
    <row r="6091" spans="2:2" ht="15.5" x14ac:dyDescent="0.35">
      <c r="B6091" s="853">
        <v>41237.001532093476</v>
      </c>
    </row>
    <row r="6092" spans="2:2" ht="15.5" x14ac:dyDescent="0.35">
      <c r="B6092" s="853">
        <v>282472.92540413653</v>
      </c>
    </row>
    <row r="6093" spans="2:2" ht="15.5" x14ac:dyDescent="0.35">
      <c r="B6093" s="853">
        <v>540546.8675234993</v>
      </c>
    </row>
    <row r="6094" spans="2:2" ht="15.5" x14ac:dyDescent="0.35">
      <c r="B6094" s="853">
        <v>212408.05435267667</v>
      </c>
    </row>
    <row r="6095" spans="2:2" ht="15.5" x14ac:dyDescent="0.35">
      <c r="B6095" s="853">
        <v>555176.48099051218</v>
      </c>
    </row>
    <row r="6096" spans="2:2" ht="15.5" x14ac:dyDescent="0.35">
      <c r="B6096" s="853">
        <v>550038.66387657262</v>
      </c>
    </row>
    <row r="6097" spans="2:2" ht="15.5" x14ac:dyDescent="0.35">
      <c r="B6097" s="853">
        <v>400124.81145574729</v>
      </c>
    </row>
    <row r="6098" spans="2:2" ht="15.5" x14ac:dyDescent="0.35">
      <c r="B6098" s="853">
        <v>91533.937542552594</v>
      </c>
    </row>
    <row r="6099" spans="2:2" ht="15.5" x14ac:dyDescent="0.35">
      <c r="B6099" s="853">
        <v>437781.45736352733</v>
      </c>
    </row>
    <row r="6100" spans="2:2" ht="15.5" x14ac:dyDescent="0.35">
      <c r="B6100" s="853">
        <v>323225.88011700485</v>
      </c>
    </row>
    <row r="6101" spans="2:2" ht="15.5" x14ac:dyDescent="0.35">
      <c r="B6101" s="853">
        <v>232726.63120886759</v>
      </c>
    </row>
    <row r="6102" spans="2:2" ht="15.5" x14ac:dyDescent="0.35">
      <c r="B6102" s="853">
        <v>386163.00098748121</v>
      </c>
    </row>
    <row r="6103" spans="2:2" ht="15.5" x14ac:dyDescent="0.35">
      <c r="B6103" s="853">
        <v>410180.70399065502</v>
      </c>
    </row>
    <row r="6104" spans="2:2" ht="15.5" x14ac:dyDescent="0.35">
      <c r="B6104" s="853">
        <v>337554.53122804273</v>
      </c>
    </row>
    <row r="6105" spans="2:2" ht="15.5" x14ac:dyDescent="0.35">
      <c r="B6105" s="853">
        <v>182096.66896145171</v>
      </c>
    </row>
    <row r="6106" spans="2:2" ht="15.5" x14ac:dyDescent="0.35">
      <c r="B6106" s="853">
        <v>419308.71394977317</v>
      </c>
    </row>
    <row r="6107" spans="2:2" ht="15.5" x14ac:dyDescent="0.35">
      <c r="B6107" s="853">
        <v>535913.2885187224</v>
      </c>
    </row>
    <row r="6108" spans="2:2" ht="15.5" x14ac:dyDescent="0.35">
      <c r="B6108" s="853">
        <v>290001.47111340653</v>
      </c>
    </row>
    <row r="6109" spans="2:2" ht="15.5" x14ac:dyDescent="0.35">
      <c r="B6109" s="853">
        <v>285399.52137071337</v>
      </c>
    </row>
    <row r="6110" spans="2:2" ht="15.5" x14ac:dyDescent="0.35">
      <c r="B6110" s="853">
        <v>252256.15032420855</v>
      </c>
    </row>
    <row r="6111" spans="2:2" ht="15.5" x14ac:dyDescent="0.35">
      <c r="B6111" s="853">
        <v>408091.34526512568</v>
      </c>
    </row>
    <row r="6112" spans="2:2" ht="15.5" x14ac:dyDescent="0.35">
      <c r="B6112" s="853">
        <v>114934.33309788666</v>
      </c>
    </row>
    <row r="6113" spans="2:2" ht="15.5" x14ac:dyDescent="0.35">
      <c r="B6113" s="853">
        <v>788228.12222117197</v>
      </c>
    </row>
    <row r="6114" spans="2:2" ht="15.5" x14ac:dyDescent="0.35">
      <c r="B6114" s="853">
        <v>116230.56899356145</v>
      </c>
    </row>
    <row r="6115" spans="2:2" ht="15.5" x14ac:dyDescent="0.35">
      <c r="B6115" s="853">
        <v>312531.0117971701</v>
      </c>
    </row>
    <row r="6116" spans="2:2" ht="15.5" x14ac:dyDescent="0.35">
      <c r="B6116" s="853">
        <v>180420.86999710728</v>
      </c>
    </row>
    <row r="6117" spans="2:2" ht="15.5" x14ac:dyDescent="0.35">
      <c r="B6117" s="853">
        <v>497973.25278998725</v>
      </c>
    </row>
    <row r="6118" spans="2:2" ht="15.5" x14ac:dyDescent="0.35">
      <c r="B6118" s="853">
        <v>250655.63111299707</v>
      </c>
    </row>
    <row r="6119" spans="2:2" ht="15.5" x14ac:dyDescent="0.35">
      <c r="B6119" s="853">
        <v>519085.47440893017</v>
      </c>
    </row>
    <row r="6120" spans="2:2" ht="15.5" x14ac:dyDescent="0.35">
      <c r="B6120" s="853">
        <v>483637.90771295555</v>
      </c>
    </row>
    <row r="6121" spans="2:2" ht="15.5" x14ac:dyDescent="0.35">
      <c r="B6121" s="853">
        <v>372479.7185592301</v>
      </c>
    </row>
    <row r="6122" spans="2:2" ht="15.5" x14ac:dyDescent="0.35">
      <c r="B6122" s="853">
        <v>604459.40150754247</v>
      </c>
    </row>
    <row r="6123" spans="2:2" ht="15.5" x14ac:dyDescent="0.35">
      <c r="B6123" s="853">
        <v>268081.91653215472</v>
      </c>
    </row>
    <row r="6124" spans="2:2" ht="15.5" x14ac:dyDescent="0.35">
      <c r="B6124" s="853">
        <v>115746.99557607333</v>
      </c>
    </row>
    <row r="6125" spans="2:2" ht="15.5" x14ac:dyDescent="0.35">
      <c r="B6125" s="853">
        <v>494765.73705019034</v>
      </c>
    </row>
    <row r="6126" spans="2:2" ht="15.5" x14ac:dyDescent="0.35">
      <c r="B6126" s="853">
        <v>287363.5989792922</v>
      </c>
    </row>
    <row r="6127" spans="2:2" ht="15.5" x14ac:dyDescent="0.35">
      <c r="B6127" s="853">
        <v>399645.79989122803</v>
      </c>
    </row>
    <row r="6128" spans="2:2" ht="15.5" x14ac:dyDescent="0.35">
      <c r="B6128" s="853">
        <v>386329.35427560215</v>
      </c>
    </row>
    <row r="6129" spans="2:2" ht="15.5" x14ac:dyDescent="0.35">
      <c r="B6129" s="853">
        <v>188653.56086178034</v>
      </c>
    </row>
    <row r="6130" spans="2:2" ht="15.5" x14ac:dyDescent="0.35">
      <c r="B6130" s="853">
        <v>392672.24760102609</v>
      </c>
    </row>
    <row r="6131" spans="2:2" ht="15.5" x14ac:dyDescent="0.35">
      <c r="B6131" s="853">
        <v>153805.26422940611</v>
      </c>
    </row>
    <row r="6132" spans="2:2" ht="15.5" x14ac:dyDescent="0.35">
      <c r="B6132" s="853">
        <v>398588.9908077346</v>
      </c>
    </row>
    <row r="6133" spans="2:2" ht="15.5" x14ac:dyDescent="0.35">
      <c r="B6133" s="853">
        <v>81579.761715894128</v>
      </c>
    </row>
    <row r="6134" spans="2:2" ht="15.5" x14ac:dyDescent="0.35">
      <c r="B6134" s="853">
        <v>286701.01483686228</v>
      </c>
    </row>
    <row r="6135" spans="2:2" ht="15.5" x14ac:dyDescent="0.35">
      <c r="B6135" s="853">
        <v>76622.423235260285</v>
      </c>
    </row>
    <row r="6136" spans="2:2" ht="15.5" x14ac:dyDescent="0.35">
      <c r="B6136" s="853">
        <v>193009.23644471561</v>
      </c>
    </row>
    <row r="6137" spans="2:2" ht="15.5" x14ac:dyDescent="0.35">
      <c r="B6137" s="853">
        <v>236697.27322841246</v>
      </c>
    </row>
    <row r="6138" spans="2:2" ht="15.5" x14ac:dyDescent="0.35">
      <c r="B6138" s="853">
        <v>286448.18913275411</v>
      </c>
    </row>
    <row r="6139" spans="2:2" ht="15.5" x14ac:dyDescent="0.35">
      <c r="B6139" s="853">
        <v>451486.07592991862</v>
      </c>
    </row>
    <row r="6140" spans="2:2" ht="15.5" x14ac:dyDescent="0.35">
      <c r="B6140" s="853">
        <v>401498.78909088299</v>
      </c>
    </row>
    <row r="6141" spans="2:2" ht="15.5" x14ac:dyDescent="0.35">
      <c r="B6141" s="853">
        <v>252713.78032096161</v>
      </c>
    </row>
    <row r="6142" spans="2:2" ht="15.5" x14ac:dyDescent="0.35">
      <c r="B6142" s="853">
        <v>550466.66994056886</v>
      </c>
    </row>
    <row r="6143" spans="2:2" ht="15.5" x14ac:dyDescent="0.35">
      <c r="B6143" s="853">
        <v>240456.21893690404</v>
      </c>
    </row>
    <row r="6144" spans="2:2" ht="15.5" x14ac:dyDescent="0.35">
      <c r="B6144" s="853">
        <v>437869.22221555869</v>
      </c>
    </row>
    <row r="6145" spans="2:2" ht="15.5" x14ac:dyDescent="0.35">
      <c r="B6145" s="853">
        <v>209402.66398423119</v>
      </c>
    </row>
    <row r="6146" spans="2:2" ht="15.5" x14ac:dyDescent="0.35">
      <c r="B6146" s="853">
        <v>497015.06375139736</v>
      </c>
    </row>
    <row r="6147" spans="2:2" ht="15.5" x14ac:dyDescent="0.35">
      <c r="B6147" s="853">
        <v>157139.46436220367</v>
      </c>
    </row>
    <row r="6148" spans="2:2" ht="15.5" x14ac:dyDescent="0.35">
      <c r="B6148" s="853">
        <v>31369.520846223542</v>
      </c>
    </row>
    <row r="6149" spans="2:2" ht="15.5" x14ac:dyDescent="0.35">
      <c r="B6149" s="853">
        <v>332083.13889787497</v>
      </c>
    </row>
    <row r="6150" spans="2:2" ht="15.5" x14ac:dyDescent="0.35">
      <c r="B6150" s="853">
        <v>135964.27192553665</v>
      </c>
    </row>
    <row r="6151" spans="2:2" ht="15.5" x14ac:dyDescent="0.35">
      <c r="B6151" s="853">
        <v>259814.73856377878</v>
      </c>
    </row>
    <row r="6152" spans="2:2" ht="15.5" x14ac:dyDescent="0.35">
      <c r="B6152" s="853">
        <v>372933.53424280247</v>
      </c>
    </row>
    <row r="6153" spans="2:2" ht="15.5" x14ac:dyDescent="0.35">
      <c r="B6153" s="853">
        <v>113568.02481859594</v>
      </c>
    </row>
    <row r="6154" spans="2:2" ht="15.5" x14ac:dyDescent="0.35">
      <c r="B6154" s="853">
        <v>318354.39323838166</v>
      </c>
    </row>
    <row r="6155" spans="2:2" ht="15.5" x14ac:dyDescent="0.35">
      <c r="B6155" s="853">
        <v>214470.00906147037</v>
      </c>
    </row>
    <row r="6156" spans="2:2" ht="15.5" x14ac:dyDescent="0.35">
      <c r="B6156" s="853">
        <v>351880.25926898548</v>
      </c>
    </row>
    <row r="6157" spans="2:2" ht="15.5" x14ac:dyDescent="0.35">
      <c r="B6157" s="853">
        <v>143884.65034894145</v>
      </c>
    </row>
    <row r="6158" spans="2:2" ht="15.5" x14ac:dyDescent="0.35">
      <c r="B6158" s="853">
        <v>258161.90110590082</v>
      </c>
    </row>
    <row r="6159" spans="2:2" ht="15.5" x14ac:dyDescent="0.35">
      <c r="B6159" s="853">
        <v>358564.6730275047</v>
      </c>
    </row>
    <row r="6160" spans="2:2" ht="15.5" x14ac:dyDescent="0.35">
      <c r="B6160" s="853">
        <v>5066.2823783190579</v>
      </c>
    </row>
    <row r="6161" spans="2:2" ht="15.5" x14ac:dyDescent="0.35">
      <c r="B6161" s="853">
        <v>489387.3541916082</v>
      </c>
    </row>
    <row r="6162" spans="2:2" ht="15.5" x14ac:dyDescent="0.35">
      <c r="B6162" s="853">
        <v>532251.4984575581</v>
      </c>
    </row>
    <row r="6163" spans="2:2" ht="15.5" x14ac:dyDescent="0.35">
      <c r="B6163" s="853">
        <v>83888.750901171021</v>
      </c>
    </row>
    <row r="6164" spans="2:2" ht="15.5" x14ac:dyDescent="0.35">
      <c r="B6164" s="853">
        <v>337556.27550396789</v>
      </c>
    </row>
    <row r="6165" spans="2:2" ht="15.5" x14ac:dyDescent="0.35">
      <c r="B6165" s="853">
        <v>138468.14253078774</v>
      </c>
    </row>
    <row r="6166" spans="2:2" ht="15.5" x14ac:dyDescent="0.35">
      <c r="B6166" s="853">
        <v>331811.32911546534</v>
      </c>
    </row>
    <row r="6167" spans="2:2" ht="15.5" x14ac:dyDescent="0.35">
      <c r="B6167" s="853">
        <v>335346.83794484026</v>
      </c>
    </row>
    <row r="6168" spans="2:2" ht="15.5" x14ac:dyDescent="0.35">
      <c r="B6168" s="853">
        <v>357900.9286532455</v>
      </c>
    </row>
    <row r="6169" spans="2:2" ht="15.5" x14ac:dyDescent="0.35">
      <c r="B6169" s="853">
        <v>189597.64805609369</v>
      </c>
    </row>
    <row r="6170" spans="2:2" ht="15.5" x14ac:dyDescent="0.35">
      <c r="B6170" s="853">
        <v>414077.21397781576</v>
      </c>
    </row>
    <row r="6171" spans="2:2" ht="15.5" x14ac:dyDescent="0.35">
      <c r="B6171" s="853">
        <v>675026.72515001521</v>
      </c>
    </row>
    <row r="6172" spans="2:2" ht="15.5" x14ac:dyDescent="0.35">
      <c r="B6172" s="853">
        <v>261554.41537195616</v>
      </c>
    </row>
    <row r="6173" spans="2:2" ht="15.5" x14ac:dyDescent="0.35">
      <c r="B6173" s="853">
        <v>387060.44217316748</v>
      </c>
    </row>
    <row r="6174" spans="2:2" ht="15.5" x14ac:dyDescent="0.35">
      <c r="B6174" s="853">
        <v>303197.15202528652</v>
      </c>
    </row>
    <row r="6175" spans="2:2" ht="15.5" x14ac:dyDescent="0.35">
      <c r="B6175" s="853">
        <v>282269.89601973287</v>
      </c>
    </row>
    <row r="6176" spans="2:2" ht="15.5" x14ac:dyDescent="0.35">
      <c r="B6176" s="853">
        <v>3142.6631586501458</v>
      </c>
    </row>
    <row r="6177" spans="2:2" ht="15.5" x14ac:dyDescent="0.35">
      <c r="B6177" s="853">
        <v>238007.83093528787</v>
      </c>
    </row>
    <row r="6178" spans="2:2" ht="15.5" x14ac:dyDescent="0.35">
      <c r="B6178" s="853">
        <v>155592.22564060596</v>
      </c>
    </row>
    <row r="6179" spans="2:2" ht="15.5" x14ac:dyDescent="0.35">
      <c r="B6179" s="853">
        <v>428752.00876413111</v>
      </c>
    </row>
    <row r="6180" spans="2:2" ht="15.5" x14ac:dyDescent="0.35">
      <c r="B6180" s="853">
        <v>410657.77427826187</v>
      </c>
    </row>
    <row r="6181" spans="2:2" ht="15.5" x14ac:dyDescent="0.35">
      <c r="B6181" s="853">
        <v>185532.35815577651</v>
      </c>
    </row>
    <row r="6182" spans="2:2" ht="15.5" x14ac:dyDescent="0.35">
      <c r="B6182" s="853">
        <v>244334.72796159488</v>
      </c>
    </row>
    <row r="6183" spans="2:2" ht="15.5" x14ac:dyDescent="0.35">
      <c r="B6183" s="853">
        <v>422219.86107729794</v>
      </c>
    </row>
    <row r="6184" spans="2:2" ht="15.5" x14ac:dyDescent="0.35">
      <c r="B6184" s="853">
        <v>423789.26243879716</v>
      </c>
    </row>
    <row r="6185" spans="2:2" ht="15.5" x14ac:dyDescent="0.35">
      <c r="B6185" s="853">
        <v>650320.09709049691</v>
      </c>
    </row>
    <row r="6186" spans="2:2" ht="15.5" x14ac:dyDescent="0.35">
      <c r="B6186" s="853">
        <v>296476.56293355004</v>
      </c>
    </row>
    <row r="6187" spans="2:2" ht="15.5" x14ac:dyDescent="0.35">
      <c r="B6187" s="853">
        <v>90162.734225227134</v>
      </c>
    </row>
    <row r="6188" spans="2:2" ht="15.5" x14ac:dyDescent="0.35">
      <c r="B6188" s="853">
        <v>646764.60983909981</v>
      </c>
    </row>
    <row r="6189" spans="2:2" ht="15.5" x14ac:dyDescent="0.35">
      <c r="B6189" s="853">
        <v>340333.3074950279</v>
      </c>
    </row>
    <row r="6190" spans="2:2" ht="15.5" x14ac:dyDescent="0.35">
      <c r="B6190" s="853">
        <v>375053.59773193637</v>
      </c>
    </row>
    <row r="6191" spans="2:2" ht="15.5" x14ac:dyDescent="0.35">
      <c r="B6191" s="853">
        <v>449725.19791774009</v>
      </c>
    </row>
    <row r="6192" spans="2:2" ht="15.5" x14ac:dyDescent="0.35">
      <c r="B6192" s="853">
        <v>198215.7138399882</v>
      </c>
    </row>
    <row r="6193" spans="2:2" ht="15.5" x14ac:dyDescent="0.35">
      <c r="B6193" s="853">
        <v>173954.90392617715</v>
      </c>
    </row>
    <row r="6194" spans="2:2" ht="15.5" x14ac:dyDescent="0.35">
      <c r="B6194" s="853">
        <v>306768.93953044753</v>
      </c>
    </row>
    <row r="6195" spans="2:2" ht="15.5" x14ac:dyDescent="0.35">
      <c r="B6195" s="853">
        <v>592580.98703745147</v>
      </c>
    </row>
    <row r="6196" spans="2:2" ht="15.5" x14ac:dyDescent="0.35">
      <c r="B6196" s="853">
        <v>388615.39125237294</v>
      </c>
    </row>
    <row r="6197" spans="2:2" ht="15.5" x14ac:dyDescent="0.35">
      <c r="B6197" s="853">
        <v>97100.645375794149</v>
      </c>
    </row>
    <row r="6198" spans="2:2" ht="15.5" x14ac:dyDescent="0.35">
      <c r="B6198" s="853">
        <v>314067.37817920465</v>
      </c>
    </row>
    <row r="6199" spans="2:2" ht="15.5" x14ac:dyDescent="0.35">
      <c r="B6199" s="853">
        <v>324262.46614128869</v>
      </c>
    </row>
    <row r="6200" spans="2:2" ht="15.5" x14ac:dyDescent="0.35">
      <c r="B6200" s="853">
        <v>296017.16019984224</v>
      </c>
    </row>
    <row r="6201" spans="2:2" ht="15.5" x14ac:dyDescent="0.35">
      <c r="B6201" s="853">
        <v>401291.97636395617</v>
      </c>
    </row>
    <row r="6202" spans="2:2" ht="15.5" x14ac:dyDescent="0.35">
      <c r="B6202" s="853">
        <v>267003.94659659214</v>
      </c>
    </row>
    <row r="6203" spans="2:2" ht="15.5" x14ac:dyDescent="0.35">
      <c r="B6203" s="853">
        <v>184628.54571542438</v>
      </c>
    </row>
    <row r="6204" spans="2:2" ht="15.5" x14ac:dyDescent="0.35">
      <c r="B6204" s="853">
        <v>402879.78243480594</v>
      </c>
    </row>
    <row r="6205" spans="2:2" ht="15.5" x14ac:dyDescent="0.35">
      <c r="B6205" s="853">
        <v>184034.8504223843</v>
      </c>
    </row>
    <row r="6206" spans="2:2" ht="15.5" x14ac:dyDescent="0.35">
      <c r="B6206" s="853">
        <v>488335.11098903866</v>
      </c>
    </row>
    <row r="6207" spans="2:2" ht="15.5" x14ac:dyDescent="0.35">
      <c r="B6207" s="853">
        <v>337355.73471984494</v>
      </c>
    </row>
    <row r="6208" spans="2:2" ht="15.5" x14ac:dyDescent="0.35">
      <c r="B6208" s="853">
        <v>241693.44530053262</v>
      </c>
    </row>
    <row r="6209" spans="2:2" ht="15.5" x14ac:dyDescent="0.35">
      <c r="B6209" s="853">
        <v>378113.35371119808</v>
      </c>
    </row>
    <row r="6210" spans="2:2" ht="15.5" x14ac:dyDescent="0.35">
      <c r="B6210" s="853">
        <v>490593.63416976348</v>
      </c>
    </row>
    <row r="6211" spans="2:2" ht="15.5" x14ac:dyDescent="0.35">
      <c r="B6211" s="853">
        <v>230928.70720983486</v>
      </c>
    </row>
    <row r="6212" spans="2:2" ht="15.5" x14ac:dyDescent="0.35">
      <c r="B6212" s="853">
        <v>160416.44891326787</v>
      </c>
    </row>
    <row r="6213" spans="2:2" ht="15.5" x14ac:dyDescent="0.35">
      <c r="B6213" s="853">
        <v>285221.4152061154</v>
      </c>
    </row>
    <row r="6214" spans="2:2" ht="15.5" x14ac:dyDescent="0.35">
      <c r="B6214" s="853">
        <v>241081.748729846</v>
      </c>
    </row>
    <row r="6215" spans="2:2" ht="15.5" x14ac:dyDescent="0.35">
      <c r="B6215" s="853">
        <v>543749.69099134405</v>
      </c>
    </row>
    <row r="6216" spans="2:2" ht="15.5" x14ac:dyDescent="0.35">
      <c r="B6216" s="853">
        <v>292931.48978337686</v>
      </c>
    </row>
    <row r="6217" spans="2:2" ht="15.5" x14ac:dyDescent="0.35">
      <c r="B6217" s="853">
        <v>376692.73866288661</v>
      </c>
    </row>
    <row r="6218" spans="2:2" ht="15.5" x14ac:dyDescent="0.35">
      <c r="B6218" s="853">
        <v>368181.69720544585</v>
      </c>
    </row>
    <row r="6219" spans="2:2" ht="15.5" x14ac:dyDescent="0.35">
      <c r="B6219" s="853">
        <v>429613.91729054827</v>
      </c>
    </row>
    <row r="6220" spans="2:2" ht="15.5" x14ac:dyDescent="0.35">
      <c r="B6220" s="853">
        <v>540323.01557398366</v>
      </c>
    </row>
    <row r="6221" spans="2:2" ht="15.5" x14ac:dyDescent="0.35">
      <c r="B6221" s="853">
        <v>495931.03011365019</v>
      </c>
    </row>
    <row r="6222" spans="2:2" ht="15.5" x14ac:dyDescent="0.35">
      <c r="B6222" s="853">
        <v>-34970.626360331531</v>
      </c>
    </row>
    <row r="6223" spans="2:2" ht="15.5" x14ac:dyDescent="0.35">
      <c r="B6223" s="853">
        <v>556185.5435689725</v>
      </c>
    </row>
    <row r="6224" spans="2:2" ht="15.5" x14ac:dyDescent="0.35">
      <c r="B6224" s="853">
        <v>194622.55103198561</v>
      </c>
    </row>
    <row r="6225" spans="2:2" ht="15.5" x14ac:dyDescent="0.35">
      <c r="B6225" s="853">
        <v>354643.39645176526</v>
      </c>
    </row>
    <row r="6226" spans="2:2" ht="15.5" x14ac:dyDescent="0.35">
      <c r="B6226" s="853">
        <v>647062.39641527738</v>
      </c>
    </row>
    <row r="6227" spans="2:2" ht="15.5" x14ac:dyDescent="0.35">
      <c r="B6227" s="853">
        <v>148868.47149888714</v>
      </c>
    </row>
    <row r="6228" spans="2:2" ht="15.5" x14ac:dyDescent="0.35">
      <c r="B6228" s="853">
        <v>22684.528780918063</v>
      </c>
    </row>
    <row r="6229" spans="2:2" ht="15.5" x14ac:dyDescent="0.35">
      <c r="B6229" s="853">
        <v>492893.16579365724</v>
      </c>
    </row>
    <row r="6230" spans="2:2" ht="15.5" x14ac:dyDescent="0.35">
      <c r="B6230" s="853">
        <v>245881.41777444261</v>
      </c>
    </row>
    <row r="6231" spans="2:2" ht="15.5" x14ac:dyDescent="0.35">
      <c r="B6231" s="853">
        <v>505785.19792582234</v>
      </c>
    </row>
    <row r="6232" spans="2:2" ht="15.5" x14ac:dyDescent="0.35">
      <c r="B6232" s="853">
        <v>83444.221309734625</v>
      </c>
    </row>
    <row r="6233" spans="2:2" ht="15.5" x14ac:dyDescent="0.35">
      <c r="B6233" s="853">
        <v>258185.54742245292</v>
      </c>
    </row>
    <row r="6234" spans="2:2" ht="15.5" x14ac:dyDescent="0.35">
      <c r="B6234" s="853">
        <v>-2055.3342968064999</v>
      </c>
    </row>
    <row r="6235" spans="2:2" ht="15.5" x14ac:dyDescent="0.35">
      <c r="B6235" s="853">
        <v>339882.8862854843</v>
      </c>
    </row>
    <row r="6236" spans="2:2" ht="15.5" x14ac:dyDescent="0.35">
      <c r="B6236" s="853">
        <v>57369.729430061539</v>
      </c>
    </row>
    <row r="6237" spans="2:2" ht="15.5" x14ac:dyDescent="0.35">
      <c r="B6237" s="853">
        <v>381751.71691455529</v>
      </c>
    </row>
    <row r="6238" spans="2:2" ht="15.5" x14ac:dyDescent="0.35">
      <c r="B6238" s="853">
        <v>322896.70959837339</v>
      </c>
    </row>
    <row r="6239" spans="2:2" ht="15.5" x14ac:dyDescent="0.35">
      <c r="B6239" s="853">
        <v>189524.78814291125</v>
      </c>
    </row>
    <row r="6240" spans="2:2" ht="15.5" x14ac:dyDescent="0.35">
      <c r="B6240" s="853">
        <v>117494.15118818317</v>
      </c>
    </row>
    <row r="6241" spans="2:2" ht="15.5" x14ac:dyDescent="0.35">
      <c r="B6241" s="853">
        <v>232707.47675172542</v>
      </c>
    </row>
    <row r="6242" spans="2:2" ht="15.5" x14ac:dyDescent="0.35">
      <c r="B6242" s="853">
        <v>38725.413312849167</v>
      </c>
    </row>
    <row r="6243" spans="2:2" ht="15.5" x14ac:dyDescent="0.35">
      <c r="B6243" s="853">
        <v>499284.52485380002</v>
      </c>
    </row>
    <row r="6244" spans="2:2" ht="15.5" x14ac:dyDescent="0.35">
      <c r="B6244" s="853">
        <v>416647.90517253941</v>
      </c>
    </row>
    <row r="6245" spans="2:2" ht="15.5" x14ac:dyDescent="0.35">
      <c r="B6245" s="853">
        <v>173571.54811581169</v>
      </c>
    </row>
    <row r="6246" spans="2:2" ht="15.5" x14ac:dyDescent="0.35">
      <c r="B6246" s="853">
        <v>161380.12946920574</v>
      </c>
    </row>
    <row r="6247" spans="2:2" ht="15.5" x14ac:dyDescent="0.35">
      <c r="B6247" s="853">
        <v>285553.89484690974</v>
      </c>
    </row>
    <row r="6248" spans="2:2" ht="15.5" x14ac:dyDescent="0.35">
      <c r="B6248" s="853">
        <v>326374.72453175351</v>
      </c>
    </row>
    <row r="6249" spans="2:2" ht="15.5" x14ac:dyDescent="0.35">
      <c r="B6249" s="853">
        <v>248432.14962823104</v>
      </c>
    </row>
    <row r="6250" spans="2:2" ht="15.5" x14ac:dyDescent="0.35">
      <c r="B6250" s="853">
        <v>305641.67321541801</v>
      </c>
    </row>
    <row r="6251" spans="2:2" ht="15.5" x14ac:dyDescent="0.35">
      <c r="B6251" s="853">
        <v>221376.84287751868</v>
      </c>
    </row>
    <row r="6252" spans="2:2" ht="15.5" x14ac:dyDescent="0.35">
      <c r="B6252" s="853">
        <v>139576.94214196305</v>
      </c>
    </row>
    <row r="6253" spans="2:2" ht="15.5" x14ac:dyDescent="0.35">
      <c r="B6253" s="853">
        <v>297755.55685173348</v>
      </c>
    </row>
    <row r="6254" spans="2:2" ht="15.5" x14ac:dyDescent="0.35">
      <c r="B6254" s="853">
        <v>439534.48583210912</v>
      </c>
    </row>
    <row r="6255" spans="2:2" ht="15.5" x14ac:dyDescent="0.35">
      <c r="B6255" s="853">
        <v>551047.19856764236</v>
      </c>
    </row>
    <row r="6256" spans="2:2" ht="15.5" x14ac:dyDescent="0.35">
      <c r="B6256" s="853">
        <v>-65309.271348196016</v>
      </c>
    </row>
    <row r="6257" spans="2:2" ht="15.5" x14ac:dyDescent="0.35">
      <c r="B6257" s="853">
        <v>276946.42728707084</v>
      </c>
    </row>
    <row r="6258" spans="2:2" ht="15.5" x14ac:dyDescent="0.35">
      <c r="B6258" s="853">
        <v>260675.06706996122</v>
      </c>
    </row>
    <row r="6259" spans="2:2" ht="15.5" x14ac:dyDescent="0.35">
      <c r="B6259" s="853">
        <v>177590.32616225519</v>
      </c>
    </row>
    <row r="6260" spans="2:2" ht="15.5" x14ac:dyDescent="0.35">
      <c r="B6260" s="853">
        <v>135979.19101422839</v>
      </c>
    </row>
    <row r="6261" spans="2:2" ht="15.5" x14ac:dyDescent="0.35">
      <c r="B6261" s="853">
        <v>324717.73771541554</v>
      </c>
    </row>
    <row r="6262" spans="2:2" ht="15.5" x14ac:dyDescent="0.35">
      <c r="B6262" s="853">
        <v>454846.11861592246</v>
      </c>
    </row>
    <row r="6263" spans="2:2" ht="15.5" x14ac:dyDescent="0.35">
      <c r="B6263" s="853">
        <v>251202.38837811179</v>
      </c>
    </row>
    <row r="6264" spans="2:2" ht="15.5" x14ac:dyDescent="0.35">
      <c r="B6264" s="853">
        <v>323408.26467709127</v>
      </c>
    </row>
    <row r="6265" spans="2:2" ht="15.5" x14ac:dyDescent="0.35">
      <c r="B6265" s="853">
        <v>647613.84629075904</v>
      </c>
    </row>
    <row r="6266" spans="2:2" ht="15.5" x14ac:dyDescent="0.35">
      <c r="B6266" s="853">
        <v>398789.7264028528</v>
      </c>
    </row>
    <row r="6267" spans="2:2" ht="15.5" x14ac:dyDescent="0.35">
      <c r="B6267" s="853">
        <v>341707.21592917625</v>
      </c>
    </row>
    <row r="6268" spans="2:2" ht="15.5" x14ac:dyDescent="0.35">
      <c r="B6268" s="853">
        <v>496481.81931789435</v>
      </c>
    </row>
    <row r="6269" spans="2:2" ht="15.5" x14ac:dyDescent="0.35">
      <c r="B6269" s="853">
        <v>802970.384262971</v>
      </c>
    </row>
    <row r="6270" spans="2:2" ht="15.5" x14ac:dyDescent="0.35">
      <c r="B6270" s="853">
        <v>461736.04408154532</v>
      </c>
    </row>
    <row r="6271" spans="2:2" ht="15.5" x14ac:dyDescent="0.35">
      <c r="B6271" s="853">
        <v>-9693.9884597785676</v>
      </c>
    </row>
    <row r="6272" spans="2:2" ht="15.5" x14ac:dyDescent="0.35">
      <c r="B6272" s="853">
        <v>375672.53308757755</v>
      </c>
    </row>
    <row r="6273" spans="2:2" ht="15.5" x14ac:dyDescent="0.35">
      <c r="B6273" s="853">
        <v>376976.52067130641</v>
      </c>
    </row>
    <row r="6274" spans="2:2" ht="15.5" x14ac:dyDescent="0.35">
      <c r="B6274" s="853">
        <v>337077.40001563739</v>
      </c>
    </row>
    <row r="6275" spans="2:2" ht="15.5" x14ac:dyDescent="0.35">
      <c r="B6275" s="853">
        <v>122475.1411660997</v>
      </c>
    </row>
    <row r="6276" spans="2:2" ht="15.5" x14ac:dyDescent="0.35">
      <c r="B6276" s="853">
        <v>363065.65225317358</v>
      </c>
    </row>
    <row r="6277" spans="2:2" ht="15.5" x14ac:dyDescent="0.35">
      <c r="B6277" s="853">
        <v>171145.88405534346</v>
      </c>
    </row>
    <row r="6278" spans="2:2" ht="15.5" x14ac:dyDescent="0.35">
      <c r="B6278" s="853">
        <v>404190.13167617947</v>
      </c>
    </row>
    <row r="6279" spans="2:2" ht="15.5" x14ac:dyDescent="0.35">
      <c r="B6279" s="853">
        <v>123673.51051166301</v>
      </c>
    </row>
    <row r="6280" spans="2:2" ht="15.5" x14ac:dyDescent="0.35">
      <c r="B6280" s="853">
        <v>385241.66835581005</v>
      </c>
    </row>
    <row r="6281" spans="2:2" ht="15.5" x14ac:dyDescent="0.35">
      <c r="B6281" s="853">
        <v>415901.53200341354</v>
      </c>
    </row>
    <row r="6282" spans="2:2" ht="15.5" x14ac:dyDescent="0.35">
      <c r="B6282" s="853">
        <v>287014.12283474632</v>
      </c>
    </row>
    <row r="6283" spans="2:2" ht="15.5" x14ac:dyDescent="0.35">
      <c r="B6283" s="853">
        <v>220426.64224396829</v>
      </c>
    </row>
    <row r="6284" spans="2:2" ht="15.5" x14ac:dyDescent="0.35">
      <c r="B6284" s="853">
        <v>381452.8350349869</v>
      </c>
    </row>
    <row r="6285" spans="2:2" ht="15.5" x14ac:dyDescent="0.35">
      <c r="B6285" s="853">
        <v>265428.89943427831</v>
      </c>
    </row>
    <row r="6286" spans="2:2" ht="15.5" x14ac:dyDescent="0.35">
      <c r="B6286" s="853">
        <v>590951.7763715476</v>
      </c>
    </row>
    <row r="6287" spans="2:2" ht="15.5" x14ac:dyDescent="0.35">
      <c r="B6287" s="853">
        <v>349301.64444754203</v>
      </c>
    </row>
    <row r="6288" spans="2:2" ht="15.5" x14ac:dyDescent="0.35">
      <c r="B6288" s="853">
        <v>380413.42292945023</v>
      </c>
    </row>
    <row r="6289" spans="2:2" ht="15.5" x14ac:dyDescent="0.35">
      <c r="B6289" s="853">
        <v>239054.21522157724</v>
      </c>
    </row>
    <row r="6290" spans="2:2" ht="15.5" x14ac:dyDescent="0.35">
      <c r="B6290" s="853">
        <v>209814.9329285837</v>
      </c>
    </row>
    <row r="6291" spans="2:2" ht="15.5" x14ac:dyDescent="0.35">
      <c r="B6291" s="853">
        <v>758341.9958652585</v>
      </c>
    </row>
    <row r="6292" spans="2:2" ht="15.5" x14ac:dyDescent="0.35">
      <c r="B6292" s="853">
        <v>438273.80385022558</v>
      </c>
    </row>
    <row r="6293" spans="2:2" ht="15.5" x14ac:dyDescent="0.35">
      <c r="B6293" s="853">
        <v>379531.06763456378</v>
      </c>
    </row>
    <row r="6294" spans="2:2" ht="15.5" x14ac:dyDescent="0.35">
      <c r="B6294" s="853">
        <v>212502.51295176323</v>
      </c>
    </row>
    <row r="6295" spans="2:2" ht="15.5" x14ac:dyDescent="0.35">
      <c r="B6295" s="853">
        <v>495818.76034048211</v>
      </c>
    </row>
    <row r="6296" spans="2:2" ht="15.5" x14ac:dyDescent="0.35">
      <c r="B6296" s="853">
        <v>620918.55762101244</v>
      </c>
    </row>
    <row r="6297" spans="2:2" ht="15.5" x14ac:dyDescent="0.35">
      <c r="B6297" s="853">
        <v>375081.38435079012</v>
      </c>
    </row>
    <row r="6298" spans="2:2" ht="15.5" x14ac:dyDescent="0.35">
      <c r="B6298" s="853">
        <v>316301.24314710853</v>
      </c>
    </row>
    <row r="6299" spans="2:2" ht="15.5" x14ac:dyDescent="0.35">
      <c r="B6299" s="853">
        <v>293237.01976456871</v>
      </c>
    </row>
    <row r="6300" spans="2:2" ht="15.5" x14ac:dyDescent="0.35">
      <c r="B6300" s="853">
        <v>98033.617639887394</v>
      </c>
    </row>
    <row r="6301" spans="2:2" ht="15.5" x14ac:dyDescent="0.35">
      <c r="B6301" s="853">
        <v>248898.43769259405</v>
      </c>
    </row>
    <row r="6302" spans="2:2" ht="15.5" x14ac:dyDescent="0.35">
      <c r="B6302" s="853">
        <v>58353.547578757541</v>
      </c>
    </row>
    <row r="6303" spans="2:2" ht="15.5" x14ac:dyDescent="0.35">
      <c r="B6303" s="853">
        <v>266154.64193159051</v>
      </c>
    </row>
    <row r="6304" spans="2:2" ht="15.5" x14ac:dyDescent="0.35">
      <c r="B6304" s="853">
        <v>372199.18541486817</v>
      </c>
    </row>
    <row r="6305" spans="2:2" ht="15.5" x14ac:dyDescent="0.35">
      <c r="B6305" s="853">
        <v>488180.21943420579</v>
      </c>
    </row>
    <row r="6306" spans="2:2" ht="15.5" x14ac:dyDescent="0.35">
      <c r="B6306" s="853">
        <v>346140.57884946966</v>
      </c>
    </row>
    <row r="6307" spans="2:2" ht="15.5" x14ac:dyDescent="0.35">
      <c r="B6307" s="853">
        <v>391777.87659594533</v>
      </c>
    </row>
    <row r="6308" spans="2:2" ht="15.5" x14ac:dyDescent="0.35">
      <c r="B6308" s="853">
        <v>-2826.7048494592036</v>
      </c>
    </row>
    <row r="6309" spans="2:2" ht="15.5" x14ac:dyDescent="0.35">
      <c r="B6309" s="853">
        <v>487447.11838165391</v>
      </c>
    </row>
    <row r="6310" spans="2:2" ht="15.5" x14ac:dyDescent="0.35">
      <c r="B6310" s="853">
        <v>417063.4722050316</v>
      </c>
    </row>
    <row r="6311" spans="2:2" ht="15.5" x14ac:dyDescent="0.35">
      <c r="B6311" s="853">
        <v>396940.50102838437</v>
      </c>
    </row>
    <row r="6312" spans="2:2" ht="15.5" x14ac:dyDescent="0.35">
      <c r="B6312" s="853">
        <v>421863.40649736085</v>
      </c>
    </row>
    <row r="6313" spans="2:2" ht="15.5" x14ac:dyDescent="0.35">
      <c r="B6313" s="853">
        <v>178446.75089058132</v>
      </c>
    </row>
    <row r="6314" spans="2:2" ht="15.5" x14ac:dyDescent="0.35">
      <c r="B6314" s="853">
        <v>144890.39091375229</v>
      </c>
    </row>
    <row r="6315" spans="2:2" ht="15.5" x14ac:dyDescent="0.35">
      <c r="B6315" s="853">
        <v>454994.81625237933</v>
      </c>
    </row>
    <row r="6316" spans="2:2" ht="15.5" x14ac:dyDescent="0.35">
      <c r="B6316" s="853">
        <v>171398.29428385993</v>
      </c>
    </row>
    <row r="6317" spans="2:2" ht="15.5" x14ac:dyDescent="0.35">
      <c r="B6317" s="853">
        <v>272732.57463841088</v>
      </c>
    </row>
    <row r="6318" spans="2:2" ht="15.5" x14ac:dyDescent="0.35">
      <c r="B6318" s="853">
        <v>178679.73953206607</v>
      </c>
    </row>
    <row r="6319" spans="2:2" ht="15.5" x14ac:dyDescent="0.35">
      <c r="B6319" s="853">
        <v>385027.25598479755</v>
      </c>
    </row>
    <row r="6320" spans="2:2" ht="15.5" x14ac:dyDescent="0.35">
      <c r="B6320" s="853">
        <v>364467.78667828103</v>
      </c>
    </row>
    <row r="6321" spans="2:2" ht="15.5" x14ac:dyDescent="0.35">
      <c r="B6321" s="853">
        <v>409560.92990573769</v>
      </c>
    </row>
    <row r="6322" spans="2:2" ht="15.5" x14ac:dyDescent="0.35">
      <c r="B6322" s="853">
        <v>150897.92808602136</v>
      </c>
    </row>
    <row r="6323" spans="2:2" ht="15.5" x14ac:dyDescent="0.35">
      <c r="B6323" s="853">
        <v>441211.43503082037</v>
      </c>
    </row>
    <row r="6324" spans="2:2" ht="15.5" x14ac:dyDescent="0.35">
      <c r="B6324" s="853">
        <v>402022.82896919479</v>
      </c>
    </row>
    <row r="6325" spans="2:2" ht="15.5" x14ac:dyDescent="0.35">
      <c r="B6325" s="853">
        <v>548125.92960411625</v>
      </c>
    </row>
    <row r="6326" spans="2:2" ht="15.5" x14ac:dyDescent="0.35">
      <c r="B6326" s="853">
        <v>269197.24336496572</v>
      </c>
    </row>
    <row r="6327" spans="2:2" ht="15.5" x14ac:dyDescent="0.35">
      <c r="B6327" s="853">
        <v>54195.672786682779</v>
      </c>
    </row>
    <row r="6328" spans="2:2" ht="15.5" x14ac:dyDescent="0.35">
      <c r="B6328" s="853">
        <v>512988.33268830919</v>
      </c>
    </row>
    <row r="6329" spans="2:2" ht="15.5" x14ac:dyDescent="0.35">
      <c r="B6329" s="853">
        <v>365611.22886848095</v>
      </c>
    </row>
    <row r="6330" spans="2:2" ht="15.5" x14ac:dyDescent="0.35">
      <c r="B6330" s="853">
        <v>139661.03572396102</v>
      </c>
    </row>
    <row r="6331" spans="2:2" ht="15.5" x14ac:dyDescent="0.35">
      <c r="B6331" s="853">
        <v>76504.896556022592</v>
      </c>
    </row>
    <row r="6332" spans="2:2" ht="15.5" x14ac:dyDescent="0.35">
      <c r="B6332" s="853">
        <v>207088.6065760417</v>
      </c>
    </row>
    <row r="6333" spans="2:2" ht="15.5" x14ac:dyDescent="0.35">
      <c r="B6333" s="853">
        <v>139671.95815231279</v>
      </c>
    </row>
    <row r="6334" spans="2:2" ht="15.5" x14ac:dyDescent="0.35">
      <c r="B6334" s="853">
        <v>162504.53071355179</v>
      </c>
    </row>
    <row r="6335" spans="2:2" ht="15.5" x14ac:dyDescent="0.35">
      <c r="B6335" s="853">
        <v>157066.49838041901</v>
      </c>
    </row>
    <row r="6336" spans="2:2" ht="15.5" x14ac:dyDescent="0.35">
      <c r="B6336" s="853">
        <v>237750.75748602155</v>
      </c>
    </row>
    <row r="6337" spans="2:2" ht="15.5" x14ac:dyDescent="0.35">
      <c r="B6337" s="853">
        <v>210689.49710251001</v>
      </c>
    </row>
    <row r="6338" spans="2:2" ht="15.5" x14ac:dyDescent="0.35">
      <c r="B6338" s="853">
        <v>208033.00229032341</v>
      </c>
    </row>
    <row r="6339" spans="2:2" ht="15.5" x14ac:dyDescent="0.35">
      <c r="B6339" s="853">
        <v>180653.1465320148</v>
      </c>
    </row>
    <row r="6340" spans="2:2" ht="15.5" x14ac:dyDescent="0.35">
      <c r="B6340" s="853">
        <v>510535.85674992466</v>
      </c>
    </row>
    <row r="6341" spans="2:2" ht="15.5" x14ac:dyDescent="0.35">
      <c r="B6341" s="853">
        <v>495394.63705601334</v>
      </c>
    </row>
    <row r="6342" spans="2:2" ht="15.5" x14ac:dyDescent="0.35">
      <c r="B6342" s="853">
        <v>456135.062219641</v>
      </c>
    </row>
    <row r="6343" spans="2:2" ht="15.5" x14ac:dyDescent="0.35">
      <c r="B6343" s="853">
        <v>354361.15315366094</v>
      </c>
    </row>
    <row r="6344" spans="2:2" ht="15.5" x14ac:dyDescent="0.35">
      <c r="B6344" s="853">
        <v>64732.687067279796</v>
      </c>
    </row>
    <row r="6345" spans="2:2" ht="15.5" x14ac:dyDescent="0.35">
      <c r="B6345" s="853">
        <v>633210.51315000129</v>
      </c>
    </row>
    <row r="6346" spans="2:2" ht="15.5" x14ac:dyDescent="0.35">
      <c r="B6346" s="853">
        <v>238822.85358412878</v>
      </c>
    </row>
    <row r="6347" spans="2:2" ht="15.5" x14ac:dyDescent="0.35">
      <c r="B6347" s="853">
        <v>197757.89780142024</v>
      </c>
    </row>
    <row r="6348" spans="2:2" ht="15.5" x14ac:dyDescent="0.35">
      <c r="B6348" s="853">
        <v>241521.41593162596</v>
      </c>
    </row>
    <row r="6349" spans="2:2" ht="15.5" x14ac:dyDescent="0.35">
      <c r="B6349" s="853">
        <v>255958.41883477045</v>
      </c>
    </row>
    <row r="6350" spans="2:2" ht="15.5" x14ac:dyDescent="0.35">
      <c r="B6350" s="853">
        <v>357898.53458810638</v>
      </c>
    </row>
    <row r="6351" spans="2:2" ht="15.5" x14ac:dyDescent="0.35">
      <c r="B6351" s="853">
        <v>223856.75762022319</v>
      </c>
    </row>
    <row r="6352" spans="2:2" ht="15.5" x14ac:dyDescent="0.35">
      <c r="B6352" s="853">
        <v>213012.74349020104</v>
      </c>
    </row>
    <row r="6353" spans="2:2" ht="15.5" x14ac:dyDescent="0.35">
      <c r="B6353" s="853">
        <v>350335.47897950723</v>
      </c>
    </row>
    <row r="6354" spans="2:2" ht="15.5" x14ac:dyDescent="0.35">
      <c r="B6354" s="853">
        <v>489465.41674500977</v>
      </c>
    </row>
    <row r="6355" spans="2:2" ht="15.5" x14ac:dyDescent="0.35">
      <c r="B6355" s="853">
        <v>141215.20451508966</v>
      </c>
    </row>
    <row r="6356" spans="2:2" ht="15.5" x14ac:dyDescent="0.35">
      <c r="B6356" s="853">
        <v>234627.52304224129</v>
      </c>
    </row>
    <row r="6357" spans="2:2" ht="15.5" x14ac:dyDescent="0.35">
      <c r="B6357" s="853">
        <v>17410.082043872852</v>
      </c>
    </row>
    <row r="6358" spans="2:2" ht="15.5" x14ac:dyDescent="0.35">
      <c r="B6358" s="853">
        <v>507059.28575019364</v>
      </c>
    </row>
    <row r="6359" spans="2:2" ht="15.5" x14ac:dyDescent="0.35">
      <c r="B6359" s="853">
        <v>407329.09356784087</v>
      </c>
    </row>
    <row r="6360" spans="2:2" ht="15.5" x14ac:dyDescent="0.35">
      <c r="B6360" s="853">
        <v>232717.71498291474</v>
      </c>
    </row>
    <row r="6361" spans="2:2" ht="15.5" x14ac:dyDescent="0.35">
      <c r="B6361" s="853">
        <v>261412.75171483468</v>
      </c>
    </row>
    <row r="6362" spans="2:2" ht="15.5" x14ac:dyDescent="0.35">
      <c r="B6362" s="853">
        <v>397281.08910961432</v>
      </c>
    </row>
    <row r="6363" spans="2:2" ht="15.5" x14ac:dyDescent="0.35">
      <c r="B6363" s="853">
        <v>412444.4244457868</v>
      </c>
    </row>
    <row r="6364" spans="2:2" ht="15.5" x14ac:dyDescent="0.35">
      <c r="B6364" s="853">
        <v>228175.94831207211</v>
      </c>
    </row>
    <row r="6365" spans="2:2" ht="15.5" x14ac:dyDescent="0.35">
      <c r="B6365" s="853">
        <v>250750.72285026268</v>
      </c>
    </row>
    <row r="6366" spans="2:2" ht="15.5" x14ac:dyDescent="0.35">
      <c r="B6366" s="853">
        <v>335935.73116571875</v>
      </c>
    </row>
    <row r="6367" spans="2:2" ht="15.5" x14ac:dyDescent="0.35">
      <c r="B6367" s="853">
        <v>360722.77449378464</v>
      </c>
    </row>
    <row r="6368" spans="2:2" ht="15.5" x14ac:dyDescent="0.35">
      <c r="B6368" s="853">
        <v>213348.85050275733</v>
      </c>
    </row>
    <row r="6369" spans="2:2" ht="15.5" x14ac:dyDescent="0.35">
      <c r="B6369" s="853">
        <v>13761.59255570701</v>
      </c>
    </row>
    <row r="6370" spans="2:2" ht="15.5" x14ac:dyDescent="0.35">
      <c r="B6370" s="853">
        <v>332899.24599034997</v>
      </c>
    </row>
    <row r="6371" spans="2:2" ht="15.5" x14ac:dyDescent="0.35">
      <c r="B6371" s="853">
        <v>295868.17774093436</v>
      </c>
    </row>
    <row r="6372" spans="2:2" ht="15.5" x14ac:dyDescent="0.35">
      <c r="B6372" s="853">
        <v>184067.41271795522</v>
      </c>
    </row>
    <row r="6373" spans="2:2" ht="15.5" x14ac:dyDescent="0.35">
      <c r="B6373" s="853">
        <v>214294.55073787036</v>
      </c>
    </row>
    <row r="6374" spans="2:2" ht="15.5" x14ac:dyDescent="0.35">
      <c r="B6374" s="853">
        <v>503686.84467417217</v>
      </c>
    </row>
    <row r="6375" spans="2:2" ht="15.5" x14ac:dyDescent="0.35">
      <c r="B6375" s="853">
        <v>346986.95384938235</v>
      </c>
    </row>
    <row r="6376" spans="2:2" ht="15.5" x14ac:dyDescent="0.35">
      <c r="B6376" s="853">
        <v>331741.72011294309</v>
      </c>
    </row>
    <row r="6377" spans="2:2" ht="15.5" x14ac:dyDescent="0.35">
      <c r="B6377" s="853">
        <v>526390.56619221426</v>
      </c>
    </row>
    <row r="6378" spans="2:2" ht="15.5" x14ac:dyDescent="0.35">
      <c r="B6378" s="853">
        <v>584380.78671313787</v>
      </c>
    </row>
    <row r="6379" spans="2:2" ht="15.5" x14ac:dyDescent="0.35">
      <c r="B6379" s="853">
        <v>328914.16384867858</v>
      </c>
    </row>
    <row r="6380" spans="2:2" ht="15.5" x14ac:dyDescent="0.35">
      <c r="B6380" s="853">
        <v>393067.91420912143</v>
      </c>
    </row>
    <row r="6381" spans="2:2" ht="15.5" x14ac:dyDescent="0.35">
      <c r="B6381" s="853">
        <v>48766.645868812426</v>
      </c>
    </row>
    <row r="6382" spans="2:2" ht="15.5" x14ac:dyDescent="0.35">
      <c r="B6382" s="853">
        <v>534316.30002444482</v>
      </c>
    </row>
    <row r="6383" spans="2:2" ht="15.5" x14ac:dyDescent="0.35">
      <c r="B6383" s="853">
        <v>312422.28722834087</v>
      </c>
    </row>
    <row r="6384" spans="2:2" ht="15.5" x14ac:dyDescent="0.35">
      <c r="B6384" s="853">
        <v>261223.46295779984</v>
      </c>
    </row>
    <row r="6385" spans="2:2" ht="15.5" x14ac:dyDescent="0.35">
      <c r="B6385" s="853">
        <v>707213.57791408931</v>
      </c>
    </row>
    <row r="6386" spans="2:2" ht="15.5" x14ac:dyDescent="0.35">
      <c r="B6386" s="853">
        <v>312460.18977422203</v>
      </c>
    </row>
    <row r="6387" spans="2:2" ht="15.5" x14ac:dyDescent="0.35">
      <c r="B6387" s="853">
        <v>437339.97269877652</v>
      </c>
    </row>
    <row r="6388" spans="2:2" ht="15.5" x14ac:dyDescent="0.35">
      <c r="B6388" s="853">
        <v>486415.37500461529</v>
      </c>
    </row>
    <row r="6389" spans="2:2" ht="15.5" x14ac:dyDescent="0.35">
      <c r="B6389" s="853">
        <v>73194.562580652724</v>
      </c>
    </row>
    <row r="6390" spans="2:2" ht="15.5" x14ac:dyDescent="0.35">
      <c r="B6390" s="853">
        <v>351796.09934070124</v>
      </c>
    </row>
    <row r="6391" spans="2:2" ht="15.5" x14ac:dyDescent="0.35">
      <c r="B6391" s="853">
        <v>414588.56570609141</v>
      </c>
    </row>
    <row r="6392" spans="2:2" ht="15.5" x14ac:dyDescent="0.35">
      <c r="B6392" s="853">
        <v>402463.49472654163</v>
      </c>
    </row>
    <row r="6393" spans="2:2" ht="15.5" x14ac:dyDescent="0.35">
      <c r="B6393" s="853">
        <v>132444.69959694747</v>
      </c>
    </row>
    <row r="6394" spans="2:2" ht="15.5" x14ac:dyDescent="0.35">
      <c r="B6394" s="853">
        <v>173966.35905722354</v>
      </c>
    </row>
    <row r="6395" spans="2:2" ht="15.5" x14ac:dyDescent="0.35">
      <c r="B6395" s="853">
        <v>512677.28397634154</v>
      </c>
    </row>
    <row r="6396" spans="2:2" ht="15.5" x14ac:dyDescent="0.35">
      <c r="B6396" s="853">
        <v>236503.54422929959</v>
      </c>
    </row>
    <row r="6397" spans="2:2" ht="15.5" x14ac:dyDescent="0.35">
      <c r="B6397" s="853">
        <v>271384.6158176004</v>
      </c>
    </row>
    <row r="6398" spans="2:2" ht="15.5" x14ac:dyDescent="0.35">
      <c r="B6398" s="853">
        <v>457650.08026112861</v>
      </c>
    </row>
    <row r="6399" spans="2:2" ht="15.5" x14ac:dyDescent="0.35">
      <c r="B6399" s="853">
        <v>287649.79158008052</v>
      </c>
    </row>
    <row r="6400" spans="2:2" ht="15.5" x14ac:dyDescent="0.35">
      <c r="B6400" s="853">
        <v>-2311.6918386457919</v>
      </c>
    </row>
    <row r="6401" spans="2:2" ht="15.5" x14ac:dyDescent="0.35">
      <c r="B6401" s="853">
        <v>127177.75431532633</v>
      </c>
    </row>
    <row r="6402" spans="2:2" ht="15.5" x14ac:dyDescent="0.35">
      <c r="B6402" s="853">
        <v>429916.21278984897</v>
      </c>
    </row>
    <row r="6403" spans="2:2" ht="15.5" x14ac:dyDescent="0.35">
      <c r="B6403" s="853">
        <v>337003.40644986817</v>
      </c>
    </row>
    <row r="6404" spans="2:2" ht="15.5" x14ac:dyDescent="0.35">
      <c r="B6404" s="853">
        <v>25457.463621606214</v>
      </c>
    </row>
    <row r="6405" spans="2:2" ht="15.5" x14ac:dyDescent="0.35">
      <c r="B6405" s="853">
        <v>298770.06037134217</v>
      </c>
    </row>
    <row r="6406" spans="2:2" ht="15.5" x14ac:dyDescent="0.35">
      <c r="B6406" s="853">
        <v>162333.8270763756</v>
      </c>
    </row>
    <row r="6407" spans="2:2" ht="15.5" x14ac:dyDescent="0.35">
      <c r="B6407" s="853">
        <v>403519.93856658525</v>
      </c>
    </row>
    <row r="6408" spans="2:2" ht="15.5" x14ac:dyDescent="0.35">
      <c r="B6408" s="853">
        <v>219326.77300921758</v>
      </c>
    </row>
    <row r="6409" spans="2:2" ht="15.5" x14ac:dyDescent="0.35">
      <c r="B6409" s="853">
        <v>349470.67665326147</v>
      </c>
    </row>
    <row r="6410" spans="2:2" ht="15.5" x14ac:dyDescent="0.35">
      <c r="B6410" s="853">
        <v>391964.07935658243</v>
      </c>
    </row>
    <row r="6411" spans="2:2" ht="15.5" x14ac:dyDescent="0.35">
      <c r="B6411" s="853">
        <v>638003.18498846551</v>
      </c>
    </row>
    <row r="6412" spans="2:2" ht="15.5" x14ac:dyDescent="0.35">
      <c r="B6412" s="853">
        <v>78631.774412700426</v>
      </c>
    </row>
    <row r="6413" spans="2:2" ht="15.5" x14ac:dyDescent="0.35">
      <c r="B6413" s="853">
        <v>-13579.850367160299</v>
      </c>
    </row>
    <row r="6414" spans="2:2" ht="15.5" x14ac:dyDescent="0.35">
      <c r="B6414" s="853">
        <v>170300.71400009538</v>
      </c>
    </row>
    <row r="6415" spans="2:2" ht="15.5" x14ac:dyDescent="0.35">
      <c r="B6415" s="853">
        <v>130320.83365551171</v>
      </c>
    </row>
    <row r="6416" spans="2:2" ht="15.5" x14ac:dyDescent="0.35">
      <c r="B6416" s="853">
        <v>230058.94510190701</v>
      </c>
    </row>
    <row r="6417" spans="2:2" ht="15.5" x14ac:dyDescent="0.35">
      <c r="B6417" s="853">
        <v>360380.47460931219</v>
      </c>
    </row>
    <row r="6418" spans="2:2" ht="15.5" x14ac:dyDescent="0.35">
      <c r="B6418" s="853">
        <v>152095.87306952814</v>
      </c>
    </row>
    <row r="6419" spans="2:2" ht="15.5" x14ac:dyDescent="0.35">
      <c r="B6419" s="853">
        <v>391351.68170901568</v>
      </c>
    </row>
    <row r="6420" spans="2:2" ht="15.5" x14ac:dyDescent="0.35">
      <c r="B6420" s="853">
        <v>147856.12555230997</v>
      </c>
    </row>
    <row r="6421" spans="2:2" ht="15.5" x14ac:dyDescent="0.35">
      <c r="B6421" s="853">
        <v>418597.56796466699</v>
      </c>
    </row>
    <row r="6422" spans="2:2" ht="15.5" x14ac:dyDescent="0.35">
      <c r="B6422" s="853">
        <v>360519.79881184816</v>
      </c>
    </row>
    <row r="6423" spans="2:2" ht="15.5" x14ac:dyDescent="0.35">
      <c r="B6423" s="853">
        <v>312441.58711097355</v>
      </c>
    </row>
    <row r="6424" spans="2:2" ht="15.5" x14ac:dyDescent="0.35">
      <c r="B6424" s="853">
        <v>197460.05669318276</v>
      </c>
    </row>
    <row r="6425" spans="2:2" ht="15.5" x14ac:dyDescent="0.35">
      <c r="B6425" s="853">
        <v>63745.383456390911</v>
      </c>
    </row>
    <row r="6426" spans="2:2" ht="15.5" x14ac:dyDescent="0.35">
      <c r="B6426" s="853">
        <v>105554.69207155719</v>
      </c>
    </row>
    <row r="6427" spans="2:2" ht="15.5" x14ac:dyDescent="0.35">
      <c r="B6427" s="853">
        <v>165934.37807713548</v>
      </c>
    </row>
    <row r="6428" spans="2:2" ht="15.5" x14ac:dyDescent="0.35">
      <c r="B6428" s="853">
        <v>546400.0600858801</v>
      </c>
    </row>
    <row r="6429" spans="2:2" ht="15.5" x14ac:dyDescent="0.35">
      <c r="B6429" s="853">
        <v>506120.83134450851</v>
      </c>
    </row>
    <row r="6430" spans="2:2" ht="15.5" x14ac:dyDescent="0.35">
      <c r="B6430" s="853">
        <v>82923.251814816787</v>
      </c>
    </row>
    <row r="6431" spans="2:2" ht="15.5" x14ac:dyDescent="0.35">
      <c r="B6431" s="853">
        <v>480923.52767902805</v>
      </c>
    </row>
    <row r="6432" spans="2:2" ht="15.5" x14ac:dyDescent="0.35">
      <c r="B6432" s="853">
        <v>315446.14285171311</v>
      </c>
    </row>
    <row r="6433" spans="2:2" ht="15.5" x14ac:dyDescent="0.35">
      <c r="B6433" s="853">
        <v>405139.90938837163</v>
      </c>
    </row>
    <row r="6434" spans="2:2" ht="15.5" x14ac:dyDescent="0.35">
      <c r="B6434" s="853">
        <v>258819.62215616452</v>
      </c>
    </row>
    <row r="6435" spans="2:2" ht="15.5" x14ac:dyDescent="0.35">
      <c r="B6435" s="853">
        <v>323869.6906486252</v>
      </c>
    </row>
    <row r="6436" spans="2:2" ht="15.5" x14ac:dyDescent="0.35">
      <c r="B6436" s="853">
        <v>260111.52930651157</v>
      </c>
    </row>
    <row r="6437" spans="2:2" ht="15.5" x14ac:dyDescent="0.35">
      <c r="B6437" s="853">
        <v>222416.52726922976</v>
      </c>
    </row>
    <row r="6438" spans="2:2" ht="15.5" x14ac:dyDescent="0.35">
      <c r="B6438" s="853">
        <v>462453.45024163707</v>
      </c>
    </row>
    <row r="6439" spans="2:2" ht="15.5" x14ac:dyDescent="0.35">
      <c r="B6439" s="853">
        <v>419449.11581722577</v>
      </c>
    </row>
    <row r="6440" spans="2:2" ht="15.5" x14ac:dyDescent="0.35">
      <c r="B6440" s="853">
        <v>205905.59463510671</v>
      </c>
    </row>
    <row r="6441" spans="2:2" ht="15.5" x14ac:dyDescent="0.35">
      <c r="B6441" s="853">
        <v>390110.95403482072</v>
      </c>
    </row>
    <row r="6442" spans="2:2" ht="15.5" x14ac:dyDescent="0.35">
      <c r="B6442" s="853">
        <v>262668.74288755085</v>
      </c>
    </row>
    <row r="6443" spans="2:2" ht="15.5" x14ac:dyDescent="0.35">
      <c r="B6443" s="853">
        <v>509039.97493369097</v>
      </c>
    </row>
    <row r="6444" spans="2:2" ht="15.5" x14ac:dyDescent="0.35">
      <c r="B6444" s="853">
        <v>451489.81452121335</v>
      </c>
    </row>
    <row r="6445" spans="2:2" ht="15.5" x14ac:dyDescent="0.35">
      <c r="B6445" s="853">
        <v>374001.12450608908</v>
      </c>
    </row>
    <row r="6446" spans="2:2" ht="15.5" x14ac:dyDescent="0.35">
      <c r="B6446" s="853">
        <v>378140.83430710563</v>
      </c>
    </row>
    <row r="6447" spans="2:2" ht="15.5" x14ac:dyDescent="0.35">
      <c r="B6447" s="853">
        <v>213940.88435411049</v>
      </c>
    </row>
    <row r="6448" spans="2:2" ht="15.5" x14ac:dyDescent="0.35">
      <c r="B6448" s="853">
        <v>409884.50051542505</v>
      </c>
    </row>
    <row r="6449" spans="2:2" ht="15.5" x14ac:dyDescent="0.35">
      <c r="B6449" s="853">
        <v>217271.42009645389</v>
      </c>
    </row>
    <row r="6450" spans="2:2" ht="15.5" x14ac:dyDescent="0.35">
      <c r="B6450" s="853">
        <v>314329.05184497451</v>
      </c>
    </row>
    <row r="6451" spans="2:2" ht="15.5" x14ac:dyDescent="0.35">
      <c r="B6451" s="853">
        <v>424063.44771288597</v>
      </c>
    </row>
    <row r="6452" spans="2:2" ht="15.5" x14ac:dyDescent="0.35">
      <c r="B6452" s="853">
        <v>178577.47232688579</v>
      </c>
    </row>
    <row r="6453" spans="2:2" ht="15.5" x14ac:dyDescent="0.35">
      <c r="B6453" s="853">
        <v>279904.73232180288</v>
      </c>
    </row>
    <row r="6454" spans="2:2" ht="15.5" x14ac:dyDescent="0.35">
      <c r="B6454" s="853">
        <v>206697.07937551336</v>
      </c>
    </row>
    <row r="6455" spans="2:2" ht="15.5" x14ac:dyDescent="0.35">
      <c r="B6455" s="853">
        <v>423736.0847291809</v>
      </c>
    </row>
    <row r="6456" spans="2:2" ht="15.5" x14ac:dyDescent="0.35">
      <c r="B6456" s="853">
        <v>71128.176392235837</v>
      </c>
    </row>
    <row r="6457" spans="2:2" ht="15.5" x14ac:dyDescent="0.35">
      <c r="B6457" s="853">
        <v>242239.79246898921</v>
      </c>
    </row>
    <row r="6458" spans="2:2" ht="15.5" x14ac:dyDescent="0.35">
      <c r="B6458" s="853">
        <v>130623.32854686587</v>
      </c>
    </row>
    <row r="6459" spans="2:2" ht="15.5" x14ac:dyDescent="0.35">
      <c r="B6459" s="853">
        <v>292935.00354963832</v>
      </c>
    </row>
    <row r="6460" spans="2:2" ht="15.5" x14ac:dyDescent="0.35">
      <c r="B6460" s="853">
        <v>344684.62758286542</v>
      </c>
    </row>
    <row r="6461" spans="2:2" ht="15.5" x14ac:dyDescent="0.35">
      <c r="B6461" s="853">
        <v>210607.09023748292</v>
      </c>
    </row>
    <row r="6462" spans="2:2" ht="15.5" x14ac:dyDescent="0.35">
      <c r="B6462" s="853">
        <v>379203.86081239354</v>
      </c>
    </row>
    <row r="6463" spans="2:2" ht="15.5" x14ac:dyDescent="0.35">
      <c r="B6463" s="853">
        <v>425249.78426752193</v>
      </c>
    </row>
    <row r="6464" spans="2:2" ht="15.5" x14ac:dyDescent="0.35">
      <c r="B6464" s="853">
        <v>163950.58378501219</v>
      </c>
    </row>
    <row r="6465" spans="2:2" ht="15.5" x14ac:dyDescent="0.35">
      <c r="B6465" s="853">
        <v>266503.42261187732</v>
      </c>
    </row>
    <row r="6466" spans="2:2" ht="15.5" x14ac:dyDescent="0.35">
      <c r="B6466" s="853">
        <v>47156.227977552277</v>
      </c>
    </row>
    <row r="6467" spans="2:2" ht="15.5" x14ac:dyDescent="0.35">
      <c r="B6467" s="853">
        <v>250235.74836266958</v>
      </c>
    </row>
    <row r="6468" spans="2:2" ht="15.5" x14ac:dyDescent="0.35">
      <c r="B6468" s="853">
        <v>218009.91274364784</v>
      </c>
    </row>
    <row r="6469" spans="2:2" ht="15.5" x14ac:dyDescent="0.35">
      <c r="B6469" s="853">
        <v>381102.08737554785</v>
      </c>
    </row>
    <row r="6470" spans="2:2" ht="15.5" x14ac:dyDescent="0.35">
      <c r="B6470" s="853">
        <v>594186.01901309728</v>
      </c>
    </row>
    <row r="6471" spans="2:2" ht="15.5" x14ac:dyDescent="0.35">
      <c r="B6471" s="853">
        <v>356726.42859919497</v>
      </c>
    </row>
    <row r="6472" spans="2:2" ht="15.5" x14ac:dyDescent="0.35">
      <c r="B6472" s="853">
        <v>322455.27235522255</v>
      </c>
    </row>
    <row r="6473" spans="2:2" ht="15.5" x14ac:dyDescent="0.35">
      <c r="B6473" s="853">
        <v>167844.43364281469</v>
      </c>
    </row>
    <row r="6474" spans="2:2" ht="15.5" x14ac:dyDescent="0.35">
      <c r="B6474" s="853">
        <v>249619.19379341157</v>
      </c>
    </row>
    <row r="6475" spans="2:2" ht="15.5" x14ac:dyDescent="0.35">
      <c r="B6475" s="853">
        <v>327489.673693149</v>
      </c>
    </row>
    <row r="6476" spans="2:2" ht="15.5" x14ac:dyDescent="0.35">
      <c r="B6476" s="853">
        <v>-27485.054709225871</v>
      </c>
    </row>
    <row r="6477" spans="2:2" ht="15.5" x14ac:dyDescent="0.35">
      <c r="B6477" s="853">
        <v>36628.786041596264</v>
      </c>
    </row>
    <row r="6478" spans="2:2" ht="15.5" x14ac:dyDescent="0.35">
      <c r="B6478" s="853">
        <v>231382.76357316764</v>
      </c>
    </row>
    <row r="6479" spans="2:2" ht="15.5" x14ac:dyDescent="0.35">
      <c r="B6479" s="853">
        <v>285062.57060646813</v>
      </c>
    </row>
    <row r="6480" spans="2:2" ht="15.5" x14ac:dyDescent="0.35">
      <c r="B6480" s="853">
        <v>141986.51290301714</v>
      </c>
    </row>
    <row r="6481" spans="2:2" ht="15.5" x14ac:dyDescent="0.35">
      <c r="B6481" s="853">
        <v>317323.99992429279</v>
      </c>
    </row>
    <row r="6482" spans="2:2" ht="15.5" x14ac:dyDescent="0.35">
      <c r="B6482" s="853">
        <v>215829.10754976681</v>
      </c>
    </row>
    <row r="6483" spans="2:2" ht="15.5" x14ac:dyDescent="0.35">
      <c r="B6483" s="853">
        <v>129117.84200355176</v>
      </c>
    </row>
    <row r="6484" spans="2:2" ht="15.5" x14ac:dyDescent="0.35">
      <c r="B6484" s="853">
        <v>330878.19008150965</v>
      </c>
    </row>
    <row r="6485" spans="2:2" ht="15.5" x14ac:dyDescent="0.35">
      <c r="B6485" s="853">
        <v>250750.12642099443</v>
      </c>
    </row>
    <row r="6486" spans="2:2" ht="15.5" x14ac:dyDescent="0.35">
      <c r="B6486" s="853">
        <v>156508.13696670055</v>
      </c>
    </row>
    <row r="6487" spans="2:2" ht="15.5" x14ac:dyDescent="0.35">
      <c r="B6487" s="853">
        <v>65950.529452877294</v>
      </c>
    </row>
    <row r="6488" spans="2:2" ht="15.5" x14ac:dyDescent="0.35">
      <c r="B6488" s="853">
        <v>223367.21784479773</v>
      </c>
    </row>
    <row r="6489" spans="2:2" ht="15.5" x14ac:dyDescent="0.35">
      <c r="B6489" s="853">
        <v>180171.30226004502</v>
      </c>
    </row>
    <row r="6490" spans="2:2" ht="15.5" x14ac:dyDescent="0.35">
      <c r="B6490" s="853">
        <v>192918.00339420559</v>
      </c>
    </row>
    <row r="6491" spans="2:2" ht="15.5" x14ac:dyDescent="0.35">
      <c r="B6491" s="853">
        <v>452877.15561447066</v>
      </c>
    </row>
    <row r="6492" spans="2:2" ht="15.5" x14ac:dyDescent="0.35">
      <c r="B6492" s="853">
        <v>207443.69962780111</v>
      </c>
    </row>
    <row r="6493" spans="2:2" ht="15.5" x14ac:dyDescent="0.35">
      <c r="B6493" s="853">
        <v>330722.23973987915</v>
      </c>
    </row>
    <row r="6494" spans="2:2" ht="15.5" x14ac:dyDescent="0.35">
      <c r="B6494" s="853">
        <v>49933.998203527808</v>
      </c>
    </row>
    <row r="6495" spans="2:2" ht="15.5" x14ac:dyDescent="0.35">
      <c r="B6495" s="853">
        <v>282506.85632379365</v>
      </c>
    </row>
    <row r="6496" spans="2:2" ht="15.5" x14ac:dyDescent="0.35">
      <c r="B6496" s="853">
        <v>441139.0818891318</v>
      </c>
    </row>
    <row r="6497" spans="2:2" ht="15.5" x14ac:dyDescent="0.35">
      <c r="B6497" s="853">
        <v>302852.18032382184</v>
      </c>
    </row>
    <row r="6498" spans="2:2" ht="15.5" x14ac:dyDescent="0.35">
      <c r="B6498" s="853">
        <v>100732.78141080965</v>
      </c>
    </row>
    <row r="6499" spans="2:2" ht="15.5" x14ac:dyDescent="0.35">
      <c r="B6499" s="853">
        <v>86862.185591008194</v>
      </c>
    </row>
    <row r="6500" spans="2:2" ht="15.5" x14ac:dyDescent="0.35">
      <c r="B6500" s="853">
        <v>227365.96964080888</v>
      </c>
    </row>
    <row r="6501" spans="2:2" ht="15.5" x14ac:dyDescent="0.35">
      <c r="B6501" s="853">
        <v>221018.65837377324</v>
      </c>
    </row>
    <row r="6502" spans="2:2" ht="15.5" x14ac:dyDescent="0.35">
      <c r="B6502" s="853">
        <v>112926.8324590235</v>
      </c>
    </row>
    <row r="6503" spans="2:2" ht="15.5" x14ac:dyDescent="0.35">
      <c r="B6503" s="853">
        <v>393555.14777750248</v>
      </c>
    </row>
    <row r="6504" spans="2:2" ht="15.5" x14ac:dyDescent="0.35">
      <c r="B6504" s="853">
        <v>389089.84077490767</v>
      </c>
    </row>
    <row r="6505" spans="2:2" ht="15.5" x14ac:dyDescent="0.35">
      <c r="B6505" s="853">
        <v>-104775.22070181514</v>
      </c>
    </row>
    <row r="6506" spans="2:2" ht="15.5" x14ac:dyDescent="0.35">
      <c r="B6506" s="853">
        <v>84074.791782250119</v>
      </c>
    </row>
    <row r="6507" spans="2:2" ht="15.5" x14ac:dyDescent="0.35">
      <c r="B6507" s="853">
        <v>329735.71816449863</v>
      </c>
    </row>
    <row r="6508" spans="2:2" ht="15.5" x14ac:dyDescent="0.35">
      <c r="B6508" s="853">
        <v>373991.68684565776</v>
      </c>
    </row>
    <row r="6509" spans="2:2" ht="15.5" x14ac:dyDescent="0.35">
      <c r="B6509" s="853">
        <v>316876.73072941432</v>
      </c>
    </row>
    <row r="6510" spans="2:2" ht="15.5" x14ac:dyDescent="0.35">
      <c r="B6510" s="853">
        <v>343095.49368990236</v>
      </c>
    </row>
    <row r="6511" spans="2:2" ht="15.5" x14ac:dyDescent="0.35">
      <c r="B6511" s="853">
        <v>259292.43640642893</v>
      </c>
    </row>
    <row r="6512" spans="2:2" ht="15.5" x14ac:dyDescent="0.35">
      <c r="B6512" s="853">
        <v>369068.54546522716</v>
      </c>
    </row>
    <row r="6513" spans="2:2" ht="15.5" x14ac:dyDescent="0.35">
      <c r="B6513" s="853">
        <v>139884.97179729136</v>
      </c>
    </row>
    <row r="6514" spans="2:2" ht="15.5" x14ac:dyDescent="0.35">
      <c r="B6514" s="853">
        <v>453544.26515482052</v>
      </c>
    </row>
    <row r="6515" spans="2:2" ht="15.5" x14ac:dyDescent="0.35">
      <c r="B6515" s="853">
        <v>395071.99265705631</v>
      </c>
    </row>
    <row r="6516" spans="2:2" ht="15.5" x14ac:dyDescent="0.35">
      <c r="B6516" s="853">
        <v>605816.48440483538</v>
      </c>
    </row>
    <row r="6517" spans="2:2" ht="15.5" x14ac:dyDescent="0.35">
      <c r="B6517" s="853">
        <v>380276.30821747857</v>
      </c>
    </row>
    <row r="6518" spans="2:2" ht="15.5" x14ac:dyDescent="0.35">
      <c r="B6518" s="853">
        <v>390860.70047041599</v>
      </c>
    </row>
    <row r="6519" spans="2:2" ht="15.5" x14ac:dyDescent="0.35">
      <c r="B6519" s="853">
        <v>75068.135888472243</v>
      </c>
    </row>
    <row r="6520" spans="2:2" ht="15.5" x14ac:dyDescent="0.35">
      <c r="B6520" s="853">
        <v>383083.13204228837</v>
      </c>
    </row>
    <row r="6521" spans="2:2" ht="15.5" x14ac:dyDescent="0.35">
      <c r="B6521" s="853">
        <v>583623.24724197073</v>
      </c>
    </row>
    <row r="6522" spans="2:2" ht="15.5" x14ac:dyDescent="0.35">
      <c r="B6522" s="853">
        <v>311993.1197618093</v>
      </c>
    </row>
    <row r="6523" spans="2:2" ht="15.5" x14ac:dyDescent="0.35">
      <c r="B6523" s="853">
        <v>265902.7314724382</v>
      </c>
    </row>
    <row r="6524" spans="2:2" ht="15.5" x14ac:dyDescent="0.35">
      <c r="B6524" s="853">
        <v>501450.07350965356</v>
      </c>
    </row>
    <row r="6525" spans="2:2" ht="15.5" x14ac:dyDescent="0.35">
      <c r="B6525" s="853">
        <v>348633.25910410553</v>
      </c>
    </row>
    <row r="6526" spans="2:2" ht="15.5" x14ac:dyDescent="0.35">
      <c r="B6526" s="853">
        <v>161345.18360929823</v>
      </c>
    </row>
    <row r="6527" spans="2:2" ht="15.5" x14ac:dyDescent="0.35">
      <c r="B6527" s="853">
        <v>416110.01888263907</v>
      </c>
    </row>
    <row r="6528" spans="2:2" ht="15.5" x14ac:dyDescent="0.35">
      <c r="B6528" s="853">
        <v>127361.27277763854</v>
      </c>
    </row>
    <row r="6529" spans="2:2" ht="15.5" x14ac:dyDescent="0.35">
      <c r="B6529" s="853">
        <v>-58715.299072876733</v>
      </c>
    </row>
    <row r="6530" spans="2:2" ht="15.5" x14ac:dyDescent="0.35">
      <c r="B6530" s="853">
        <v>216299.54748277826</v>
      </c>
    </row>
    <row r="6531" spans="2:2" ht="15.5" x14ac:dyDescent="0.35">
      <c r="B6531" s="853">
        <v>275785.1481948102</v>
      </c>
    </row>
    <row r="6532" spans="2:2" ht="15.5" x14ac:dyDescent="0.35">
      <c r="B6532" s="853">
        <v>164283.83142930671</v>
      </c>
    </row>
    <row r="6533" spans="2:2" ht="15.5" x14ac:dyDescent="0.35">
      <c r="B6533" s="853">
        <v>388100.25201351853</v>
      </c>
    </row>
    <row r="6534" spans="2:2" ht="15.5" x14ac:dyDescent="0.35">
      <c r="B6534" s="853">
        <v>192473.31405339422</v>
      </c>
    </row>
    <row r="6535" spans="2:2" ht="15.5" x14ac:dyDescent="0.35">
      <c r="B6535" s="853">
        <v>266360.22588026535</v>
      </c>
    </row>
    <row r="6536" spans="2:2" ht="15.5" x14ac:dyDescent="0.35">
      <c r="B6536" s="853">
        <v>385142.55708747939</v>
      </c>
    </row>
    <row r="6537" spans="2:2" ht="15.5" x14ac:dyDescent="0.35">
      <c r="B6537" s="853">
        <v>276034.22686227004</v>
      </c>
    </row>
    <row r="6538" spans="2:2" ht="15.5" x14ac:dyDescent="0.35">
      <c r="B6538" s="853">
        <v>198261.01346937704</v>
      </c>
    </row>
    <row r="6539" spans="2:2" ht="15.5" x14ac:dyDescent="0.35">
      <c r="B6539" s="853">
        <v>205351.17598400137</v>
      </c>
    </row>
    <row r="6540" spans="2:2" ht="15.5" x14ac:dyDescent="0.35">
      <c r="B6540" s="853">
        <v>154588.23917054952</v>
      </c>
    </row>
    <row r="6541" spans="2:2" ht="15.5" x14ac:dyDescent="0.35">
      <c r="B6541" s="853">
        <v>147305.96074749035</v>
      </c>
    </row>
    <row r="6542" spans="2:2" ht="15.5" x14ac:dyDescent="0.35">
      <c r="B6542" s="853">
        <v>364759.81578608789</v>
      </c>
    </row>
    <row r="6543" spans="2:2" ht="15.5" x14ac:dyDescent="0.35">
      <c r="B6543" s="853">
        <v>667963.18858461198</v>
      </c>
    </row>
    <row r="6544" spans="2:2" ht="15.5" x14ac:dyDescent="0.35">
      <c r="B6544" s="853">
        <v>85419.060253276839</v>
      </c>
    </row>
    <row r="6545" spans="2:2" ht="15.5" x14ac:dyDescent="0.35">
      <c r="B6545" s="853">
        <v>140264.2830685321</v>
      </c>
    </row>
    <row r="6546" spans="2:2" ht="15.5" x14ac:dyDescent="0.35">
      <c r="B6546" s="853">
        <v>332381.6386348771</v>
      </c>
    </row>
    <row r="6547" spans="2:2" ht="15.5" x14ac:dyDescent="0.35">
      <c r="B6547" s="853">
        <v>382181.72826394776</v>
      </c>
    </row>
    <row r="6548" spans="2:2" ht="15.5" x14ac:dyDescent="0.35">
      <c r="B6548" s="853">
        <v>191314.21415517127</v>
      </c>
    </row>
    <row r="6549" spans="2:2" ht="15.5" x14ac:dyDescent="0.35">
      <c r="B6549" s="853">
        <v>590506.32996103331</v>
      </c>
    </row>
    <row r="6550" spans="2:2" ht="15.5" x14ac:dyDescent="0.35">
      <c r="B6550" s="853">
        <v>167912.45177479368</v>
      </c>
    </row>
    <row r="6551" spans="2:2" ht="15.5" x14ac:dyDescent="0.35">
      <c r="B6551" s="853">
        <v>368612.53536799341</v>
      </c>
    </row>
    <row r="6552" spans="2:2" ht="15.5" x14ac:dyDescent="0.35">
      <c r="B6552" s="853">
        <v>94398.897004542552</v>
      </c>
    </row>
    <row r="6553" spans="2:2" ht="15.5" x14ac:dyDescent="0.35">
      <c r="B6553" s="853">
        <v>555268.4215526029</v>
      </c>
    </row>
    <row r="6554" spans="2:2" ht="15.5" x14ac:dyDescent="0.35">
      <c r="B6554" s="853">
        <v>467005.57649337238</v>
      </c>
    </row>
    <row r="6555" spans="2:2" ht="15.5" x14ac:dyDescent="0.35">
      <c r="B6555" s="853">
        <v>316677.51872905775</v>
      </c>
    </row>
    <row r="6556" spans="2:2" ht="15.5" x14ac:dyDescent="0.35">
      <c r="B6556" s="853">
        <v>265146.05489762087</v>
      </c>
    </row>
    <row r="6557" spans="2:2" ht="15.5" x14ac:dyDescent="0.35">
      <c r="B6557" s="853">
        <v>151882.08142518689</v>
      </c>
    </row>
    <row r="6558" spans="2:2" ht="15.5" x14ac:dyDescent="0.35">
      <c r="B6558" s="853">
        <v>113738.81737042668</v>
      </c>
    </row>
    <row r="6559" spans="2:2" ht="15.5" x14ac:dyDescent="0.35">
      <c r="B6559" s="853">
        <v>277785.54357690486</v>
      </c>
    </row>
    <row r="6560" spans="2:2" ht="15.5" x14ac:dyDescent="0.35">
      <c r="B6560" s="853">
        <v>208060.24694004646</v>
      </c>
    </row>
    <row r="6561" spans="2:2" ht="15.5" x14ac:dyDescent="0.35">
      <c r="B6561" s="853">
        <v>124910.04550387277</v>
      </c>
    </row>
    <row r="6562" spans="2:2" ht="15.5" x14ac:dyDescent="0.35">
      <c r="B6562" s="853">
        <v>166240.78956064963</v>
      </c>
    </row>
    <row r="6563" spans="2:2" ht="15.5" x14ac:dyDescent="0.35">
      <c r="B6563" s="853">
        <v>567865.68793912162</v>
      </c>
    </row>
    <row r="6564" spans="2:2" ht="15.5" x14ac:dyDescent="0.35">
      <c r="B6564" s="853">
        <v>49723.4984394567</v>
      </c>
    </row>
    <row r="6565" spans="2:2" ht="15.5" x14ac:dyDescent="0.35">
      <c r="B6565" s="853">
        <v>83330.714017232283</v>
      </c>
    </row>
    <row r="6566" spans="2:2" ht="15.5" x14ac:dyDescent="0.35">
      <c r="B6566" s="853">
        <v>354583.84839950199</v>
      </c>
    </row>
    <row r="6567" spans="2:2" ht="15.5" x14ac:dyDescent="0.35">
      <c r="B6567" s="853">
        <v>323452.12861555477</v>
      </c>
    </row>
    <row r="6568" spans="2:2" ht="15.5" x14ac:dyDescent="0.35">
      <c r="B6568" s="853">
        <v>220186.36950190377</v>
      </c>
    </row>
    <row r="6569" spans="2:2" ht="15.5" x14ac:dyDescent="0.35">
      <c r="B6569" s="853">
        <v>205563.22808270826</v>
      </c>
    </row>
    <row r="6570" spans="2:2" ht="15.5" x14ac:dyDescent="0.35">
      <c r="B6570" s="853">
        <v>418128.61007400195</v>
      </c>
    </row>
    <row r="6571" spans="2:2" ht="15.5" x14ac:dyDescent="0.35">
      <c r="B6571" s="853">
        <v>67809.503000934186</v>
      </c>
    </row>
    <row r="6572" spans="2:2" ht="15.5" x14ac:dyDescent="0.35">
      <c r="B6572" s="853">
        <v>239612.58853886471</v>
      </c>
    </row>
    <row r="6573" spans="2:2" ht="15.5" x14ac:dyDescent="0.35">
      <c r="B6573" s="853">
        <v>97372.834652962789</v>
      </c>
    </row>
    <row r="6574" spans="2:2" ht="15.5" x14ac:dyDescent="0.35">
      <c r="B6574" s="853">
        <v>184804.88472219644</v>
      </c>
    </row>
    <row r="6575" spans="2:2" ht="15.5" x14ac:dyDescent="0.35">
      <c r="B6575" s="853">
        <v>698731.80900410062</v>
      </c>
    </row>
    <row r="6576" spans="2:2" ht="15.5" x14ac:dyDescent="0.35">
      <c r="B6576" s="853">
        <v>308084.75085884635</v>
      </c>
    </row>
    <row r="6577" spans="2:2" ht="15.5" x14ac:dyDescent="0.35">
      <c r="B6577" s="853">
        <v>361650.96369890077</v>
      </c>
    </row>
    <row r="6578" spans="2:2" ht="15.5" x14ac:dyDescent="0.35">
      <c r="B6578" s="853">
        <v>379200.40588278312</v>
      </c>
    </row>
    <row r="6579" spans="2:2" ht="15.5" x14ac:dyDescent="0.35">
      <c r="B6579" s="853">
        <v>373258.83188250352</v>
      </c>
    </row>
    <row r="6580" spans="2:2" ht="15.5" x14ac:dyDescent="0.35">
      <c r="B6580" s="853">
        <v>290565.35922248947</v>
      </c>
    </row>
    <row r="6581" spans="2:2" ht="15.5" x14ac:dyDescent="0.35">
      <c r="B6581" s="853">
        <v>69820.897380470939</v>
      </c>
    </row>
    <row r="6582" spans="2:2" ht="15.5" x14ac:dyDescent="0.35">
      <c r="B6582" s="853">
        <v>204632.86152414375</v>
      </c>
    </row>
    <row r="6583" spans="2:2" ht="15.5" x14ac:dyDescent="0.35">
      <c r="B6583" s="853">
        <v>478376.76942321286</v>
      </c>
    </row>
    <row r="6584" spans="2:2" ht="15.5" x14ac:dyDescent="0.35">
      <c r="B6584" s="853">
        <v>506068.00867623981</v>
      </c>
    </row>
    <row r="6585" spans="2:2" ht="15.5" x14ac:dyDescent="0.35">
      <c r="B6585" s="853">
        <v>105546.40989157505</v>
      </c>
    </row>
    <row r="6586" spans="2:2" ht="15.5" x14ac:dyDescent="0.35">
      <c r="B6586" s="853">
        <v>287058.77811242774</v>
      </c>
    </row>
    <row r="6587" spans="2:2" ht="15.5" x14ac:dyDescent="0.35">
      <c r="B6587" s="853">
        <v>193416.53876995511</v>
      </c>
    </row>
    <row r="6588" spans="2:2" ht="15.5" x14ac:dyDescent="0.35">
      <c r="B6588" s="853">
        <v>268706.76838055142</v>
      </c>
    </row>
    <row r="6589" spans="2:2" ht="15.5" x14ac:dyDescent="0.35">
      <c r="B6589" s="853">
        <v>286001.33593554772</v>
      </c>
    </row>
    <row r="6590" spans="2:2" ht="15.5" x14ac:dyDescent="0.35">
      <c r="B6590" s="853">
        <v>456218.28249179525</v>
      </c>
    </row>
    <row r="6591" spans="2:2" ht="15.5" x14ac:dyDescent="0.35">
      <c r="B6591" s="853">
        <v>425570.36209095479</v>
      </c>
    </row>
    <row r="6592" spans="2:2" ht="15.5" x14ac:dyDescent="0.35">
      <c r="B6592" s="853">
        <v>377489.13582682033</v>
      </c>
    </row>
    <row r="6593" spans="2:2" ht="15.5" x14ac:dyDescent="0.35">
      <c r="B6593" s="853">
        <v>558027.13041509048</v>
      </c>
    </row>
    <row r="6594" spans="2:2" ht="15.5" x14ac:dyDescent="0.35">
      <c r="B6594" s="853">
        <v>340014.44674591313</v>
      </c>
    </row>
    <row r="6595" spans="2:2" ht="15.5" x14ac:dyDescent="0.35">
      <c r="B6595" s="853">
        <v>136351.09804572462</v>
      </c>
    </row>
    <row r="6596" spans="2:2" ht="15.5" x14ac:dyDescent="0.35">
      <c r="B6596" s="853">
        <v>309802.93732324656</v>
      </c>
    </row>
    <row r="6597" spans="2:2" ht="15.5" x14ac:dyDescent="0.35">
      <c r="B6597" s="853">
        <v>318680.0843492577</v>
      </c>
    </row>
    <row r="6598" spans="2:2" ht="15.5" x14ac:dyDescent="0.35">
      <c r="B6598" s="853">
        <v>203332.94691860912</v>
      </c>
    </row>
    <row r="6599" spans="2:2" ht="15.5" x14ac:dyDescent="0.35">
      <c r="B6599" s="853">
        <v>82106.67890172152</v>
      </c>
    </row>
    <row r="6600" spans="2:2" ht="15.5" x14ac:dyDescent="0.35">
      <c r="B6600" s="853">
        <v>356494.39791742433</v>
      </c>
    </row>
    <row r="6601" spans="2:2" ht="15.5" x14ac:dyDescent="0.35">
      <c r="B6601" s="853">
        <v>376906.51807464752</v>
      </c>
    </row>
    <row r="6602" spans="2:2" ht="15.5" x14ac:dyDescent="0.35">
      <c r="B6602" s="853">
        <v>306949.20857406815</v>
      </c>
    </row>
    <row r="6603" spans="2:2" ht="15.5" x14ac:dyDescent="0.35">
      <c r="B6603" s="853">
        <v>310262.30670209002</v>
      </c>
    </row>
    <row r="6604" spans="2:2" ht="15.5" x14ac:dyDescent="0.35">
      <c r="B6604" s="853">
        <v>423000.8373065624</v>
      </c>
    </row>
    <row r="6605" spans="2:2" ht="15.5" x14ac:dyDescent="0.35">
      <c r="B6605" s="853">
        <v>238942.24247774336</v>
      </c>
    </row>
    <row r="6606" spans="2:2" ht="15.5" x14ac:dyDescent="0.35">
      <c r="B6606" s="853">
        <v>305796.51067795366</v>
      </c>
    </row>
    <row r="6607" spans="2:2" ht="15.5" x14ac:dyDescent="0.35">
      <c r="B6607" s="853">
        <v>194461.20773743631</v>
      </c>
    </row>
    <row r="6608" spans="2:2" ht="15.5" x14ac:dyDescent="0.35">
      <c r="B6608" s="853">
        <v>193570.28281666024</v>
      </c>
    </row>
    <row r="6609" spans="2:2" ht="15.5" x14ac:dyDescent="0.35">
      <c r="B6609" s="853">
        <v>356510.64455226331</v>
      </c>
    </row>
    <row r="6610" spans="2:2" ht="15.5" x14ac:dyDescent="0.35">
      <c r="B6610" s="853">
        <v>445943.97157876042</v>
      </c>
    </row>
    <row r="6611" spans="2:2" ht="15.5" x14ac:dyDescent="0.35">
      <c r="B6611" s="853">
        <v>200297.97103933175</v>
      </c>
    </row>
    <row r="6612" spans="2:2" ht="15.5" x14ac:dyDescent="0.35">
      <c r="B6612" s="853">
        <v>374048.5275113004</v>
      </c>
    </row>
    <row r="6613" spans="2:2" ht="15.5" x14ac:dyDescent="0.35">
      <c r="B6613" s="853">
        <v>240031.25046625352</v>
      </c>
    </row>
    <row r="6614" spans="2:2" ht="15.5" x14ac:dyDescent="0.35">
      <c r="B6614" s="853">
        <v>370542.50178217475</v>
      </c>
    </row>
    <row r="6615" spans="2:2" ht="15.5" x14ac:dyDescent="0.35">
      <c r="B6615" s="853">
        <v>126947.19792691192</v>
      </c>
    </row>
    <row r="6616" spans="2:2" ht="15.5" x14ac:dyDescent="0.35">
      <c r="B6616" s="853">
        <v>732285.52507778059</v>
      </c>
    </row>
    <row r="6617" spans="2:2" ht="15.5" x14ac:dyDescent="0.35">
      <c r="B6617" s="853">
        <v>366891.32688701781</v>
      </c>
    </row>
    <row r="6618" spans="2:2" ht="15.5" x14ac:dyDescent="0.35">
      <c r="B6618" s="853">
        <v>222177.37963482816</v>
      </c>
    </row>
    <row r="6619" spans="2:2" ht="15.5" x14ac:dyDescent="0.35">
      <c r="B6619" s="853">
        <v>311437.67756310396</v>
      </c>
    </row>
    <row r="6620" spans="2:2" ht="15.5" x14ac:dyDescent="0.35">
      <c r="B6620" s="853">
        <v>462786.60103916429</v>
      </c>
    </row>
    <row r="6621" spans="2:2" ht="15.5" x14ac:dyDescent="0.35">
      <c r="B6621" s="853">
        <v>365165.95614806906</v>
      </c>
    </row>
    <row r="6622" spans="2:2" ht="15.5" x14ac:dyDescent="0.35">
      <c r="B6622" s="853">
        <v>99212.142483261938</v>
      </c>
    </row>
    <row r="6623" spans="2:2" ht="15.5" x14ac:dyDescent="0.35">
      <c r="B6623" s="853">
        <v>270904.69594465231</v>
      </c>
    </row>
    <row r="6624" spans="2:2" ht="15.5" x14ac:dyDescent="0.35">
      <c r="B6624" s="853">
        <v>207547.02737216919</v>
      </c>
    </row>
    <row r="6625" spans="2:2" ht="15.5" x14ac:dyDescent="0.35">
      <c r="B6625" s="853">
        <v>263670.51961383712</v>
      </c>
    </row>
    <row r="6626" spans="2:2" ht="15.5" x14ac:dyDescent="0.35">
      <c r="B6626" s="853">
        <v>256926.3225743449</v>
      </c>
    </row>
    <row r="6627" spans="2:2" ht="15.5" x14ac:dyDescent="0.35">
      <c r="B6627" s="853">
        <v>576943.09419911006</v>
      </c>
    </row>
    <row r="6628" spans="2:2" ht="15.5" x14ac:dyDescent="0.35">
      <c r="B6628" s="853">
        <v>155405.00603933822</v>
      </c>
    </row>
    <row r="6629" spans="2:2" ht="15.5" x14ac:dyDescent="0.35">
      <c r="B6629" s="853">
        <v>557934.93447359581</v>
      </c>
    </row>
    <row r="6630" spans="2:2" ht="15.5" x14ac:dyDescent="0.35">
      <c r="B6630" s="853">
        <v>434233.20463355602</v>
      </c>
    </row>
    <row r="6631" spans="2:2" ht="15.5" x14ac:dyDescent="0.35">
      <c r="B6631" s="853">
        <v>84768.57636524376</v>
      </c>
    </row>
    <row r="6632" spans="2:2" ht="15.5" x14ac:dyDescent="0.35">
      <c r="B6632" s="853">
        <v>449333.67079368193</v>
      </c>
    </row>
    <row r="6633" spans="2:2" ht="15.5" x14ac:dyDescent="0.35">
      <c r="B6633" s="853">
        <v>129217.14865250592</v>
      </c>
    </row>
    <row r="6634" spans="2:2" ht="15.5" x14ac:dyDescent="0.35">
      <c r="B6634" s="853">
        <v>437225.32571377058</v>
      </c>
    </row>
    <row r="6635" spans="2:2" ht="15.5" x14ac:dyDescent="0.35">
      <c r="B6635" s="853">
        <v>709296.37438454072</v>
      </c>
    </row>
    <row r="6636" spans="2:2" ht="15.5" x14ac:dyDescent="0.35">
      <c r="B6636" s="853">
        <v>-15326.886492356858</v>
      </c>
    </row>
    <row r="6637" spans="2:2" ht="15.5" x14ac:dyDescent="0.35">
      <c r="B6637" s="853">
        <v>403613.78797269164</v>
      </c>
    </row>
    <row r="6638" spans="2:2" ht="15.5" x14ac:dyDescent="0.35">
      <c r="B6638" s="853">
        <v>663536.67384112498</v>
      </c>
    </row>
    <row r="6639" spans="2:2" ht="15.5" x14ac:dyDescent="0.35">
      <c r="B6639" s="853">
        <v>304234.10177930037</v>
      </c>
    </row>
    <row r="6640" spans="2:2" ht="15.5" x14ac:dyDescent="0.35">
      <c r="B6640" s="853">
        <v>462791.66120872449</v>
      </c>
    </row>
    <row r="6641" spans="2:2" ht="15.5" x14ac:dyDescent="0.35">
      <c r="B6641" s="853">
        <v>295304.90992506244</v>
      </c>
    </row>
    <row r="6642" spans="2:2" ht="15.5" x14ac:dyDescent="0.35">
      <c r="B6642" s="853">
        <v>-5659.0088929279627</v>
      </c>
    </row>
    <row r="6643" spans="2:2" ht="15.5" x14ac:dyDescent="0.35">
      <c r="B6643" s="853">
        <v>331720.9158575334</v>
      </c>
    </row>
    <row r="6644" spans="2:2" ht="15.5" x14ac:dyDescent="0.35">
      <c r="B6644" s="853">
        <v>556864.85450594162</v>
      </c>
    </row>
    <row r="6645" spans="2:2" ht="15.5" x14ac:dyDescent="0.35">
      <c r="B6645" s="853">
        <v>338067.32654211816</v>
      </c>
    </row>
    <row r="6646" spans="2:2" ht="15.5" x14ac:dyDescent="0.35">
      <c r="B6646" s="853">
        <v>74642.575118159395</v>
      </c>
    </row>
    <row r="6647" spans="2:2" ht="15.5" x14ac:dyDescent="0.35">
      <c r="B6647" s="853">
        <v>256733.85339267878</v>
      </c>
    </row>
    <row r="6648" spans="2:2" ht="15.5" x14ac:dyDescent="0.35">
      <c r="B6648" s="853">
        <v>327006.36642141623</v>
      </c>
    </row>
    <row r="6649" spans="2:2" ht="15.5" x14ac:dyDescent="0.35">
      <c r="B6649" s="853">
        <v>477673.97469191765</v>
      </c>
    </row>
    <row r="6650" spans="2:2" ht="15.5" x14ac:dyDescent="0.35">
      <c r="B6650" s="853">
        <v>618337.34496090061</v>
      </c>
    </row>
    <row r="6651" spans="2:2" ht="15.5" x14ac:dyDescent="0.35">
      <c r="B6651" s="853">
        <v>415475.67108229856</v>
      </c>
    </row>
    <row r="6652" spans="2:2" ht="15.5" x14ac:dyDescent="0.35">
      <c r="B6652" s="853">
        <v>258494.86214282468</v>
      </c>
    </row>
    <row r="6653" spans="2:2" ht="15.5" x14ac:dyDescent="0.35">
      <c r="B6653" s="853">
        <v>384632.66521146643</v>
      </c>
    </row>
    <row r="6654" spans="2:2" ht="15.5" x14ac:dyDescent="0.35">
      <c r="B6654" s="853">
        <v>634109.89620814007</v>
      </c>
    </row>
    <row r="6655" spans="2:2" ht="15.5" x14ac:dyDescent="0.35">
      <c r="B6655" s="853">
        <v>196542.95248659939</v>
      </c>
    </row>
    <row r="6656" spans="2:2" ht="15.5" x14ac:dyDescent="0.35">
      <c r="B6656" s="853">
        <v>175979.54953914485</v>
      </c>
    </row>
    <row r="6657" spans="2:2" ht="15.5" x14ac:dyDescent="0.35">
      <c r="B6657" s="853">
        <v>298231.59755751718</v>
      </c>
    </row>
    <row r="6658" spans="2:2" ht="15.5" x14ac:dyDescent="0.35">
      <c r="B6658" s="853">
        <v>184438.10958298389</v>
      </c>
    </row>
    <row r="6659" spans="2:2" ht="15.5" x14ac:dyDescent="0.35">
      <c r="B6659" s="853">
        <v>328628.86161447124</v>
      </c>
    </row>
    <row r="6660" spans="2:2" ht="15.5" x14ac:dyDescent="0.35">
      <c r="B6660" s="853">
        <v>325255.70783002267</v>
      </c>
    </row>
    <row r="6661" spans="2:2" ht="15.5" x14ac:dyDescent="0.35">
      <c r="B6661" s="853">
        <v>56114.974776114548</v>
      </c>
    </row>
    <row r="6662" spans="2:2" ht="15.5" x14ac:dyDescent="0.35">
      <c r="B6662" s="853">
        <v>348731.0903041077</v>
      </c>
    </row>
    <row r="6663" spans="2:2" ht="15.5" x14ac:dyDescent="0.35">
      <c r="B6663" s="853">
        <v>203248.69130988247</v>
      </c>
    </row>
    <row r="6664" spans="2:2" ht="15.5" x14ac:dyDescent="0.35">
      <c r="B6664" s="853">
        <v>161603.95774492496</v>
      </c>
    </row>
    <row r="6665" spans="2:2" ht="15.5" x14ac:dyDescent="0.35">
      <c r="B6665" s="853">
        <v>402937.86729773483</v>
      </c>
    </row>
    <row r="6666" spans="2:2" ht="15.5" x14ac:dyDescent="0.35">
      <c r="B6666" s="853">
        <v>478477.76192746009</v>
      </c>
    </row>
    <row r="6667" spans="2:2" ht="15.5" x14ac:dyDescent="0.35">
      <c r="B6667" s="853">
        <v>481978.22381842288</v>
      </c>
    </row>
    <row r="6668" spans="2:2" ht="15.5" x14ac:dyDescent="0.35">
      <c r="B6668" s="853">
        <v>435206.44461792981</v>
      </c>
    </row>
    <row r="6669" spans="2:2" ht="15.5" x14ac:dyDescent="0.35">
      <c r="B6669" s="853">
        <v>530144.86465669004</v>
      </c>
    </row>
    <row r="6670" spans="2:2" ht="15.5" x14ac:dyDescent="0.35">
      <c r="B6670" s="853">
        <v>227812.09501564354</v>
      </c>
    </row>
    <row r="6671" spans="2:2" ht="15.5" x14ac:dyDescent="0.35">
      <c r="B6671" s="853">
        <v>168656.45486581963</v>
      </c>
    </row>
    <row r="6672" spans="2:2" ht="15.5" x14ac:dyDescent="0.35">
      <c r="B6672" s="853">
        <v>130032.31284579089</v>
      </c>
    </row>
    <row r="6673" spans="2:2" ht="15.5" x14ac:dyDescent="0.35">
      <c r="B6673" s="853">
        <v>102039.91329843905</v>
      </c>
    </row>
    <row r="6674" spans="2:2" ht="15.5" x14ac:dyDescent="0.35">
      <c r="B6674" s="853">
        <v>191885.21756602149</v>
      </c>
    </row>
    <row r="6675" spans="2:2" ht="15.5" x14ac:dyDescent="0.35">
      <c r="B6675" s="853">
        <v>693272.11985423567</v>
      </c>
    </row>
    <row r="6676" spans="2:2" ht="15.5" x14ac:dyDescent="0.35">
      <c r="B6676" s="853">
        <v>398013.8506172552</v>
      </c>
    </row>
    <row r="6677" spans="2:2" ht="15.5" x14ac:dyDescent="0.35">
      <c r="B6677" s="853">
        <v>207406.95910004663</v>
      </c>
    </row>
    <row r="6678" spans="2:2" ht="15.5" x14ac:dyDescent="0.35">
      <c r="B6678" s="853">
        <v>387465.38536565745</v>
      </c>
    </row>
    <row r="6679" spans="2:2" ht="15.5" x14ac:dyDescent="0.35">
      <c r="B6679" s="853">
        <v>333670.56171301415</v>
      </c>
    </row>
    <row r="6680" spans="2:2" ht="15.5" x14ac:dyDescent="0.35">
      <c r="B6680" s="853">
        <v>400139.60223971342</v>
      </c>
    </row>
    <row r="6681" spans="2:2" ht="15.5" x14ac:dyDescent="0.35">
      <c r="B6681" s="853">
        <v>136043.18322470799</v>
      </c>
    </row>
    <row r="6682" spans="2:2" ht="15.5" x14ac:dyDescent="0.35">
      <c r="B6682" s="853">
        <v>486238.00167255569</v>
      </c>
    </row>
    <row r="6683" spans="2:2" ht="15.5" x14ac:dyDescent="0.35">
      <c r="B6683" s="853">
        <v>38655.190180660495</v>
      </c>
    </row>
    <row r="6684" spans="2:2" ht="15.5" x14ac:dyDescent="0.35">
      <c r="B6684" s="853">
        <v>603128.36820839753</v>
      </c>
    </row>
    <row r="6685" spans="2:2" ht="15.5" x14ac:dyDescent="0.35">
      <c r="B6685" s="853">
        <v>326284.71455708187</v>
      </c>
    </row>
    <row r="6686" spans="2:2" ht="15.5" x14ac:dyDescent="0.35">
      <c r="B6686" s="853">
        <v>313283.98945406603</v>
      </c>
    </row>
    <row r="6687" spans="2:2" ht="15.5" x14ac:dyDescent="0.35">
      <c r="B6687" s="853">
        <v>313778.45101809292</v>
      </c>
    </row>
    <row r="6688" spans="2:2" ht="15.5" x14ac:dyDescent="0.35">
      <c r="B6688" s="853">
        <v>549333.22032499104</v>
      </c>
    </row>
    <row r="6689" spans="2:2" ht="15.5" x14ac:dyDescent="0.35">
      <c r="B6689" s="853">
        <v>653728.19065095694</v>
      </c>
    </row>
    <row r="6690" spans="2:2" ht="15.5" x14ac:dyDescent="0.35">
      <c r="B6690" s="853">
        <v>353376.87232390017</v>
      </c>
    </row>
    <row r="6691" spans="2:2" ht="15.5" x14ac:dyDescent="0.35">
      <c r="B6691" s="853">
        <v>576679.05399683106</v>
      </c>
    </row>
    <row r="6692" spans="2:2" ht="15.5" x14ac:dyDescent="0.35">
      <c r="B6692" s="853">
        <v>319254.34562108305</v>
      </c>
    </row>
    <row r="6693" spans="2:2" ht="15.5" x14ac:dyDescent="0.35">
      <c r="B6693" s="853">
        <v>401964.43173545698</v>
      </c>
    </row>
    <row r="6694" spans="2:2" ht="15.5" x14ac:dyDescent="0.35">
      <c r="B6694" s="853">
        <v>441506.18045458576</v>
      </c>
    </row>
    <row r="6695" spans="2:2" ht="15.5" x14ac:dyDescent="0.35">
      <c r="B6695" s="853">
        <v>462017.29119883</v>
      </c>
    </row>
    <row r="6696" spans="2:2" ht="15.5" x14ac:dyDescent="0.35">
      <c r="B6696" s="853">
        <v>470014.91039110575</v>
      </c>
    </row>
    <row r="6697" spans="2:2" ht="15.5" x14ac:dyDescent="0.35">
      <c r="B6697" s="853">
        <v>276574.03891072242</v>
      </c>
    </row>
    <row r="6698" spans="2:2" ht="15.5" x14ac:dyDescent="0.35">
      <c r="B6698" s="853">
        <v>183940.23962919149</v>
      </c>
    </row>
    <row r="6699" spans="2:2" ht="15.5" x14ac:dyDescent="0.35">
      <c r="B6699" s="853">
        <v>117915.05673377785</v>
      </c>
    </row>
    <row r="6700" spans="2:2" ht="15.5" x14ac:dyDescent="0.35">
      <c r="B6700" s="853">
        <v>692460.32829150849</v>
      </c>
    </row>
    <row r="6701" spans="2:2" ht="15.5" x14ac:dyDescent="0.35">
      <c r="B6701" s="853">
        <v>374482.604806719</v>
      </c>
    </row>
    <row r="6702" spans="2:2" ht="15.5" x14ac:dyDescent="0.35">
      <c r="B6702" s="853">
        <v>430188.98265601951</v>
      </c>
    </row>
    <row r="6703" spans="2:2" ht="15.5" x14ac:dyDescent="0.35">
      <c r="B6703" s="853">
        <v>225433.09078782069</v>
      </c>
    </row>
    <row r="6704" spans="2:2" ht="15.5" x14ac:dyDescent="0.35">
      <c r="B6704" s="853">
        <v>255742.20101197818</v>
      </c>
    </row>
    <row r="6705" spans="2:2" ht="15.5" x14ac:dyDescent="0.35">
      <c r="B6705" s="853">
        <v>238306.29521052129</v>
      </c>
    </row>
    <row r="6706" spans="2:2" ht="15.5" x14ac:dyDescent="0.35">
      <c r="B6706" s="853">
        <v>282471.49871286482</v>
      </c>
    </row>
    <row r="6707" spans="2:2" ht="15.5" x14ac:dyDescent="0.35">
      <c r="B6707" s="853">
        <v>367333.18157662498</v>
      </c>
    </row>
    <row r="6708" spans="2:2" ht="15.5" x14ac:dyDescent="0.35">
      <c r="B6708" s="853">
        <v>321075.14884217677</v>
      </c>
    </row>
    <row r="6709" spans="2:2" ht="15.5" x14ac:dyDescent="0.35">
      <c r="B6709" s="853">
        <v>132408.81698053211</v>
      </c>
    </row>
    <row r="6710" spans="2:2" ht="15.5" x14ac:dyDescent="0.35">
      <c r="B6710" s="853">
        <v>79306.380758516534</v>
      </c>
    </row>
    <row r="6711" spans="2:2" ht="15.5" x14ac:dyDescent="0.35">
      <c r="B6711" s="853">
        <v>206013.24583285797</v>
      </c>
    </row>
    <row r="6712" spans="2:2" ht="15.5" x14ac:dyDescent="0.35">
      <c r="B6712" s="853">
        <v>294160.4468526378</v>
      </c>
    </row>
    <row r="6713" spans="2:2" ht="15.5" x14ac:dyDescent="0.35">
      <c r="B6713" s="853">
        <v>229372.73690943216</v>
      </c>
    </row>
    <row r="6714" spans="2:2" ht="15.5" x14ac:dyDescent="0.35">
      <c r="B6714" s="853">
        <v>355574.14891555876</v>
      </c>
    </row>
    <row r="6715" spans="2:2" ht="15.5" x14ac:dyDescent="0.35">
      <c r="B6715" s="853">
        <v>285752.1726987334</v>
      </c>
    </row>
    <row r="6716" spans="2:2" ht="15.5" x14ac:dyDescent="0.35">
      <c r="B6716" s="853">
        <v>268904.21840526903</v>
      </c>
    </row>
    <row r="6717" spans="2:2" ht="15.5" x14ac:dyDescent="0.35">
      <c r="B6717" s="853">
        <v>172740.43268972717</v>
      </c>
    </row>
    <row r="6718" spans="2:2" ht="15.5" x14ac:dyDescent="0.35">
      <c r="B6718" s="853">
        <v>183545.12100555177</v>
      </c>
    </row>
    <row r="6719" spans="2:2" ht="15.5" x14ac:dyDescent="0.35">
      <c r="B6719" s="853">
        <v>247135.27640759945</v>
      </c>
    </row>
    <row r="6720" spans="2:2" ht="15.5" x14ac:dyDescent="0.35">
      <c r="B6720" s="853">
        <v>197084.25245935953</v>
      </c>
    </row>
    <row r="6721" spans="2:2" ht="15.5" x14ac:dyDescent="0.35">
      <c r="B6721" s="853">
        <v>467679.92584715463</v>
      </c>
    </row>
    <row r="6722" spans="2:2" ht="15.5" x14ac:dyDescent="0.35">
      <c r="B6722" s="853">
        <v>-13621.245902926767</v>
      </c>
    </row>
    <row r="6723" spans="2:2" ht="15.5" x14ac:dyDescent="0.35">
      <c r="B6723" s="853">
        <v>150425.02511619203</v>
      </c>
    </row>
    <row r="6724" spans="2:2" ht="15.5" x14ac:dyDescent="0.35">
      <c r="B6724" s="853">
        <v>86515.307034355821</v>
      </c>
    </row>
    <row r="6725" spans="2:2" ht="15.5" x14ac:dyDescent="0.35">
      <c r="B6725" s="853">
        <v>392628.48771006049</v>
      </c>
    </row>
    <row r="6726" spans="2:2" ht="15.5" x14ac:dyDescent="0.35">
      <c r="B6726" s="853">
        <v>432930.77244080318</v>
      </c>
    </row>
    <row r="6727" spans="2:2" ht="15.5" x14ac:dyDescent="0.35">
      <c r="B6727" s="853">
        <v>276889.06771461572</v>
      </c>
    </row>
    <row r="6728" spans="2:2" ht="15.5" x14ac:dyDescent="0.35">
      <c r="B6728" s="853">
        <v>484695.18612423691</v>
      </c>
    </row>
    <row r="6729" spans="2:2" ht="15.5" x14ac:dyDescent="0.35">
      <c r="B6729" s="853">
        <v>325248.38033183489</v>
      </c>
    </row>
    <row r="6730" spans="2:2" ht="15.5" x14ac:dyDescent="0.35">
      <c r="B6730" s="853">
        <v>210392.12589972297</v>
      </c>
    </row>
    <row r="6731" spans="2:2" ht="15.5" x14ac:dyDescent="0.35">
      <c r="B6731" s="853">
        <v>91464.098345140927</v>
      </c>
    </row>
    <row r="6732" spans="2:2" ht="15.5" x14ac:dyDescent="0.35">
      <c r="B6732" s="853">
        <v>198917.36981715102</v>
      </c>
    </row>
    <row r="6733" spans="2:2" ht="15.5" x14ac:dyDescent="0.35">
      <c r="B6733" s="853">
        <v>377231.02629542525</v>
      </c>
    </row>
    <row r="6734" spans="2:2" ht="15.5" x14ac:dyDescent="0.35">
      <c r="B6734" s="853">
        <v>412855.78863992792</v>
      </c>
    </row>
    <row r="6735" spans="2:2" ht="15.5" x14ac:dyDescent="0.35">
      <c r="B6735" s="853">
        <v>415937.66404939198</v>
      </c>
    </row>
    <row r="6736" spans="2:2" ht="15.5" x14ac:dyDescent="0.35">
      <c r="B6736" s="853">
        <v>60365.175053877938</v>
      </c>
    </row>
    <row r="6737" spans="2:2" ht="15.5" x14ac:dyDescent="0.35">
      <c r="B6737" s="853">
        <v>74346.716841829169</v>
      </c>
    </row>
    <row r="6738" spans="2:2" ht="15.5" x14ac:dyDescent="0.35">
      <c r="B6738" s="853">
        <v>323698.51564377372</v>
      </c>
    </row>
    <row r="6739" spans="2:2" ht="15.5" x14ac:dyDescent="0.35">
      <c r="B6739" s="853">
        <v>280342.68246184051</v>
      </c>
    </row>
    <row r="6740" spans="2:2" ht="15.5" x14ac:dyDescent="0.35">
      <c r="B6740" s="853">
        <v>342576.24610540195</v>
      </c>
    </row>
    <row r="6741" spans="2:2" ht="15.5" x14ac:dyDescent="0.35">
      <c r="B6741" s="853">
        <v>197918.38152311134</v>
      </c>
    </row>
    <row r="6742" spans="2:2" ht="15.5" x14ac:dyDescent="0.35">
      <c r="B6742" s="853">
        <v>342436.71285714803</v>
      </c>
    </row>
    <row r="6743" spans="2:2" ht="15.5" x14ac:dyDescent="0.35">
      <c r="B6743" s="853">
        <v>566826.21307152382</v>
      </c>
    </row>
    <row r="6744" spans="2:2" ht="15.5" x14ac:dyDescent="0.35">
      <c r="B6744" s="853">
        <v>260402.88047311574</v>
      </c>
    </row>
    <row r="6745" spans="2:2" ht="15.5" x14ac:dyDescent="0.35">
      <c r="B6745" s="853">
        <v>210838.31126027554</v>
      </c>
    </row>
    <row r="6746" spans="2:2" ht="15.5" x14ac:dyDescent="0.35">
      <c r="B6746" s="853">
        <v>326540.30156211997</v>
      </c>
    </row>
    <row r="6747" spans="2:2" ht="15.5" x14ac:dyDescent="0.35">
      <c r="B6747" s="853">
        <v>69036.291838600082</v>
      </c>
    </row>
    <row r="6748" spans="2:2" ht="15.5" x14ac:dyDescent="0.35">
      <c r="B6748" s="853">
        <v>452755.77163159603</v>
      </c>
    </row>
    <row r="6749" spans="2:2" ht="15.5" x14ac:dyDescent="0.35">
      <c r="B6749" s="853">
        <v>150208.31529844314</v>
      </c>
    </row>
    <row r="6750" spans="2:2" ht="15.5" x14ac:dyDescent="0.35">
      <c r="B6750" s="853">
        <v>267903.79103039741</v>
      </c>
    </row>
    <row r="6751" spans="2:2" ht="15.5" x14ac:dyDescent="0.35">
      <c r="B6751" s="853">
        <v>-18525.554647613571</v>
      </c>
    </row>
    <row r="6752" spans="2:2" ht="15.5" x14ac:dyDescent="0.35">
      <c r="B6752" s="853">
        <v>143727.45271329497</v>
      </c>
    </row>
    <row r="6753" spans="2:2" ht="15.5" x14ac:dyDescent="0.35">
      <c r="B6753" s="853">
        <v>308931.07648912398</v>
      </c>
    </row>
    <row r="6754" spans="2:2" ht="15.5" x14ac:dyDescent="0.35">
      <c r="B6754" s="853">
        <v>353329.84919795091</v>
      </c>
    </row>
    <row r="6755" spans="2:2" ht="15.5" x14ac:dyDescent="0.35">
      <c r="B6755" s="853">
        <v>-68311.544804425765</v>
      </c>
    </row>
    <row r="6756" spans="2:2" ht="15.5" x14ac:dyDescent="0.35">
      <c r="B6756" s="853">
        <v>302906.94605736149</v>
      </c>
    </row>
    <row r="6757" spans="2:2" ht="15.5" x14ac:dyDescent="0.35">
      <c r="B6757" s="853">
        <v>385964.63316867431</v>
      </c>
    </row>
    <row r="6758" spans="2:2" ht="15.5" x14ac:dyDescent="0.35">
      <c r="B6758" s="853">
        <v>231135.70694259333</v>
      </c>
    </row>
    <row r="6759" spans="2:2" ht="15.5" x14ac:dyDescent="0.35">
      <c r="B6759" s="853">
        <v>417682.23183519155</v>
      </c>
    </row>
    <row r="6760" spans="2:2" ht="15.5" x14ac:dyDescent="0.35">
      <c r="B6760" s="853">
        <v>222525.86864976501</v>
      </c>
    </row>
    <row r="6761" spans="2:2" ht="15.5" x14ac:dyDescent="0.35">
      <c r="B6761" s="853">
        <v>374918.0839985793</v>
      </c>
    </row>
    <row r="6762" spans="2:2" ht="15.5" x14ac:dyDescent="0.35">
      <c r="B6762" s="853">
        <v>124079.13432787581</v>
      </c>
    </row>
    <row r="6763" spans="2:2" ht="15.5" x14ac:dyDescent="0.35">
      <c r="B6763" s="853">
        <v>182397.11329516099</v>
      </c>
    </row>
    <row r="6764" spans="2:2" ht="15.5" x14ac:dyDescent="0.35">
      <c r="B6764" s="853">
        <v>286508.31063802436</v>
      </c>
    </row>
    <row r="6765" spans="2:2" ht="15.5" x14ac:dyDescent="0.35">
      <c r="B6765" s="853">
        <v>366722.41918521584</v>
      </c>
    </row>
    <row r="6766" spans="2:2" ht="15.5" x14ac:dyDescent="0.35">
      <c r="B6766" s="853">
        <v>316622.68219371716</v>
      </c>
    </row>
    <row r="6767" spans="2:2" ht="15.5" x14ac:dyDescent="0.35">
      <c r="B6767" s="853">
        <v>79234.171178370103</v>
      </c>
    </row>
    <row r="6768" spans="2:2" ht="15.5" x14ac:dyDescent="0.35">
      <c r="B6768" s="853">
        <v>165895.81708748083</v>
      </c>
    </row>
    <row r="6769" spans="2:2" ht="15.5" x14ac:dyDescent="0.35">
      <c r="B6769" s="853">
        <v>143917.84268833336</v>
      </c>
    </row>
    <row r="6770" spans="2:2" ht="15.5" x14ac:dyDescent="0.35">
      <c r="B6770" s="853">
        <v>196677.45576871617</v>
      </c>
    </row>
    <row r="6771" spans="2:2" ht="15.5" x14ac:dyDescent="0.35">
      <c r="B6771" s="853">
        <v>252125.10854456929</v>
      </c>
    </row>
    <row r="6772" spans="2:2" ht="15.5" x14ac:dyDescent="0.35">
      <c r="B6772" s="853">
        <v>53714.89310082954</v>
      </c>
    </row>
    <row r="6773" spans="2:2" ht="15.5" x14ac:dyDescent="0.35">
      <c r="B6773" s="853">
        <v>258543.2345737266</v>
      </c>
    </row>
    <row r="6774" spans="2:2" ht="15.5" x14ac:dyDescent="0.35">
      <c r="B6774" s="853">
        <v>111195.16659850169</v>
      </c>
    </row>
    <row r="6775" spans="2:2" ht="15.5" x14ac:dyDescent="0.35">
      <c r="B6775" s="853">
        <v>436046.58947725379</v>
      </c>
    </row>
    <row r="6776" spans="2:2" ht="15.5" x14ac:dyDescent="0.35">
      <c r="B6776" s="853">
        <v>500716.7782971898</v>
      </c>
    </row>
    <row r="6777" spans="2:2" ht="15.5" x14ac:dyDescent="0.35">
      <c r="B6777" s="853">
        <v>3118.4317788387157</v>
      </c>
    </row>
    <row r="6778" spans="2:2" ht="15.5" x14ac:dyDescent="0.35">
      <c r="B6778" s="853">
        <v>178359.39439826494</v>
      </c>
    </row>
    <row r="6779" spans="2:2" ht="15.5" x14ac:dyDescent="0.35">
      <c r="B6779" s="853">
        <v>180590.08224409516</v>
      </c>
    </row>
    <row r="6780" spans="2:2" ht="15.5" x14ac:dyDescent="0.35">
      <c r="B6780" s="853">
        <v>366458.43501683732</v>
      </c>
    </row>
    <row r="6781" spans="2:2" ht="15.5" x14ac:dyDescent="0.35">
      <c r="B6781" s="853">
        <v>467248.21502482949</v>
      </c>
    </row>
    <row r="6782" spans="2:2" ht="15.5" x14ac:dyDescent="0.35">
      <c r="B6782" s="853">
        <v>216227.69603720368</v>
      </c>
    </row>
    <row r="6783" spans="2:2" ht="15.5" x14ac:dyDescent="0.35">
      <c r="B6783" s="853">
        <v>607324.43668123859</v>
      </c>
    </row>
    <row r="6784" spans="2:2" ht="15.5" x14ac:dyDescent="0.35">
      <c r="B6784" s="853">
        <v>199798.3139460017</v>
      </c>
    </row>
    <row r="6785" spans="2:2" ht="15.5" x14ac:dyDescent="0.35">
      <c r="B6785" s="853">
        <v>264000.39129846019</v>
      </c>
    </row>
    <row r="6786" spans="2:2" ht="15.5" x14ac:dyDescent="0.35">
      <c r="B6786" s="853">
        <v>456902.45999079646</v>
      </c>
    </row>
    <row r="6787" spans="2:2" ht="15.5" x14ac:dyDescent="0.35">
      <c r="B6787" s="853">
        <v>150411.33964520521</v>
      </c>
    </row>
    <row r="6788" spans="2:2" ht="15.5" x14ac:dyDescent="0.35">
      <c r="B6788" s="853">
        <v>347710.75198825652</v>
      </c>
    </row>
    <row r="6789" spans="2:2" ht="15.5" x14ac:dyDescent="0.35">
      <c r="B6789" s="853">
        <v>717755.58000365843</v>
      </c>
    </row>
    <row r="6790" spans="2:2" ht="15.5" x14ac:dyDescent="0.35">
      <c r="B6790" s="853">
        <v>273135.56748015998</v>
      </c>
    </row>
    <row r="6791" spans="2:2" ht="15.5" x14ac:dyDescent="0.35">
      <c r="B6791" s="853">
        <v>381006.34170676069</v>
      </c>
    </row>
    <row r="6792" spans="2:2" ht="15.5" x14ac:dyDescent="0.35">
      <c r="B6792" s="853">
        <v>291812.83449666773</v>
      </c>
    </row>
    <row r="6793" spans="2:2" ht="15.5" x14ac:dyDescent="0.35">
      <c r="B6793" s="853">
        <v>380436.35062914499</v>
      </c>
    </row>
    <row r="6794" spans="2:2" ht="15.5" x14ac:dyDescent="0.35">
      <c r="B6794" s="853">
        <v>269570.37662404007</v>
      </c>
    </row>
    <row r="6795" spans="2:2" ht="15.5" x14ac:dyDescent="0.35">
      <c r="B6795" s="853">
        <v>711892.45101234352</v>
      </c>
    </row>
    <row r="6796" spans="2:2" ht="15.5" x14ac:dyDescent="0.35">
      <c r="B6796" s="853">
        <v>441851.19513075176</v>
      </c>
    </row>
    <row r="6797" spans="2:2" ht="15.5" x14ac:dyDescent="0.35">
      <c r="B6797" s="853">
        <v>254706.41054384079</v>
      </c>
    </row>
    <row r="6798" spans="2:2" ht="15.5" x14ac:dyDescent="0.35">
      <c r="B6798" s="853">
        <v>374268.42548449029</v>
      </c>
    </row>
    <row r="6799" spans="2:2" ht="15.5" x14ac:dyDescent="0.35">
      <c r="B6799" s="853">
        <v>215411.24930213063</v>
      </c>
    </row>
    <row r="6800" spans="2:2" ht="15.5" x14ac:dyDescent="0.35">
      <c r="B6800" s="853">
        <v>175126.93110622742</v>
      </c>
    </row>
    <row r="6801" spans="2:2" ht="15.5" x14ac:dyDescent="0.35">
      <c r="B6801" s="853">
        <v>230409.81528400598</v>
      </c>
    </row>
    <row r="6802" spans="2:2" ht="15.5" x14ac:dyDescent="0.35">
      <c r="B6802" s="853">
        <v>561622.72197345935</v>
      </c>
    </row>
    <row r="6803" spans="2:2" ht="15.5" x14ac:dyDescent="0.35">
      <c r="B6803" s="853">
        <v>409680.09967529954</v>
      </c>
    </row>
    <row r="6804" spans="2:2" ht="15.5" x14ac:dyDescent="0.35">
      <c r="B6804" s="853">
        <v>496908.54585977702</v>
      </c>
    </row>
    <row r="6805" spans="2:2" ht="15.5" x14ac:dyDescent="0.35">
      <c r="B6805" s="853">
        <v>353136.34077134525</v>
      </c>
    </row>
    <row r="6806" spans="2:2" ht="15.5" x14ac:dyDescent="0.35">
      <c r="B6806" s="853">
        <v>557550.73509549478</v>
      </c>
    </row>
    <row r="6807" spans="2:2" ht="15.5" x14ac:dyDescent="0.35">
      <c r="B6807" s="853">
        <v>507905.76091073762</v>
      </c>
    </row>
    <row r="6808" spans="2:2" ht="15.5" x14ac:dyDescent="0.35">
      <c r="B6808" s="853">
        <v>374396.94566038315</v>
      </c>
    </row>
    <row r="6809" spans="2:2" ht="15.5" x14ac:dyDescent="0.35">
      <c r="B6809" s="853">
        <v>545907.13062760828</v>
      </c>
    </row>
    <row r="6810" spans="2:2" ht="15.5" x14ac:dyDescent="0.35">
      <c r="B6810" s="853">
        <v>-11019.302850107002</v>
      </c>
    </row>
    <row r="6811" spans="2:2" ht="15.5" x14ac:dyDescent="0.35">
      <c r="B6811" s="853">
        <v>145405.66196761362</v>
      </c>
    </row>
    <row r="6812" spans="2:2" ht="15.5" x14ac:dyDescent="0.35">
      <c r="B6812" s="853">
        <v>352225.56552061636</v>
      </c>
    </row>
    <row r="6813" spans="2:2" ht="15.5" x14ac:dyDescent="0.35">
      <c r="B6813" s="853">
        <v>345134.87149442045</v>
      </c>
    </row>
    <row r="6814" spans="2:2" ht="15.5" x14ac:dyDescent="0.35">
      <c r="B6814" s="853">
        <v>278839.11906425998</v>
      </c>
    </row>
    <row r="6815" spans="2:2" ht="15.5" x14ac:dyDescent="0.35">
      <c r="B6815" s="853">
        <v>164642.93259778424</v>
      </c>
    </row>
    <row r="6816" spans="2:2" ht="15.5" x14ac:dyDescent="0.35">
      <c r="B6816" s="853">
        <v>248514.31783983757</v>
      </c>
    </row>
    <row r="6817" spans="2:2" ht="15.5" x14ac:dyDescent="0.35">
      <c r="B6817" s="853">
        <v>73231.732844208105</v>
      </c>
    </row>
    <row r="6818" spans="2:2" ht="15.5" x14ac:dyDescent="0.35">
      <c r="B6818" s="853">
        <v>345017.40572396043</v>
      </c>
    </row>
    <row r="6819" spans="2:2" ht="15.5" x14ac:dyDescent="0.35">
      <c r="B6819" s="853">
        <v>222312.05304067928</v>
      </c>
    </row>
    <row r="6820" spans="2:2" ht="15.5" x14ac:dyDescent="0.35">
      <c r="B6820" s="853">
        <v>294112.43978754868</v>
      </c>
    </row>
    <row r="6821" spans="2:2" ht="15.5" x14ac:dyDescent="0.35">
      <c r="B6821" s="853">
        <v>313032.7625998162</v>
      </c>
    </row>
    <row r="6822" spans="2:2" ht="15.5" x14ac:dyDescent="0.35">
      <c r="B6822" s="853">
        <v>324041.433590264</v>
      </c>
    </row>
    <row r="6823" spans="2:2" ht="15.5" x14ac:dyDescent="0.35">
      <c r="B6823" s="853">
        <v>427374.14923580538</v>
      </c>
    </row>
    <row r="6824" spans="2:2" ht="15.5" x14ac:dyDescent="0.35">
      <c r="B6824" s="853">
        <v>211646.4280330058</v>
      </c>
    </row>
    <row r="6825" spans="2:2" ht="15.5" x14ac:dyDescent="0.35">
      <c r="B6825" s="853">
        <v>487184.73161932518</v>
      </c>
    </row>
    <row r="6826" spans="2:2" ht="15.5" x14ac:dyDescent="0.35">
      <c r="B6826" s="853">
        <v>600423.66059957771</v>
      </c>
    </row>
    <row r="6827" spans="2:2" ht="15.5" x14ac:dyDescent="0.35">
      <c r="B6827" s="853">
        <v>624938.59896065982</v>
      </c>
    </row>
    <row r="6828" spans="2:2" ht="15.5" x14ac:dyDescent="0.35">
      <c r="B6828" s="853">
        <v>134982.64751656633</v>
      </c>
    </row>
    <row r="6829" spans="2:2" ht="15.5" x14ac:dyDescent="0.35">
      <c r="B6829" s="853">
        <v>298009.19143245724</v>
      </c>
    </row>
    <row r="6830" spans="2:2" ht="15.5" x14ac:dyDescent="0.35">
      <c r="B6830" s="853">
        <v>468085.75016048132</v>
      </c>
    </row>
    <row r="6831" spans="2:2" ht="15.5" x14ac:dyDescent="0.35">
      <c r="B6831" s="853">
        <v>251793.03189517331</v>
      </c>
    </row>
    <row r="6832" spans="2:2" ht="15.5" x14ac:dyDescent="0.35">
      <c r="B6832" s="853">
        <v>250861.62837997987</v>
      </c>
    </row>
    <row r="6833" spans="2:2" ht="15.5" x14ac:dyDescent="0.35">
      <c r="B6833" s="853">
        <v>222516.59719737634</v>
      </c>
    </row>
    <row r="6834" spans="2:2" ht="15.5" x14ac:dyDescent="0.35">
      <c r="B6834" s="853">
        <v>56622.510160635109</v>
      </c>
    </row>
    <row r="6835" spans="2:2" ht="15.5" x14ac:dyDescent="0.35">
      <c r="B6835" s="853">
        <v>270796.30877127952</v>
      </c>
    </row>
    <row r="6836" spans="2:2" ht="15.5" x14ac:dyDescent="0.35">
      <c r="B6836" s="853">
        <v>23169.368507661304</v>
      </c>
    </row>
    <row r="6837" spans="2:2" ht="15.5" x14ac:dyDescent="0.35">
      <c r="B6837" s="853">
        <v>304852.12417790358</v>
      </c>
    </row>
    <row r="6838" spans="2:2" ht="15.5" x14ac:dyDescent="0.35">
      <c r="B6838" s="853">
        <v>201585.95577607572</v>
      </c>
    </row>
    <row r="6839" spans="2:2" ht="15.5" x14ac:dyDescent="0.35">
      <c r="B6839" s="853">
        <v>366472.84004782344</v>
      </c>
    </row>
    <row r="6840" spans="2:2" ht="15.5" x14ac:dyDescent="0.35">
      <c r="B6840" s="853">
        <v>139634.01163870149</v>
      </c>
    </row>
    <row r="6841" spans="2:2" ht="15.5" x14ac:dyDescent="0.35">
      <c r="B6841" s="853">
        <v>305055.76413190021</v>
      </c>
    </row>
    <row r="6842" spans="2:2" ht="15.5" x14ac:dyDescent="0.35">
      <c r="B6842" s="853">
        <v>509566.14278341975</v>
      </c>
    </row>
    <row r="6843" spans="2:2" ht="15.5" x14ac:dyDescent="0.35">
      <c r="B6843" s="853">
        <v>111413.58903580213</v>
      </c>
    </row>
    <row r="6844" spans="2:2" ht="15.5" x14ac:dyDescent="0.35">
      <c r="B6844" s="853">
        <v>225477.50666729343</v>
      </c>
    </row>
    <row r="6845" spans="2:2" ht="15.5" x14ac:dyDescent="0.35">
      <c r="B6845" s="853">
        <v>306883.20975701715</v>
      </c>
    </row>
    <row r="6846" spans="2:2" ht="15.5" x14ac:dyDescent="0.35">
      <c r="B6846" s="853">
        <v>535560.29447244527</v>
      </c>
    </row>
    <row r="6847" spans="2:2" ht="15.5" x14ac:dyDescent="0.35">
      <c r="B6847" s="853">
        <v>165186.88234151527</v>
      </c>
    </row>
    <row r="6848" spans="2:2" ht="15.5" x14ac:dyDescent="0.35">
      <c r="B6848" s="853">
        <v>238995.27777800703</v>
      </c>
    </row>
    <row r="6849" spans="2:2" ht="15.5" x14ac:dyDescent="0.35">
      <c r="B6849" s="853">
        <v>457869.91958434938</v>
      </c>
    </row>
    <row r="6850" spans="2:2" ht="15.5" x14ac:dyDescent="0.35">
      <c r="B6850" s="853">
        <v>199342.40432782014</v>
      </c>
    </row>
    <row r="6851" spans="2:2" ht="15.5" x14ac:dyDescent="0.35">
      <c r="B6851" s="853">
        <v>404629.16592146654</v>
      </c>
    </row>
    <row r="6852" spans="2:2" ht="15.5" x14ac:dyDescent="0.35">
      <c r="B6852" s="853">
        <v>219367.56816176308</v>
      </c>
    </row>
    <row r="6853" spans="2:2" ht="15.5" x14ac:dyDescent="0.35">
      <c r="B6853" s="853">
        <v>218896.71968075805</v>
      </c>
    </row>
    <row r="6854" spans="2:2" ht="15.5" x14ac:dyDescent="0.35">
      <c r="B6854" s="853">
        <v>458883.39934455336</v>
      </c>
    </row>
    <row r="6855" spans="2:2" ht="15.5" x14ac:dyDescent="0.35">
      <c r="B6855" s="853">
        <v>319706.55838558311</v>
      </c>
    </row>
    <row r="6856" spans="2:2" ht="15.5" x14ac:dyDescent="0.35">
      <c r="B6856" s="853">
        <v>415410.58732528798</v>
      </c>
    </row>
    <row r="6857" spans="2:2" ht="15.5" x14ac:dyDescent="0.35">
      <c r="B6857" s="853">
        <v>321790.0434213329</v>
      </c>
    </row>
    <row r="6858" spans="2:2" ht="15.5" x14ac:dyDescent="0.35">
      <c r="B6858" s="853">
        <v>136092.38541341684</v>
      </c>
    </row>
    <row r="6859" spans="2:2" ht="15.5" x14ac:dyDescent="0.35">
      <c r="B6859" s="853">
        <v>209087.91217204119</v>
      </c>
    </row>
    <row r="6860" spans="2:2" ht="15.5" x14ac:dyDescent="0.35">
      <c r="B6860" s="853">
        <v>386695.54047191568</v>
      </c>
    </row>
    <row r="6861" spans="2:2" ht="15.5" x14ac:dyDescent="0.35">
      <c r="B6861" s="853">
        <v>205636.42900021988</v>
      </c>
    </row>
    <row r="6862" spans="2:2" ht="15.5" x14ac:dyDescent="0.35">
      <c r="B6862" s="853">
        <v>541775.15381078445</v>
      </c>
    </row>
    <row r="6863" spans="2:2" ht="15.5" x14ac:dyDescent="0.35">
      <c r="B6863" s="853">
        <v>224193.8558632744</v>
      </c>
    </row>
    <row r="6864" spans="2:2" ht="15.5" x14ac:dyDescent="0.35">
      <c r="B6864" s="853">
        <v>573746.29822372319</v>
      </c>
    </row>
    <row r="6865" spans="2:2" ht="15.5" x14ac:dyDescent="0.35">
      <c r="B6865" s="853">
        <v>140313.23197602836</v>
      </c>
    </row>
    <row r="6866" spans="2:2" ht="15.5" x14ac:dyDescent="0.35">
      <c r="B6866" s="853">
        <v>419400.29554437951</v>
      </c>
    </row>
    <row r="6867" spans="2:2" ht="15.5" x14ac:dyDescent="0.35">
      <c r="B6867" s="853">
        <v>465906.94439902337</v>
      </c>
    </row>
    <row r="6868" spans="2:2" ht="15.5" x14ac:dyDescent="0.35">
      <c r="B6868" s="853">
        <v>510455.95166657452</v>
      </c>
    </row>
    <row r="6869" spans="2:2" ht="15.5" x14ac:dyDescent="0.35">
      <c r="B6869" s="853">
        <v>214505.2243677002</v>
      </c>
    </row>
    <row r="6870" spans="2:2" ht="15.5" x14ac:dyDescent="0.35">
      <c r="B6870" s="853">
        <v>222871.63128562365</v>
      </c>
    </row>
    <row r="6871" spans="2:2" ht="15.5" x14ac:dyDescent="0.35">
      <c r="B6871" s="853">
        <v>226156.67238406042</v>
      </c>
    </row>
    <row r="6872" spans="2:2" ht="15.5" x14ac:dyDescent="0.35">
      <c r="B6872" s="853">
        <v>232384.76032167647</v>
      </c>
    </row>
    <row r="6873" spans="2:2" ht="15.5" x14ac:dyDescent="0.35">
      <c r="B6873" s="853">
        <v>217188.73951958411</v>
      </c>
    </row>
    <row r="6874" spans="2:2" ht="15.5" x14ac:dyDescent="0.35">
      <c r="B6874" s="853">
        <v>552089.63713754783</v>
      </c>
    </row>
    <row r="6875" spans="2:2" ht="15.5" x14ac:dyDescent="0.35">
      <c r="B6875" s="853">
        <v>387429.30544833926</v>
      </c>
    </row>
    <row r="6876" spans="2:2" ht="15.5" x14ac:dyDescent="0.35">
      <c r="B6876" s="853">
        <v>341518.16954789002</v>
      </c>
    </row>
    <row r="6877" spans="2:2" ht="15.5" x14ac:dyDescent="0.35">
      <c r="B6877" s="853">
        <v>383106.55540405284</v>
      </c>
    </row>
    <row r="6878" spans="2:2" ht="15.5" x14ac:dyDescent="0.35">
      <c r="B6878" s="853">
        <v>243506.60685382431</v>
      </c>
    </row>
    <row r="6879" spans="2:2" ht="15.5" x14ac:dyDescent="0.35">
      <c r="B6879" s="853">
        <v>286663.97932903934</v>
      </c>
    </row>
    <row r="6880" spans="2:2" ht="15.5" x14ac:dyDescent="0.35">
      <c r="B6880" s="853">
        <v>448594.65694173391</v>
      </c>
    </row>
    <row r="6881" spans="2:2" ht="15.5" x14ac:dyDescent="0.35">
      <c r="B6881" s="853">
        <v>176150.41939516086</v>
      </c>
    </row>
    <row r="6882" spans="2:2" ht="15.5" x14ac:dyDescent="0.35">
      <c r="B6882" s="853">
        <v>286058.64497991954</v>
      </c>
    </row>
    <row r="6883" spans="2:2" ht="15.5" x14ac:dyDescent="0.35">
      <c r="B6883" s="853">
        <v>385255.51187211246</v>
      </c>
    </row>
    <row r="6884" spans="2:2" ht="15.5" x14ac:dyDescent="0.35">
      <c r="B6884" s="853">
        <v>428307.333980772</v>
      </c>
    </row>
    <row r="6885" spans="2:2" ht="15.5" x14ac:dyDescent="0.35">
      <c r="B6885" s="853">
        <v>323417.38026740355</v>
      </c>
    </row>
    <row r="6886" spans="2:2" ht="15.5" x14ac:dyDescent="0.35">
      <c r="B6886" s="853">
        <v>484796.37682041858</v>
      </c>
    </row>
    <row r="6887" spans="2:2" ht="15.5" x14ac:dyDescent="0.35">
      <c r="B6887" s="853">
        <v>327397.29939473449</v>
      </c>
    </row>
    <row r="6888" spans="2:2" ht="15.5" x14ac:dyDescent="0.35">
      <c r="B6888" s="853">
        <v>476295.44719360769</v>
      </c>
    </row>
    <row r="6889" spans="2:2" ht="15.5" x14ac:dyDescent="0.35">
      <c r="B6889" s="853">
        <v>183378.30142894201</v>
      </c>
    </row>
    <row r="6890" spans="2:2" ht="15.5" x14ac:dyDescent="0.35">
      <c r="B6890" s="853">
        <v>428616.71074426128</v>
      </c>
    </row>
    <row r="6891" spans="2:2" ht="15.5" x14ac:dyDescent="0.35">
      <c r="B6891" s="853">
        <v>359408.715121646</v>
      </c>
    </row>
    <row r="6892" spans="2:2" ht="15.5" x14ac:dyDescent="0.35">
      <c r="B6892" s="853">
        <v>352862.88025666226</v>
      </c>
    </row>
    <row r="6893" spans="2:2" ht="15.5" x14ac:dyDescent="0.35">
      <c r="B6893" s="853">
        <v>248240.63632833876</v>
      </c>
    </row>
    <row r="6894" spans="2:2" ht="15.5" x14ac:dyDescent="0.35">
      <c r="B6894" s="853">
        <v>377005.74580329907</v>
      </c>
    </row>
    <row r="6895" spans="2:2" ht="15.5" x14ac:dyDescent="0.35">
      <c r="B6895" s="853">
        <v>425227.43362444214</v>
      </c>
    </row>
    <row r="6896" spans="2:2" ht="15.5" x14ac:dyDescent="0.35">
      <c r="B6896" s="853">
        <v>386312.20917697344</v>
      </c>
    </row>
    <row r="6897" spans="2:2" ht="15.5" x14ac:dyDescent="0.35">
      <c r="B6897" s="853">
        <v>181620.64751224426</v>
      </c>
    </row>
    <row r="6898" spans="2:2" ht="15.5" x14ac:dyDescent="0.35">
      <c r="B6898" s="853">
        <v>536010.690873074</v>
      </c>
    </row>
    <row r="6899" spans="2:2" ht="15.5" x14ac:dyDescent="0.35">
      <c r="B6899" s="853">
        <v>143306.20062211435</v>
      </c>
    </row>
    <row r="6900" spans="2:2" ht="15.5" x14ac:dyDescent="0.35">
      <c r="B6900" s="853">
        <v>394365.20696754212</v>
      </c>
    </row>
    <row r="6901" spans="2:2" ht="15.5" x14ac:dyDescent="0.35">
      <c r="B6901" s="853">
        <v>254437.16362453811</v>
      </c>
    </row>
    <row r="6902" spans="2:2" ht="15.5" x14ac:dyDescent="0.35">
      <c r="B6902" s="853">
        <v>379090.29578790377</v>
      </c>
    </row>
    <row r="6903" spans="2:2" ht="15.5" x14ac:dyDescent="0.35">
      <c r="B6903" s="853">
        <v>277146.32054578862</v>
      </c>
    </row>
    <row r="6904" spans="2:2" ht="15.5" x14ac:dyDescent="0.35">
      <c r="B6904" s="853">
        <v>420052.99888507032</v>
      </c>
    </row>
    <row r="6905" spans="2:2" ht="15.5" x14ac:dyDescent="0.35">
      <c r="B6905" s="853">
        <v>318546.84840169532</v>
      </c>
    </row>
    <row r="6906" spans="2:2" ht="15.5" x14ac:dyDescent="0.35">
      <c r="B6906" s="853">
        <v>517839.84043102758</v>
      </c>
    </row>
    <row r="6907" spans="2:2" ht="15.5" x14ac:dyDescent="0.35">
      <c r="B6907" s="853">
        <v>309197.79735954397</v>
      </c>
    </row>
    <row r="6908" spans="2:2" ht="15.5" x14ac:dyDescent="0.35">
      <c r="B6908" s="853">
        <v>254174.85795712878</v>
      </c>
    </row>
    <row r="6909" spans="2:2" ht="15.5" x14ac:dyDescent="0.35">
      <c r="B6909" s="853">
        <v>267879.2604872759</v>
      </c>
    </row>
    <row r="6910" spans="2:2" ht="15.5" x14ac:dyDescent="0.35">
      <c r="B6910" s="853">
        <v>151794.82753284715</v>
      </c>
    </row>
    <row r="6911" spans="2:2" ht="15.5" x14ac:dyDescent="0.35">
      <c r="B6911" s="853">
        <v>228528.03187047024</v>
      </c>
    </row>
    <row r="6912" spans="2:2" ht="15.5" x14ac:dyDescent="0.35">
      <c r="B6912" s="853">
        <v>243213.24736900764</v>
      </c>
    </row>
    <row r="6913" spans="2:2" ht="15.5" x14ac:dyDescent="0.35">
      <c r="B6913" s="853">
        <v>122310.12551516519</v>
      </c>
    </row>
    <row r="6914" spans="2:2" ht="15.5" x14ac:dyDescent="0.35">
      <c r="B6914" s="853">
        <v>202115.31512473503</v>
      </c>
    </row>
    <row r="6915" spans="2:2" ht="15.5" x14ac:dyDescent="0.35">
      <c r="B6915" s="853">
        <v>528866.14891512762</v>
      </c>
    </row>
    <row r="6916" spans="2:2" ht="15.5" x14ac:dyDescent="0.35">
      <c r="B6916" s="853">
        <v>416017.22486875317</v>
      </c>
    </row>
    <row r="6917" spans="2:2" ht="15.5" x14ac:dyDescent="0.35">
      <c r="B6917" s="853">
        <v>108856.1364875991</v>
      </c>
    </row>
    <row r="6918" spans="2:2" ht="15.5" x14ac:dyDescent="0.35">
      <c r="B6918" s="853">
        <v>152479.05093011129</v>
      </c>
    </row>
    <row r="6919" spans="2:2" ht="15.5" x14ac:dyDescent="0.35">
      <c r="B6919" s="853">
        <v>197990.45084072938</v>
      </c>
    </row>
    <row r="6920" spans="2:2" ht="15.5" x14ac:dyDescent="0.35">
      <c r="B6920" s="853">
        <v>638940.28559183853</v>
      </c>
    </row>
    <row r="6921" spans="2:2" ht="15.5" x14ac:dyDescent="0.35">
      <c r="B6921" s="853">
        <v>135422.14378170067</v>
      </c>
    </row>
    <row r="6922" spans="2:2" ht="15.5" x14ac:dyDescent="0.35">
      <c r="B6922" s="853">
        <v>11735.000924106871</v>
      </c>
    </row>
    <row r="6923" spans="2:2" ht="15.5" x14ac:dyDescent="0.35">
      <c r="B6923" s="853">
        <v>272505.13963146135</v>
      </c>
    </row>
    <row r="6924" spans="2:2" ht="15.5" x14ac:dyDescent="0.35">
      <c r="B6924" s="853">
        <v>453023.65654762072</v>
      </c>
    </row>
    <row r="6925" spans="2:2" ht="15.5" x14ac:dyDescent="0.35">
      <c r="B6925" s="853">
        <v>398579.42555376963</v>
      </c>
    </row>
    <row r="6926" spans="2:2" ht="15.5" x14ac:dyDescent="0.35">
      <c r="B6926" s="853">
        <v>382610.07478950667</v>
      </c>
    </row>
    <row r="6927" spans="2:2" ht="15.5" x14ac:dyDescent="0.35">
      <c r="B6927" s="853">
        <v>367694.86321032816</v>
      </c>
    </row>
    <row r="6928" spans="2:2" ht="15.5" x14ac:dyDescent="0.35">
      <c r="B6928" s="853">
        <v>457341.14387393219</v>
      </c>
    </row>
    <row r="6929" spans="2:2" ht="15.5" x14ac:dyDescent="0.35">
      <c r="B6929" s="853">
        <v>368044.73473594408</v>
      </c>
    </row>
    <row r="6930" spans="2:2" ht="15.5" x14ac:dyDescent="0.35">
      <c r="B6930" s="853">
        <v>196142.36517006508</v>
      </c>
    </row>
    <row r="6931" spans="2:2" ht="15.5" x14ac:dyDescent="0.35">
      <c r="B6931" s="853">
        <v>429451.55945117609</v>
      </c>
    </row>
    <row r="6932" spans="2:2" ht="15.5" x14ac:dyDescent="0.35">
      <c r="B6932" s="853">
        <v>129599.1291453529</v>
      </c>
    </row>
    <row r="6933" spans="2:2" ht="15.5" x14ac:dyDescent="0.35">
      <c r="B6933" s="853">
        <v>452815.35095075367</v>
      </c>
    </row>
    <row r="6934" spans="2:2" ht="15.5" x14ac:dyDescent="0.35">
      <c r="B6934" s="853">
        <v>470064.31989653344</v>
      </c>
    </row>
    <row r="6935" spans="2:2" ht="15.5" x14ac:dyDescent="0.35">
      <c r="B6935" s="853">
        <v>265960.63978106546</v>
      </c>
    </row>
    <row r="6936" spans="2:2" ht="15.5" x14ac:dyDescent="0.35">
      <c r="B6936" s="853">
        <v>442278.68123919924</v>
      </c>
    </row>
    <row r="6937" spans="2:2" ht="15.5" x14ac:dyDescent="0.35">
      <c r="B6937" s="853">
        <v>426742.46298120718</v>
      </c>
    </row>
    <row r="6938" spans="2:2" ht="15.5" x14ac:dyDescent="0.35">
      <c r="B6938" s="853">
        <v>239867.70649917828</v>
      </c>
    </row>
    <row r="6939" spans="2:2" ht="15.5" x14ac:dyDescent="0.35">
      <c r="B6939" s="853">
        <v>250146.09706566989</v>
      </c>
    </row>
    <row r="6940" spans="2:2" ht="15.5" x14ac:dyDescent="0.35">
      <c r="B6940" s="853">
        <v>278848.90678484534</v>
      </c>
    </row>
    <row r="6941" spans="2:2" ht="15.5" x14ac:dyDescent="0.35">
      <c r="B6941" s="853">
        <v>346574.00475594954</v>
      </c>
    </row>
    <row r="6942" spans="2:2" ht="15.5" x14ac:dyDescent="0.35">
      <c r="B6942" s="853">
        <v>404819.8585783969</v>
      </c>
    </row>
    <row r="6943" spans="2:2" ht="15.5" x14ac:dyDescent="0.35">
      <c r="B6943" s="853">
        <v>671514.750842012</v>
      </c>
    </row>
    <row r="6944" spans="2:2" ht="15.5" x14ac:dyDescent="0.35">
      <c r="B6944" s="853">
        <v>265038.67255143466</v>
      </c>
    </row>
    <row r="6945" spans="2:2" ht="15.5" x14ac:dyDescent="0.35">
      <c r="B6945" s="853">
        <v>337153.74819660053</v>
      </c>
    </row>
    <row r="6946" spans="2:2" ht="15.5" x14ac:dyDescent="0.35">
      <c r="B6946" s="853">
        <v>90480.700900251148</v>
      </c>
    </row>
    <row r="6947" spans="2:2" ht="15.5" x14ac:dyDescent="0.35">
      <c r="B6947" s="853">
        <v>202874.52093908869</v>
      </c>
    </row>
    <row r="6948" spans="2:2" ht="15.5" x14ac:dyDescent="0.35">
      <c r="B6948" s="853">
        <v>275154.51504031464</v>
      </c>
    </row>
    <row r="6949" spans="2:2" ht="15.5" x14ac:dyDescent="0.35">
      <c r="B6949" s="853">
        <v>312750.48614432674</v>
      </c>
    </row>
    <row r="6950" spans="2:2" ht="15.5" x14ac:dyDescent="0.35">
      <c r="B6950" s="853">
        <v>386118.98618276062</v>
      </c>
    </row>
    <row r="6951" spans="2:2" ht="15.5" x14ac:dyDescent="0.35">
      <c r="B6951" s="853">
        <v>167559.39648324155</v>
      </c>
    </row>
    <row r="6952" spans="2:2" ht="15.5" x14ac:dyDescent="0.35">
      <c r="B6952" s="853">
        <v>344410.6522827826</v>
      </c>
    </row>
    <row r="6953" spans="2:2" ht="15.5" x14ac:dyDescent="0.35">
      <c r="B6953" s="853">
        <v>592238.26534749684</v>
      </c>
    </row>
    <row r="6954" spans="2:2" ht="15.5" x14ac:dyDescent="0.35">
      <c r="B6954" s="853">
        <v>475228.06237494043</v>
      </c>
    </row>
    <row r="6955" spans="2:2" ht="15.5" x14ac:dyDescent="0.35">
      <c r="B6955" s="853">
        <v>382501.07956172019</v>
      </c>
    </row>
    <row r="6956" spans="2:2" ht="15.5" x14ac:dyDescent="0.35">
      <c r="B6956" s="853">
        <v>325064.48471436341</v>
      </c>
    </row>
    <row r="6957" spans="2:2" ht="15.5" x14ac:dyDescent="0.35">
      <c r="B6957" s="853">
        <v>361889.32994056254</v>
      </c>
    </row>
    <row r="6958" spans="2:2" ht="15.5" x14ac:dyDescent="0.35">
      <c r="B6958" s="853">
        <v>597835.89162999671</v>
      </c>
    </row>
    <row r="6959" spans="2:2" ht="15.5" x14ac:dyDescent="0.35">
      <c r="B6959" s="853">
        <v>246737.68363923024</v>
      </c>
    </row>
    <row r="6960" spans="2:2" ht="15.5" x14ac:dyDescent="0.35">
      <c r="B6960" s="853">
        <v>422027.82429167995</v>
      </c>
    </row>
    <row r="6961" spans="2:2" ht="15.5" x14ac:dyDescent="0.35">
      <c r="B6961" s="853">
        <v>225012.89755857034</v>
      </c>
    </row>
    <row r="6962" spans="2:2" ht="15.5" x14ac:dyDescent="0.35">
      <c r="B6962" s="853">
        <v>476412.09987227106</v>
      </c>
    </row>
    <row r="6963" spans="2:2" ht="15.5" x14ac:dyDescent="0.35">
      <c r="B6963" s="853">
        <v>147051.85071954053</v>
      </c>
    </row>
    <row r="6964" spans="2:2" ht="15.5" x14ac:dyDescent="0.35">
      <c r="B6964" s="853">
        <v>166501.73422870031</v>
      </c>
    </row>
    <row r="6965" spans="2:2" ht="15.5" x14ac:dyDescent="0.35">
      <c r="B6965" s="853">
        <v>241639.05342217386</v>
      </c>
    </row>
    <row r="6966" spans="2:2" ht="15.5" x14ac:dyDescent="0.35">
      <c r="B6966" s="853">
        <v>479354.3851901553</v>
      </c>
    </row>
    <row r="6967" spans="2:2" ht="15.5" x14ac:dyDescent="0.35">
      <c r="B6967" s="853">
        <v>96752.589206036893</v>
      </c>
    </row>
    <row r="6968" spans="2:2" ht="15.5" x14ac:dyDescent="0.35">
      <c r="B6968" s="853">
        <v>563429.64979098621</v>
      </c>
    </row>
    <row r="6969" spans="2:2" ht="15.5" x14ac:dyDescent="0.35">
      <c r="B6969" s="853">
        <v>449173.04014649929</v>
      </c>
    </row>
    <row r="6970" spans="2:2" ht="15.5" x14ac:dyDescent="0.35">
      <c r="B6970" s="853">
        <v>416800.17787292344</v>
      </c>
    </row>
    <row r="6971" spans="2:2" ht="15.5" x14ac:dyDescent="0.35">
      <c r="B6971" s="853">
        <v>-170303.8988103673</v>
      </c>
    </row>
    <row r="6972" spans="2:2" ht="15.5" x14ac:dyDescent="0.35">
      <c r="B6972" s="853">
        <v>466970.62008389656</v>
      </c>
    </row>
    <row r="6973" spans="2:2" ht="15.5" x14ac:dyDescent="0.35">
      <c r="B6973" s="853">
        <v>57407.884041028155</v>
      </c>
    </row>
    <row r="6974" spans="2:2" ht="15.5" x14ac:dyDescent="0.35">
      <c r="B6974" s="853">
        <v>341189.45066121692</v>
      </c>
    </row>
    <row r="6975" spans="2:2" ht="15.5" x14ac:dyDescent="0.35">
      <c r="B6975" s="853">
        <v>410700.52028810116</v>
      </c>
    </row>
    <row r="6976" spans="2:2" ht="15.5" x14ac:dyDescent="0.35">
      <c r="B6976" s="853">
        <v>362269.75981764653</v>
      </c>
    </row>
    <row r="6977" spans="2:2" ht="15.5" x14ac:dyDescent="0.35">
      <c r="B6977" s="853">
        <v>211281.51045163252</v>
      </c>
    </row>
    <row r="6978" spans="2:2" ht="15.5" x14ac:dyDescent="0.35">
      <c r="B6978" s="853">
        <v>566415.80824698834</v>
      </c>
    </row>
    <row r="6979" spans="2:2" ht="15.5" x14ac:dyDescent="0.35">
      <c r="B6979" s="853">
        <v>355491.40304556349</v>
      </c>
    </row>
    <row r="6980" spans="2:2" ht="15.5" x14ac:dyDescent="0.35">
      <c r="B6980" s="853">
        <v>281929.22375035047</v>
      </c>
    </row>
    <row r="6981" spans="2:2" ht="15.5" x14ac:dyDescent="0.35">
      <c r="B6981" s="853">
        <v>312758.41480170295</v>
      </c>
    </row>
    <row r="6982" spans="2:2" ht="15.5" x14ac:dyDescent="0.35">
      <c r="B6982" s="853">
        <v>403779.51000256976</v>
      </c>
    </row>
    <row r="6983" spans="2:2" ht="15.5" x14ac:dyDescent="0.35">
      <c r="B6983" s="853">
        <v>194020.81484587354</v>
      </c>
    </row>
    <row r="6984" spans="2:2" ht="15.5" x14ac:dyDescent="0.35">
      <c r="B6984" s="853">
        <v>238847.97573494847</v>
      </c>
    </row>
    <row r="6985" spans="2:2" ht="15.5" x14ac:dyDescent="0.35">
      <c r="B6985" s="853">
        <v>134842.21137808618</v>
      </c>
    </row>
    <row r="6986" spans="2:2" ht="15.5" x14ac:dyDescent="0.35">
      <c r="B6986" s="853">
        <v>303987.11004119797</v>
      </c>
    </row>
    <row r="6987" spans="2:2" ht="15.5" x14ac:dyDescent="0.35">
      <c r="B6987" s="853">
        <v>524956.97930476593</v>
      </c>
    </row>
    <row r="6988" spans="2:2" ht="15.5" x14ac:dyDescent="0.35">
      <c r="B6988" s="853">
        <v>270502.41628909251</v>
      </c>
    </row>
    <row r="6989" spans="2:2" ht="15.5" x14ac:dyDescent="0.35">
      <c r="B6989" s="853">
        <v>405099.95489980374</v>
      </c>
    </row>
    <row r="6990" spans="2:2" ht="15.5" x14ac:dyDescent="0.35">
      <c r="B6990" s="853">
        <v>536622.07402157714</v>
      </c>
    </row>
    <row r="6991" spans="2:2" ht="15.5" x14ac:dyDescent="0.35">
      <c r="B6991" s="853">
        <v>90460.743630547469</v>
      </c>
    </row>
    <row r="6992" spans="2:2" ht="15.5" x14ac:dyDescent="0.35">
      <c r="B6992" s="853">
        <v>268345.13122115488</v>
      </c>
    </row>
    <row r="6993" spans="2:2" ht="15.5" x14ac:dyDescent="0.35">
      <c r="B6993" s="853">
        <v>209889.36425766451</v>
      </c>
    </row>
    <row r="6994" spans="2:2" ht="15.5" x14ac:dyDescent="0.35">
      <c r="B6994" s="853">
        <v>170489.49471308637</v>
      </c>
    </row>
    <row r="6995" spans="2:2" ht="15.5" x14ac:dyDescent="0.35">
      <c r="B6995" s="853">
        <v>374386.32179860747</v>
      </c>
    </row>
    <row r="6996" spans="2:2" ht="15.5" x14ac:dyDescent="0.35">
      <c r="B6996" s="853">
        <v>513534.81291675061</v>
      </c>
    </row>
    <row r="6997" spans="2:2" ht="15.5" x14ac:dyDescent="0.35">
      <c r="B6997" s="853">
        <v>279089.74989467434</v>
      </c>
    </row>
    <row r="6998" spans="2:2" ht="15.5" x14ac:dyDescent="0.35">
      <c r="B6998" s="853">
        <v>326141.4544243259</v>
      </c>
    </row>
    <row r="6999" spans="2:2" ht="15.5" x14ac:dyDescent="0.35">
      <c r="B6999" s="853">
        <v>353444.33830254665</v>
      </c>
    </row>
    <row r="7000" spans="2:2" ht="15.5" x14ac:dyDescent="0.35">
      <c r="B7000" s="853">
        <v>402966.15274675499</v>
      </c>
    </row>
    <row r="7001" spans="2:2" ht="15.5" x14ac:dyDescent="0.35">
      <c r="B7001" s="853">
        <v>249332.83895189749</v>
      </c>
    </row>
    <row r="7002" spans="2:2" ht="15.5" x14ac:dyDescent="0.35">
      <c r="B7002" s="853">
        <v>356559.37094305916</v>
      </c>
    </row>
    <row r="7003" spans="2:2" ht="15.5" x14ac:dyDescent="0.35">
      <c r="B7003" s="853">
        <v>590569.2946564235</v>
      </c>
    </row>
    <row r="7004" spans="2:2" ht="15.5" x14ac:dyDescent="0.35">
      <c r="B7004" s="853">
        <v>409051.96716992412</v>
      </c>
    </row>
    <row r="7005" spans="2:2" ht="15.5" x14ac:dyDescent="0.35">
      <c r="B7005" s="853">
        <v>489079.17321638548</v>
      </c>
    </row>
    <row r="7006" spans="2:2" ht="15.5" x14ac:dyDescent="0.35">
      <c r="B7006" s="853">
        <v>255800.51675798369</v>
      </c>
    </row>
    <row r="7007" spans="2:2" ht="15.5" x14ac:dyDescent="0.35">
      <c r="B7007" s="853">
        <v>282301.69956665538</v>
      </c>
    </row>
    <row r="7008" spans="2:2" ht="15.5" x14ac:dyDescent="0.35">
      <c r="B7008" s="853">
        <v>519985.30527545378</v>
      </c>
    </row>
    <row r="7009" spans="2:2" ht="15.5" x14ac:dyDescent="0.35">
      <c r="B7009" s="853">
        <v>292287.36566330743</v>
      </c>
    </row>
    <row r="7010" spans="2:2" ht="15.5" x14ac:dyDescent="0.35">
      <c r="B7010" s="853">
        <v>263786.03150772466</v>
      </c>
    </row>
    <row r="7011" spans="2:2" ht="15.5" x14ac:dyDescent="0.35">
      <c r="B7011" s="853">
        <v>428899.24919327686</v>
      </c>
    </row>
    <row r="7012" spans="2:2" ht="15.5" x14ac:dyDescent="0.35">
      <c r="B7012" s="853">
        <v>505285.03147486609</v>
      </c>
    </row>
    <row r="7013" spans="2:2" ht="15.5" x14ac:dyDescent="0.35">
      <c r="B7013" s="853">
        <v>257410.82809320383</v>
      </c>
    </row>
    <row r="7014" spans="2:2" ht="15.5" x14ac:dyDescent="0.35">
      <c r="B7014" s="853">
        <v>395851.96320371947</v>
      </c>
    </row>
    <row r="7015" spans="2:2" ht="15.5" x14ac:dyDescent="0.35">
      <c r="B7015" s="853">
        <v>172304.31406067064</v>
      </c>
    </row>
    <row r="7016" spans="2:2" ht="15.5" x14ac:dyDescent="0.35">
      <c r="B7016" s="853">
        <v>440747.53869477747</v>
      </c>
    </row>
    <row r="7017" spans="2:2" ht="15.5" x14ac:dyDescent="0.35">
      <c r="B7017" s="853">
        <v>338640.30967758672</v>
      </c>
    </row>
    <row r="7018" spans="2:2" ht="15.5" x14ac:dyDescent="0.35">
      <c r="B7018" s="853">
        <v>474212.17811851599</v>
      </c>
    </row>
    <row r="7019" spans="2:2" ht="15.5" x14ac:dyDescent="0.35">
      <c r="B7019" s="853">
        <v>196617.43067214996</v>
      </c>
    </row>
    <row r="7020" spans="2:2" ht="15.5" x14ac:dyDescent="0.35">
      <c r="B7020" s="853">
        <v>296467.82827789336</v>
      </c>
    </row>
    <row r="7021" spans="2:2" ht="15.5" x14ac:dyDescent="0.35">
      <c r="B7021" s="853">
        <v>327242.51422801154</v>
      </c>
    </row>
    <row r="7022" spans="2:2" ht="15.5" x14ac:dyDescent="0.35">
      <c r="B7022" s="853">
        <v>144108.82654846014</v>
      </c>
    </row>
    <row r="7023" spans="2:2" ht="15.5" x14ac:dyDescent="0.35">
      <c r="B7023" s="853">
        <v>349729.93261613866</v>
      </c>
    </row>
    <row r="7024" spans="2:2" ht="15.5" x14ac:dyDescent="0.35">
      <c r="B7024" s="853">
        <v>141652.62021342228</v>
      </c>
    </row>
    <row r="7025" spans="2:2" ht="15.5" x14ac:dyDescent="0.35">
      <c r="B7025" s="853">
        <v>325356.66024638363</v>
      </c>
    </row>
    <row r="7026" spans="2:2" ht="15.5" x14ac:dyDescent="0.35">
      <c r="B7026" s="853">
        <v>141390.80670472572</v>
      </c>
    </row>
    <row r="7027" spans="2:2" ht="15.5" x14ac:dyDescent="0.35">
      <c r="B7027" s="853">
        <v>446015.39305020607</v>
      </c>
    </row>
    <row r="7028" spans="2:2" ht="15.5" x14ac:dyDescent="0.35">
      <c r="B7028" s="853">
        <v>454384.64736464788</v>
      </c>
    </row>
    <row r="7029" spans="2:2" ht="15.5" x14ac:dyDescent="0.35">
      <c r="B7029" s="853">
        <v>176750.03870193515</v>
      </c>
    </row>
    <row r="7030" spans="2:2" ht="15.5" x14ac:dyDescent="0.35">
      <c r="B7030" s="853">
        <v>318634.02275095874</v>
      </c>
    </row>
    <row r="7031" spans="2:2" ht="15.5" x14ac:dyDescent="0.35">
      <c r="B7031" s="853">
        <v>114576.11658314356</v>
      </c>
    </row>
    <row r="7032" spans="2:2" ht="15.5" x14ac:dyDescent="0.35">
      <c r="B7032" s="853">
        <v>444377.26270505029</v>
      </c>
    </row>
    <row r="7033" spans="2:2" ht="15.5" x14ac:dyDescent="0.35">
      <c r="B7033" s="853">
        <v>255142.31079145306</v>
      </c>
    </row>
    <row r="7034" spans="2:2" ht="15.5" x14ac:dyDescent="0.35">
      <c r="B7034" s="853">
        <v>306784.09141845116</v>
      </c>
    </row>
    <row r="7035" spans="2:2" ht="15.5" x14ac:dyDescent="0.35">
      <c r="B7035" s="853">
        <v>315701.25456670899</v>
      </c>
    </row>
    <row r="7036" spans="2:2" ht="15.5" x14ac:dyDescent="0.35">
      <c r="B7036" s="853">
        <v>460682.34011559957</v>
      </c>
    </row>
    <row r="7037" spans="2:2" ht="15.5" x14ac:dyDescent="0.35">
      <c r="B7037" s="853">
        <v>536604.64549564617</v>
      </c>
    </row>
    <row r="7038" spans="2:2" ht="15.5" x14ac:dyDescent="0.35">
      <c r="B7038" s="853">
        <v>294635.02527045755</v>
      </c>
    </row>
    <row r="7039" spans="2:2" ht="15.5" x14ac:dyDescent="0.35">
      <c r="B7039" s="853">
        <v>371914.84553313046</v>
      </c>
    </row>
    <row r="7040" spans="2:2" ht="15.5" x14ac:dyDescent="0.35">
      <c r="B7040" s="853">
        <v>542289.24219104426</v>
      </c>
    </row>
    <row r="7041" spans="2:2" ht="15.5" x14ac:dyDescent="0.35">
      <c r="B7041" s="853">
        <v>370085.01986848761</v>
      </c>
    </row>
    <row r="7042" spans="2:2" ht="15.5" x14ac:dyDescent="0.35">
      <c r="B7042" s="853">
        <v>177962.92166266055</v>
      </c>
    </row>
    <row r="7043" spans="2:2" ht="15.5" x14ac:dyDescent="0.35">
      <c r="B7043" s="853">
        <v>513288.81984074722</v>
      </c>
    </row>
    <row r="7044" spans="2:2" ht="15.5" x14ac:dyDescent="0.35">
      <c r="B7044" s="853">
        <v>430811.70079664997</v>
      </c>
    </row>
    <row r="7045" spans="2:2" ht="15.5" x14ac:dyDescent="0.35">
      <c r="B7045" s="853">
        <v>489151.29890957725</v>
      </c>
    </row>
    <row r="7046" spans="2:2" ht="15.5" x14ac:dyDescent="0.35">
      <c r="B7046" s="853">
        <v>239494.53466029812</v>
      </c>
    </row>
    <row r="7047" spans="2:2" ht="15.5" x14ac:dyDescent="0.35">
      <c r="B7047" s="853">
        <v>153654.37199659142</v>
      </c>
    </row>
    <row r="7048" spans="2:2" ht="15.5" x14ac:dyDescent="0.35">
      <c r="B7048" s="853">
        <v>267722.6359813654</v>
      </c>
    </row>
    <row r="7049" spans="2:2" ht="15.5" x14ac:dyDescent="0.35">
      <c r="B7049" s="853">
        <v>371294.89171476354</v>
      </c>
    </row>
    <row r="7050" spans="2:2" ht="15.5" x14ac:dyDescent="0.35">
      <c r="B7050" s="853">
        <v>325453.83733602724</v>
      </c>
    </row>
    <row r="7051" spans="2:2" ht="15.5" x14ac:dyDescent="0.35">
      <c r="B7051" s="853">
        <v>517701.42401913187</v>
      </c>
    </row>
    <row r="7052" spans="2:2" ht="15.5" x14ac:dyDescent="0.35">
      <c r="B7052" s="853">
        <v>393602.46721438254</v>
      </c>
    </row>
    <row r="7053" spans="2:2" ht="15.5" x14ac:dyDescent="0.35">
      <c r="B7053" s="853">
        <v>58319.629991203125</v>
      </c>
    </row>
    <row r="7054" spans="2:2" ht="15.5" x14ac:dyDescent="0.35">
      <c r="B7054" s="853">
        <v>493503.13037807116</v>
      </c>
    </row>
    <row r="7055" spans="2:2" ht="15.5" x14ac:dyDescent="0.35">
      <c r="B7055" s="853">
        <v>319347.63690983393</v>
      </c>
    </row>
    <row r="7056" spans="2:2" ht="15.5" x14ac:dyDescent="0.35">
      <c r="B7056" s="853">
        <v>107022.28920283182</v>
      </c>
    </row>
    <row r="7057" spans="2:2" ht="15.5" x14ac:dyDescent="0.35">
      <c r="B7057" s="853">
        <v>375938.65006393741</v>
      </c>
    </row>
    <row r="7058" spans="2:2" ht="15.5" x14ac:dyDescent="0.35">
      <c r="B7058" s="853">
        <v>665907.3427466891</v>
      </c>
    </row>
    <row r="7059" spans="2:2" ht="15.5" x14ac:dyDescent="0.35">
      <c r="B7059" s="853">
        <v>399857.05327517755</v>
      </c>
    </row>
    <row r="7060" spans="2:2" ht="15.5" x14ac:dyDescent="0.35">
      <c r="B7060" s="853">
        <v>553084.85130742728</v>
      </c>
    </row>
    <row r="7061" spans="2:2" ht="15.5" x14ac:dyDescent="0.35">
      <c r="B7061" s="853">
        <v>360829.97851348383</v>
      </c>
    </row>
    <row r="7062" spans="2:2" ht="15.5" x14ac:dyDescent="0.35">
      <c r="B7062" s="853">
        <v>50164.119081801444</v>
      </c>
    </row>
    <row r="7063" spans="2:2" ht="15.5" x14ac:dyDescent="0.35">
      <c r="B7063" s="853">
        <v>274393.23486185318</v>
      </c>
    </row>
    <row r="7064" spans="2:2" ht="15.5" x14ac:dyDescent="0.35">
      <c r="B7064" s="853">
        <v>394555.13900210359</v>
      </c>
    </row>
    <row r="7065" spans="2:2" ht="15.5" x14ac:dyDescent="0.35">
      <c r="B7065" s="853">
        <v>423196.45956957119</v>
      </c>
    </row>
    <row r="7066" spans="2:2" ht="15.5" x14ac:dyDescent="0.35">
      <c r="B7066" s="853">
        <v>338264.21773639013</v>
      </c>
    </row>
    <row r="7067" spans="2:2" ht="15.5" x14ac:dyDescent="0.35">
      <c r="B7067" s="853">
        <v>102808.09940060003</v>
      </c>
    </row>
    <row r="7068" spans="2:2" ht="15.5" x14ac:dyDescent="0.35">
      <c r="B7068" s="853">
        <v>-22598.239106559522</v>
      </c>
    </row>
    <row r="7069" spans="2:2" ht="15.5" x14ac:dyDescent="0.35">
      <c r="B7069" s="853">
        <v>467082.43510408473</v>
      </c>
    </row>
    <row r="7070" spans="2:2" ht="15.5" x14ac:dyDescent="0.35">
      <c r="B7070" s="853">
        <v>327315.06923462916</v>
      </c>
    </row>
    <row r="7071" spans="2:2" ht="15.5" x14ac:dyDescent="0.35">
      <c r="B7071" s="853">
        <v>17760.450510538176</v>
      </c>
    </row>
    <row r="7072" spans="2:2" ht="15.5" x14ac:dyDescent="0.35">
      <c r="B7072" s="853">
        <v>511555.36584180436</v>
      </c>
    </row>
    <row r="7073" spans="2:2" ht="15.5" x14ac:dyDescent="0.35">
      <c r="B7073" s="853">
        <v>214496.06043253155</v>
      </c>
    </row>
    <row r="7074" spans="2:2" ht="15.5" x14ac:dyDescent="0.35">
      <c r="B7074" s="853">
        <v>381752.59619462822</v>
      </c>
    </row>
    <row r="7075" spans="2:2" ht="15.5" x14ac:dyDescent="0.35">
      <c r="B7075" s="853">
        <v>199003.80311133381</v>
      </c>
    </row>
    <row r="7076" spans="2:2" ht="15.5" x14ac:dyDescent="0.35">
      <c r="B7076" s="853">
        <v>291012.52912475035</v>
      </c>
    </row>
    <row r="7077" spans="2:2" ht="15.5" x14ac:dyDescent="0.35">
      <c r="B7077" s="853">
        <v>273420.7806453082</v>
      </c>
    </row>
    <row r="7078" spans="2:2" ht="15.5" x14ac:dyDescent="0.35">
      <c r="B7078" s="853">
        <v>409895.60465962457</v>
      </c>
    </row>
    <row r="7079" spans="2:2" ht="15.5" x14ac:dyDescent="0.35">
      <c r="B7079" s="853">
        <v>251471.4253453383</v>
      </c>
    </row>
    <row r="7080" spans="2:2" ht="15.5" x14ac:dyDescent="0.35">
      <c r="B7080" s="853">
        <v>243447.70683463826</v>
      </c>
    </row>
    <row r="7081" spans="2:2" ht="15.5" x14ac:dyDescent="0.35">
      <c r="B7081" s="853">
        <v>185860.04356329667</v>
      </c>
    </row>
    <row r="7082" spans="2:2" ht="15.5" x14ac:dyDescent="0.35">
      <c r="B7082" s="853">
        <v>272639.43568208686</v>
      </c>
    </row>
    <row r="7083" spans="2:2" ht="15.5" x14ac:dyDescent="0.35">
      <c r="B7083" s="853">
        <v>277316.71560743934</v>
      </c>
    </row>
    <row r="7084" spans="2:2" ht="15.5" x14ac:dyDescent="0.35">
      <c r="B7084" s="853">
        <v>151997.06616920608</v>
      </c>
    </row>
    <row r="7085" spans="2:2" ht="15.5" x14ac:dyDescent="0.35">
      <c r="B7085" s="853">
        <v>64432.96293406983</v>
      </c>
    </row>
    <row r="7086" spans="2:2" ht="15.5" x14ac:dyDescent="0.35">
      <c r="B7086" s="853">
        <v>642262.49173723103</v>
      </c>
    </row>
    <row r="7087" spans="2:2" ht="15.5" x14ac:dyDescent="0.35">
      <c r="B7087" s="853">
        <v>705956.32425463293</v>
      </c>
    </row>
    <row r="7088" spans="2:2" ht="15.5" x14ac:dyDescent="0.35">
      <c r="B7088" s="853">
        <v>447904.01000759128</v>
      </c>
    </row>
    <row r="7089" spans="2:2" ht="15.5" x14ac:dyDescent="0.35">
      <c r="B7089" s="853">
        <v>269383.57320725732</v>
      </c>
    </row>
    <row r="7090" spans="2:2" ht="15.5" x14ac:dyDescent="0.35">
      <c r="B7090" s="853">
        <v>109835.72484773377</v>
      </c>
    </row>
    <row r="7091" spans="2:2" ht="15.5" x14ac:dyDescent="0.35">
      <c r="B7091" s="853">
        <v>391069.41250047961</v>
      </c>
    </row>
    <row r="7092" spans="2:2" ht="15.5" x14ac:dyDescent="0.35">
      <c r="B7092" s="853">
        <v>71685.669862113456</v>
      </c>
    </row>
    <row r="7093" spans="2:2" ht="15.5" x14ac:dyDescent="0.35">
      <c r="B7093" s="853">
        <v>144083.45019876811</v>
      </c>
    </row>
    <row r="7094" spans="2:2" ht="15.5" x14ac:dyDescent="0.35">
      <c r="B7094" s="853">
        <v>442424.6406170972</v>
      </c>
    </row>
    <row r="7095" spans="2:2" ht="15.5" x14ac:dyDescent="0.35">
      <c r="B7095" s="853">
        <v>285457.74955314351</v>
      </c>
    </row>
    <row r="7096" spans="2:2" ht="15.5" x14ac:dyDescent="0.35">
      <c r="B7096" s="853">
        <v>75171.919349922318</v>
      </c>
    </row>
    <row r="7097" spans="2:2" ht="15.5" x14ac:dyDescent="0.35">
      <c r="B7097" s="853">
        <v>241907.5954790813</v>
      </c>
    </row>
    <row r="7098" spans="2:2" ht="15.5" x14ac:dyDescent="0.35">
      <c r="B7098" s="853">
        <v>261568.49664560321</v>
      </c>
    </row>
    <row r="7099" spans="2:2" ht="15.5" x14ac:dyDescent="0.35">
      <c r="B7099" s="853">
        <v>421872.51690771669</v>
      </c>
    </row>
    <row r="7100" spans="2:2" ht="15.5" x14ac:dyDescent="0.35">
      <c r="B7100" s="853">
        <v>255287.61562489759</v>
      </c>
    </row>
    <row r="7101" spans="2:2" ht="15.5" x14ac:dyDescent="0.35">
      <c r="B7101" s="853">
        <v>352908.84735511953</v>
      </c>
    </row>
    <row r="7102" spans="2:2" ht="15.5" x14ac:dyDescent="0.35">
      <c r="B7102" s="853">
        <v>457475.44270198542</v>
      </c>
    </row>
    <row r="7103" spans="2:2" ht="15.5" x14ac:dyDescent="0.35">
      <c r="B7103" s="853">
        <v>248422.95706318141</v>
      </c>
    </row>
    <row r="7104" spans="2:2" ht="15.5" x14ac:dyDescent="0.35">
      <c r="B7104" s="853">
        <v>464740.26349989662</v>
      </c>
    </row>
    <row r="7105" spans="2:2" ht="15.5" x14ac:dyDescent="0.35">
      <c r="B7105" s="853">
        <v>409185.77404702967</v>
      </c>
    </row>
    <row r="7106" spans="2:2" ht="15.5" x14ac:dyDescent="0.35">
      <c r="B7106" s="853">
        <v>280516.07733218715</v>
      </c>
    </row>
    <row r="7107" spans="2:2" ht="15.5" x14ac:dyDescent="0.35">
      <c r="B7107" s="853">
        <v>269393.03913370089</v>
      </c>
    </row>
    <row r="7108" spans="2:2" ht="15.5" x14ac:dyDescent="0.35">
      <c r="B7108" s="853">
        <v>582200.37265725341</v>
      </c>
    </row>
    <row r="7109" spans="2:2" ht="15.5" x14ac:dyDescent="0.35">
      <c r="B7109" s="853">
        <v>257335.26412611525</v>
      </c>
    </row>
    <row r="7110" spans="2:2" ht="15.5" x14ac:dyDescent="0.35">
      <c r="B7110" s="853">
        <v>651337.89772791148</v>
      </c>
    </row>
    <row r="7111" spans="2:2" ht="15.5" x14ac:dyDescent="0.35">
      <c r="B7111" s="853">
        <v>326925.82635864557</v>
      </c>
    </row>
    <row r="7112" spans="2:2" ht="15.5" x14ac:dyDescent="0.35">
      <c r="B7112" s="853">
        <v>350027.14491230348</v>
      </c>
    </row>
    <row r="7113" spans="2:2" ht="15.5" x14ac:dyDescent="0.35">
      <c r="B7113" s="853">
        <v>308903.9672839886</v>
      </c>
    </row>
    <row r="7114" spans="2:2" ht="15.5" x14ac:dyDescent="0.35">
      <c r="B7114" s="853">
        <v>354025.0721859578</v>
      </c>
    </row>
    <row r="7115" spans="2:2" ht="15.5" x14ac:dyDescent="0.35">
      <c r="B7115" s="853">
        <v>730281.45566212083</v>
      </c>
    </row>
    <row r="7116" spans="2:2" ht="15.5" x14ac:dyDescent="0.35">
      <c r="B7116" s="853">
        <v>101445.60820791978</v>
      </c>
    </row>
    <row r="7117" spans="2:2" ht="15.5" x14ac:dyDescent="0.35">
      <c r="B7117" s="853">
        <v>178698.20424424123</v>
      </c>
    </row>
    <row r="7118" spans="2:2" ht="15.5" x14ac:dyDescent="0.35">
      <c r="B7118" s="853">
        <v>532835.00488266035</v>
      </c>
    </row>
    <row r="7119" spans="2:2" ht="15.5" x14ac:dyDescent="0.35">
      <c r="B7119" s="853">
        <v>287900.62964371126</v>
      </c>
    </row>
    <row r="7120" spans="2:2" ht="15.5" x14ac:dyDescent="0.35">
      <c r="B7120" s="853">
        <v>425218.04059867404</v>
      </c>
    </row>
    <row r="7121" spans="2:2" ht="15.5" x14ac:dyDescent="0.35">
      <c r="B7121" s="853">
        <v>217581.4258443414</v>
      </c>
    </row>
    <row r="7122" spans="2:2" ht="15.5" x14ac:dyDescent="0.35">
      <c r="B7122" s="853">
        <v>500245.8918552667</v>
      </c>
    </row>
    <row r="7123" spans="2:2" ht="15.5" x14ac:dyDescent="0.35">
      <c r="B7123" s="853">
        <v>357109.40106544428</v>
      </c>
    </row>
    <row r="7124" spans="2:2" ht="15.5" x14ac:dyDescent="0.35">
      <c r="B7124" s="853">
        <v>350693.94689870428</v>
      </c>
    </row>
    <row r="7125" spans="2:2" ht="15.5" x14ac:dyDescent="0.35">
      <c r="B7125" s="853">
        <v>527175.93093291204</v>
      </c>
    </row>
    <row r="7126" spans="2:2" ht="15.5" x14ac:dyDescent="0.35">
      <c r="B7126" s="853">
        <v>504296.18526097113</v>
      </c>
    </row>
    <row r="7127" spans="2:2" ht="15.5" x14ac:dyDescent="0.35">
      <c r="B7127" s="853">
        <v>217131.21592005331</v>
      </c>
    </row>
    <row r="7128" spans="2:2" ht="15.5" x14ac:dyDescent="0.35">
      <c r="B7128" s="853">
        <v>311329.23061669356</v>
      </c>
    </row>
    <row r="7129" spans="2:2" ht="15.5" x14ac:dyDescent="0.35">
      <c r="B7129" s="853">
        <v>164454.72278697693</v>
      </c>
    </row>
    <row r="7130" spans="2:2" ht="15.5" x14ac:dyDescent="0.35">
      <c r="B7130" s="853">
        <v>558988.87845208752</v>
      </c>
    </row>
    <row r="7131" spans="2:2" ht="15.5" x14ac:dyDescent="0.35">
      <c r="B7131" s="853">
        <v>458286.69064815284</v>
      </c>
    </row>
    <row r="7132" spans="2:2" ht="15.5" x14ac:dyDescent="0.35">
      <c r="B7132" s="853">
        <v>97562.434812693551</v>
      </c>
    </row>
    <row r="7133" spans="2:2" ht="15.5" x14ac:dyDescent="0.35">
      <c r="B7133" s="853">
        <v>340919.9721920556</v>
      </c>
    </row>
    <row r="7134" spans="2:2" ht="15.5" x14ac:dyDescent="0.35">
      <c r="B7134" s="853">
        <v>250257.04273988691</v>
      </c>
    </row>
    <row r="7135" spans="2:2" ht="15.5" x14ac:dyDescent="0.35">
      <c r="B7135" s="853">
        <v>268825.83781773137</v>
      </c>
    </row>
    <row r="7136" spans="2:2" ht="15.5" x14ac:dyDescent="0.35">
      <c r="B7136" s="853">
        <v>152913.96841550057</v>
      </c>
    </row>
    <row r="7137" spans="2:2" ht="15.5" x14ac:dyDescent="0.35">
      <c r="B7137" s="853">
        <v>26796.125860686756</v>
      </c>
    </row>
    <row r="7138" spans="2:2" ht="15.5" x14ac:dyDescent="0.35">
      <c r="B7138" s="853">
        <v>566011.07246601372</v>
      </c>
    </row>
    <row r="7139" spans="2:2" ht="15.5" x14ac:dyDescent="0.35">
      <c r="B7139" s="853">
        <v>323908.40629900282</v>
      </c>
    </row>
    <row r="7140" spans="2:2" ht="15.5" x14ac:dyDescent="0.35">
      <c r="B7140" s="853">
        <v>294572.99450246355</v>
      </c>
    </row>
    <row r="7141" spans="2:2" ht="15.5" x14ac:dyDescent="0.35">
      <c r="B7141" s="853">
        <v>206301.52864504149</v>
      </c>
    </row>
    <row r="7142" spans="2:2" ht="15.5" x14ac:dyDescent="0.35">
      <c r="B7142" s="853">
        <v>344479.85533750115</v>
      </c>
    </row>
    <row r="7143" spans="2:2" ht="15.5" x14ac:dyDescent="0.35">
      <c r="B7143" s="853">
        <v>253173.84043541356</v>
      </c>
    </row>
    <row r="7144" spans="2:2" ht="15.5" x14ac:dyDescent="0.35">
      <c r="B7144" s="853">
        <v>363810.43489454902</v>
      </c>
    </row>
    <row r="7145" spans="2:2" ht="15.5" x14ac:dyDescent="0.35">
      <c r="B7145" s="853">
        <v>200069.34233192599</v>
      </c>
    </row>
    <row r="7146" spans="2:2" ht="15.5" x14ac:dyDescent="0.35">
      <c r="B7146" s="853">
        <v>181208.11866255087</v>
      </c>
    </row>
    <row r="7147" spans="2:2" ht="15.5" x14ac:dyDescent="0.35">
      <c r="B7147" s="853">
        <v>430771.15506922366</v>
      </c>
    </row>
    <row r="7148" spans="2:2" ht="15.5" x14ac:dyDescent="0.35">
      <c r="B7148" s="853">
        <v>369608.22480864049</v>
      </c>
    </row>
    <row r="7149" spans="2:2" ht="15.5" x14ac:dyDescent="0.35">
      <c r="B7149" s="853">
        <v>664092.83890859061</v>
      </c>
    </row>
    <row r="7150" spans="2:2" ht="15.5" x14ac:dyDescent="0.35">
      <c r="B7150" s="853">
        <v>150067.16799370217</v>
      </c>
    </row>
    <row r="7151" spans="2:2" ht="15.5" x14ac:dyDescent="0.35">
      <c r="B7151" s="853">
        <v>287721.61494862277</v>
      </c>
    </row>
    <row r="7152" spans="2:2" ht="15.5" x14ac:dyDescent="0.35">
      <c r="B7152" s="853">
        <v>174791.67401388974</v>
      </c>
    </row>
    <row r="7153" spans="2:2" ht="15.5" x14ac:dyDescent="0.35">
      <c r="B7153" s="853">
        <v>454366.70545318909</v>
      </c>
    </row>
    <row r="7154" spans="2:2" ht="15.5" x14ac:dyDescent="0.35">
      <c r="B7154" s="853">
        <v>393973.15966163971</v>
      </c>
    </row>
    <row r="7155" spans="2:2" ht="15.5" x14ac:dyDescent="0.35">
      <c r="B7155" s="853">
        <v>286881.22026045457</v>
      </c>
    </row>
    <row r="7156" spans="2:2" ht="15.5" x14ac:dyDescent="0.35">
      <c r="B7156" s="853">
        <v>43721.89522088848</v>
      </c>
    </row>
    <row r="7157" spans="2:2" ht="15.5" x14ac:dyDescent="0.35">
      <c r="B7157" s="853">
        <v>184640.38140984025</v>
      </c>
    </row>
    <row r="7158" spans="2:2" ht="15.5" x14ac:dyDescent="0.35">
      <c r="B7158" s="853">
        <v>485929.5530414753</v>
      </c>
    </row>
    <row r="7159" spans="2:2" ht="15.5" x14ac:dyDescent="0.35">
      <c r="B7159" s="853">
        <v>619106.31521477457</v>
      </c>
    </row>
    <row r="7160" spans="2:2" ht="15.5" x14ac:dyDescent="0.35">
      <c r="B7160" s="853">
        <v>581709.96373033116</v>
      </c>
    </row>
    <row r="7161" spans="2:2" ht="15.5" x14ac:dyDescent="0.35">
      <c r="B7161" s="853">
        <v>217565.945958725</v>
      </c>
    </row>
    <row r="7162" spans="2:2" ht="15.5" x14ac:dyDescent="0.35">
      <c r="B7162" s="853">
        <v>416197.94700028078</v>
      </c>
    </row>
    <row r="7163" spans="2:2" ht="15.5" x14ac:dyDescent="0.35">
      <c r="B7163" s="853">
        <v>496103.39137639111</v>
      </c>
    </row>
    <row r="7164" spans="2:2" ht="15.5" x14ac:dyDescent="0.35">
      <c r="B7164" s="853">
        <v>442298.41434372717</v>
      </c>
    </row>
    <row r="7165" spans="2:2" ht="15.5" x14ac:dyDescent="0.35">
      <c r="B7165" s="853">
        <v>170268.43863768285</v>
      </c>
    </row>
    <row r="7166" spans="2:2" ht="15.5" x14ac:dyDescent="0.35">
      <c r="B7166" s="853">
        <v>469496.14686329954</v>
      </c>
    </row>
    <row r="7167" spans="2:2" ht="15.5" x14ac:dyDescent="0.35">
      <c r="B7167" s="853">
        <v>202780.33634176711</v>
      </c>
    </row>
    <row r="7168" spans="2:2" ht="15.5" x14ac:dyDescent="0.35">
      <c r="B7168" s="853">
        <v>341805.50567197864</v>
      </c>
    </row>
    <row r="7169" spans="2:2" ht="15.5" x14ac:dyDescent="0.35">
      <c r="B7169" s="853">
        <v>147476.04278282911</v>
      </c>
    </row>
    <row r="7170" spans="2:2" ht="15.5" x14ac:dyDescent="0.35">
      <c r="B7170" s="853">
        <v>341643.54177038599</v>
      </c>
    </row>
    <row r="7171" spans="2:2" ht="15.5" x14ac:dyDescent="0.35">
      <c r="B7171" s="853">
        <v>383736.69681527809</v>
      </c>
    </row>
    <row r="7172" spans="2:2" ht="15.5" x14ac:dyDescent="0.35">
      <c r="B7172" s="853">
        <v>220047.68970219966</v>
      </c>
    </row>
    <row r="7173" spans="2:2" ht="15.5" x14ac:dyDescent="0.35">
      <c r="B7173" s="853">
        <v>294544.45863599377</v>
      </c>
    </row>
    <row r="7174" spans="2:2" ht="15.5" x14ac:dyDescent="0.35">
      <c r="B7174" s="853">
        <v>409583.93671875866</v>
      </c>
    </row>
    <row r="7175" spans="2:2" ht="15.5" x14ac:dyDescent="0.35">
      <c r="B7175" s="853">
        <v>351078.85360700305</v>
      </c>
    </row>
    <row r="7176" spans="2:2" ht="15.5" x14ac:dyDescent="0.35">
      <c r="B7176" s="853">
        <v>381530.14080429281</v>
      </c>
    </row>
    <row r="7177" spans="2:2" ht="15.5" x14ac:dyDescent="0.35">
      <c r="B7177" s="853">
        <v>427874.54425560002</v>
      </c>
    </row>
    <row r="7178" spans="2:2" ht="15.5" x14ac:dyDescent="0.35">
      <c r="B7178" s="853">
        <v>63469.597277384302</v>
      </c>
    </row>
    <row r="7179" spans="2:2" ht="15.5" x14ac:dyDescent="0.35">
      <c r="B7179" s="853">
        <v>184735.48672937555</v>
      </c>
    </row>
    <row r="7180" spans="2:2" ht="15.5" x14ac:dyDescent="0.35">
      <c r="B7180" s="853">
        <v>171598.09375719973</v>
      </c>
    </row>
    <row r="7181" spans="2:2" ht="15.5" x14ac:dyDescent="0.35">
      <c r="B7181" s="853">
        <v>62692.716826621312</v>
      </c>
    </row>
    <row r="7182" spans="2:2" ht="15.5" x14ac:dyDescent="0.35">
      <c r="B7182" s="853">
        <v>98583.531678879037</v>
      </c>
    </row>
    <row r="7183" spans="2:2" ht="15.5" x14ac:dyDescent="0.35">
      <c r="B7183" s="853">
        <v>38976.055415988667</v>
      </c>
    </row>
    <row r="7184" spans="2:2" ht="15.5" x14ac:dyDescent="0.35">
      <c r="B7184" s="853">
        <v>207324.86020971555</v>
      </c>
    </row>
    <row r="7185" spans="2:2" ht="15.5" x14ac:dyDescent="0.35">
      <c r="B7185" s="853">
        <v>331215.88896582305</v>
      </c>
    </row>
    <row r="7186" spans="2:2" ht="15.5" x14ac:dyDescent="0.35">
      <c r="B7186" s="853">
        <v>88617.200193399491</v>
      </c>
    </row>
    <row r="7187" spans="2:2" ht="15.5" x14ac:dyDescent="0.35">
      <c r="B7187" s="853">
        <v>529269.69462810108</v>
      </c>
    </row>
    <row r="7188" spans="2:2" ht="15.5" x14ac:dyDescent="0.35">
      <c r="B7188" s="853">
        <v>96911.536550220015</v>
      </c>
    </row>
    <row r="7189" spans="2:2" ht="15.5" x14ac:dyDescent="0.35">
      <c r="B7189" s="853">
        <v>201271.79747505262</v>
      </c>
    </row>
    <row r="7190" spans="2:2" ht="15.5" x14ac:dyDescent="0.35">
      <c r="B7190" s="853">
        <v>118253.8803726146</v>
      </c>
    </row>
    <row r="7191" spans="2:2" ht="15.5" x14ac:dyDescent="0.35">
      <c r="B7191" s="853">
        <v>228189.08369484171</v>
      </c>
    </row>
    <row r="7192" spans="2:2" ht="15.5" x14ac:dyDescent="0.35">
      <c r="B7192" s="853">
        <v>486221.0436555348</v>
      </c>
    </row>
    <row r="7193" spans="2:2" ht="15.5" x14ac:dyDescent="0.35">
      <c r="B7193" s="853">
        <v>214210.34161776691</v>
      </c>
    </row>
    <row r="7194" spans="2:2" ht="15.5" x14ac:dyDescent="0.35">
      <c r="B7194" s="853">
        <v>510166.48942876857</v>
      </c>
    </row>
    <row r="7195" spans="2:2" ht="15.5" x14ac:dyDescent="0.35">
      <c r="B7195" s="853">
        <v>331878.84617824305</v>
      </c>
    </row>
    <row r="7196" spans="2:2" ht="15.5" x14ac:dyDescent="0.35">
      <c r="B7196" s="853">
        <v>195865.92805375828</v>
      </c>
    </row>
    <row r="7197" spans="2:2" ht="15.5" x14ac:dyDescent="0.35">
      <c r="B7197" s="853">
        <v>283468.1092717115</v>
      </c>
    </row>
    <row r="7198" spans="2:2" ht="15.5" x14ac:dyDescent="0.35">
      <c r="B7198" s="853">
        <v>251995.65164474063</v>
      </c>
    </row>
    <row r="7199" spans="2:2" ht="15.5" x14ac:dyDescent="0.35">
      <c r="B7199" s="853">
        <v>186214.69531031558</v>
      </c>
    </row>
    <row r="7200" spans="2:2" ht="15.5" x14ac:dyDescent="0.35">
      <c r="B7200" s="853">
        <v>373706.77329173818</v>
      </c>
    </row>
    <row r="7201" spans="2:2" ht="15.5" x14ac:dyDescent="0.35">
      <c r="B7201" s="853">
        <v>513747.58588645572</v>
      </c>
    </row>
    <row r="7202" spans="2:2" ht="15.5" x14ac:dyDescent="0.35">
      <c r="B7202" s="853">
        <v>226772.95877769525</v>
      </c>
    </row>
    <row r="7203" spans="2:2" ht="15.5" x14ac:dyDescent="0.35">
      <c r="B7203" s="853">
        <v>648608.81877369247</v>
      </c>
    </row>
    <row r="7204" spans="2:2" ht="15.5" x14ac:dyDescent="0.35">
      <c r="B7204" s="853">
        <v>194144.57626654388</v>
      </c>
    </row>
    <row r="7205" spans="2:2" ht="15.5" x14ac:dyDescent="0.35">
      <c r="B7205" s="853">
        <v>393862.253149211</v>
      </c>
    </row>
    <row r="7206" spans="2:2" ht="15.5" x14ac:dyDescent="0.35">
      <c r="B7206" s="853">
        <v>247255.87292674696</v>
      </c>
    </row>
    <row r="7207" spans="2:2" ht="15.5" x14ac:dyDescent="0.35">
      <c r="B7207" s="853">
        <v>374718.00602396077</v>
      </c>
    </row>
    <row r="7208" spans="2:2" ht="15.5" x14ac:dyDescent="0.35">
      <c r="B7208" s="853">
        <v>248419.12245372133</v>
      </c>
    </row>
    <row r="7209" spans="2:2" ht="15.5" x14ac:dyDescent="0.35">
      <c r="B7209" s="853">
        <v>366305.34040536295</v>
      </c>
    </row>
    <row r="7210" spans="2:2" ht="15.5" x14ac:dyDescent="0.35">
      <c r="B7210" s="853">
        <v>598097.05124986358</v>
      </c>
    </row>
    <row r="7211" spans="2:2" ht="15.5" x14ac:dyDescent="0.35">
      <c r="B7211" s="853">
        <v>126628.45868114484</v>
      </c>
    </row>
    <row r="7212" spans="2:2" ht="15.5" x14ac:dyDescent="0.35">
      <c r="B7212" s="853">
        <v>178286.68157427254</v>
      </c>
    </row>
    <row r="7213" spans="2:2" ht="15.5" x14ac:dyDescent="0.35">
      <c r="B7213" s="853">
        <v>398413.33207834401</v>
      </c>
    </row>
    <row r="7214" spans="2:2" ht="15.5" x14ac:dyDescent="0.35">
      <c r="B7214" s="853">
        <v>337190.23827307334</v>
      </c>
    </row>
    <row r="7215" spans="2:2" ht="15.5" x14ac:dyDescent="0.35">
      <c r="B7215" s="853">
        <v>605805.43789857649</v>
      </c>
    </row>
    <row r="7216" spans="2:2" ht="15.5" x14ac:dyDescent="0.35">
      <c r="B7216" s="853">
        <v>349724.00328704662</v>
      </c>
    </row>
    <row r="7217" spans="2:2" ht="15.5" x14ac:dyDescent="0.35">
      <c r="B7217" s="853">
        <v>322879.94858531852</v>
      </c>
    </row>
    <row r="7218" spans="2:2" ht="15.5" x14ac:dyDescent="0.35">
      <c r="B7218" s="853">
        <v>318977.59716888441</v>
      </c>
    </row>
    <row r="7219" spans="2:2" ht="15.5" x14ac:dyDescent="0.35">
      <c r="B7219" s="853">
        <v>513926.73648305557</v>
      </c>
    </row>
    <row r="7220" spans="2:2" ht="15.5" x14ac:dyDescent="0.35">
      <c r="B7220" s="853">
        <v>221032.52881625335</v>
      </c>
    </row>
    <row r="7221" spans="2:2" ht="15.5" x14ac:dyDescent="0.35">
      <c r="B7221" s="853">
        <v>280863.47590643808</v>
      </c>
    </row>
    <row r="7222" spans="2:2" ht="15.5" x14ac:dyDescent="0.35">
      <c r="B7222" s="853">
        <v>612145.98096023931</v>
      </c>
    </row>
    <row r="7223" spans="2:2" ht="15.5" x14ac:dyDescent="0.35">
      <c r="B7223" s="853">
        <v>212656.2368383946</v>
      </c>
    </row>
    <row r="7224" spans="2:2" ht="15.5" x14ac:dyDescent="0.35">
      <c r="B7224" s="853">
        <v>361713.14627900306</v>
      </c>
    </row>
    <row r="7225" spans="2:2" ht="15.5" x14ac:dyDescent="0.35">
      <c r="B7225" s="853">
        <v>373533.72993963386</v>
      </c>
    </row>
    <row r="7226" spans="2:2" ht="15.5" x14ac:dyDescent="0.35">
      <c r="B7226" s="853">
        <v>387050.13807198009</v>
      </c>
    </row>
    <row r="7227" spans="2:2" ht="15.5" x14ac:dyDescent="0.35">
      <c r="B7227" s="853">
        <v>92110.81373493193</v>
      </c>
    </row>
    <row r="7228" spans="2:2" ht="15.5" x14ac:dyDescent="0.35">
      <c r="B7228" s="853">
        <v>572147.75488695281</v>
      </c>
    </row>
    <row r="7229" spans="2:2" ht="15.5" x14ac:dyDescent="0.35">
      <c r="B7229" s="853">
        <v>230717.94511706062</v>
      </c>
    </row>
    <row r="7230" spans="2:2" ht="15.5" x14ac:dyDescent="0.35">
      <c r="B7230" s="853">
        <v>182366.75005276079</v>
      </c>
    </row>
    <row r="7231" spans="2:2" ht="15.5" x14ac:dyDescent="0.35">
      <c r="B7231" s="853">
        <v>258890.21124080158</v>
      </c>
    </row>
    <row r="7232" spans="2:2" ht="15.5" x14ac:dyDescent="0.35">
      <c r="B7232" s="853">
        <v>591320.0793587534</v>
      </c>
    </row>
    <row r="7233" spans="2:2" ht="15.5" x14ac:dyDescent="0.35">
      <c r="B7233" s="853">
        <v>266661.40462943225</v>
      </c>
    </row>
    <row r="7234" spans="2:2" ht="15.5" x14ac:dyDescent="0.35">
      <c r="B7234" s="853">
        <v>196876.73090805655</v>
      </c>
    </row>
    <row r="7235" spans="2:2" ht="15.5" x14ac:dyDescent="0.35">
      <c r="B7235" s="853">
        <v>609146.00572731986</v>
      </c>
    </row>
    <row r="7236" spans="2:2" ht="15.5" x14ac:dyDescent="0.35">
      <c r="B7236" s="853">
        <v>292993.30782837083</v>
      </c>
    </row>
    <row r="7237" spans="2:2" ht="15.5" x14ac:dyDescent="0.35">
      <c r="B7237" s="853">
        <v>175475.397265693</v>
      </c>
    </row>
    <row r="7238" spans="2:2" ht="15.5" x14ac:dyDescent="0.35">
      <c r="B7238" s="853">
        <v>194388.58111229597</v>
      </c>
    </row>
    <row r="7239" spans="2:2" ht="15.5" x14ac:dyDescent="0.35">
      <c r="B7239" s="853">
        <v>323402.60669528617</v>
      </c>
    </row>
    <row r="7240" spans="2:2" ht="15.5" x14ac:dyDescent="0.35">
      <c r="B7240" s="853">
        <v>326727.22039903369</v>
      </c>
    </row>
    <row r="7241" spans="2:2" ht="15.5" x14ac:dyDescent="0.35">
      <c r="B7241" s="853">
        <v>217630.05065416443</v>
      </c>
    </row>
    <row r="7242" spans="2:2" ht="15.5" x14ac:dyDescent="0.35">
      <c r="B7242" s="853">
        <v>292293.54927524406</v>
      </c>
    </row>
    <row r="7243" spans="2:2" ht="15.5" x14ac:dyDescent="0.35">
      <c r="B7243" s="853">
        <v>123214.48090863037</v>
      </c>
    </row>
    <row r="7244" spans="2:2" ht="15.5" x14ac:dyDescent="0.35">
      <c r="B7244" s="853">
        <v>110699.4452795055</v>
      </c>
    </row>
    <row r="7245" spans="2:2" ht="15.5" x14ac:dyDescent="0.35">
      <c r="B7245" s="853">
        <v>503262.88421362091</v>
      </c>
    </row>
    <row r="7246" spans="2:2" ht="15.5" x14ac:dyDescent="0.35">
      <c r="B7246" s="853">
        <v>469178.33897984575</v>
      </c>
    </row>
    <row r="7247" spans="2:2" ht="15.5" x14ac:dyDescent="0.35">
      <c r="B7247" s="853">
        <v>366243.35622589779</v>
      </c>
    </row>
    <row r="7248" spans="2:2" ht="15.5" x14ac:dyDescent="0.35">
      <c r="B7248" s="853">
        <v>340597.39835958823</v>
      </c>
    </row>
    <row r="7249" spans="2:2" ht="15.5" x14ac:dyDescent="0.35">
      <c r="B7249" s="853">
        <v>165456.27486993733</v>
      </c>
    </row>
    <row r="7250" spans="2:2" ht="15.5" x14ac:dyDescent="0.35">
      <c r="B7250" s="853">
        <v>330357.12397107633</v>
      </c>
    </row>
    <row r="7251" spans="2:2" ht="15.5" x14ac:dyDescent="0.35">
      <c r="B7251" s="853">
        <v>500917.92933370435</v>
      </c>
    </row>
    <row r="7252" spans="2:2" ht="15.5" x14ac:dyDescent="0.35">
      <c r="B7252" s="853">
        <v>185965.61856129713</v>
      </c>
    </row>
    <row r="7253" spans="2:2" ht="15.5" x14ac:dyDescent="0.35">
      <c r="B7253" s="853">
        <v>-11875.942663845422</v>
      </c>
    </row>
    <row r="7254" spans="2:2" ht="15.5" x14ac:dyDescent="0.35">
      <c r="B7254" s="853">
        <v>66613.358683211452</v>
      </c>
    </row>
    <row r="7255" spans="2:2" ht="15.5" x14ac:dyDescent="0.35">
      <c r="B7255" s="853">
        <v>311586.10468159139</v>
      </c>
    </row>
    <row r="7256" spans="2:2" ht="15.5" x14ac:dyDescent="0.35">
      <c r="B7256" s="853">
        <v>305475.40504338505</v>
      </c>
    </row>
    <row r="7257" spans="2:2" ht="15.5" x14ac:dyDescent="0.35">
      <c r="B7257" s="853">
        <v>67904.535839801276</v>
      </c>
    </row>
    <row r="7258" spans="2:2" ht="15.5" x14ac:dyDescent="0.35">
      <c r="B7258" s="853">
        <v>259185.39330737668</v>
      </c>
    </row>
    <row r="7259" spans="2:2" ht="15.5" x14ac:dyDescent="0.35">
      <c r="B7259" s="853">
        <v>326708.85324201512</v>
      </c>
    </row>
    <row r="7260" spans="2:2" ht="15.5" x14ac:dyDescent="0.35">
      <c r="B7260" s="853">
        <v>557029.70640123391</v>
      </c>
    </row>
    <row r="7261" spans="2:2" ht="15.5" x14ac:dyDescent="0.35">
      <c r="B7261" s="853">
        <v>496133.91160527046</v>
      </c>
    </row>
    <row r="7262" spans="2:2" ht="15.5" x14ac:dyDescent="0.35">
      <c r="B7262" s="853">
        <v>229790.24245538129</v>
      </c>
    </row>
    <row r="7263" spans="2:2" ht="15.5" x14ac:dyDescent="0.35">
      <c r="B7263" s="853">
        <v>530480.55782765523</v>
      </c>
    </row>
    <row r="7264" spans="2:2" ht="15.5" x14ac:dyDescent="0.35">
      <c r="B7264" s="853">
        <v>174044.76590672787</v>
      </c>
    </row>
    <row r="7265" spans="2:2" ht="15.5" x14ac:dyDescent="0.35">
      <c r="B7265" s="853">
        <v>164828.33034885788</v>
      </c>
    </row>
    <row r="7266" spans="2:2" ht="15.5" x14ac:dyDescent="0.35">
      <c r="B7266" s="853">
        <v>129900.21176925953</v>
      </c>
    </row>
    <row r="7267" spans="2:2" ht="15.5" x14ac:dyDescent="0.35">
      <c r="B7267" s="853">
        <v>139023.50328470281</v>
      </c>
    </row>
    <row r="7268" spans="2:2" ht="15.5" x14ac:dyDescent="0.35">
      <c r="B7268" s="853">
        <v>375658.04337989428</v>
      </c>
    </row>
    <row r="7269" spans="2:2" ht="15.5" x14ac:dyDescent="0.35">
      <c r="B7269" s="853">
        <v>350396.11718982417</v>
      </c>
    </row>
    <row r="7270" spans="2:2" ht="15.5" x14ac:dyDescent="0.35">
      <c r="B7270" s="853">
        <v>227903.77348482772</v>
      </c>
    </row>
    <row r="7271" spans="2:2" ht="15.5" x14ac:dyDescent="0.35">
      <c r="B7271" s="853">
        <v>434301.23831194965</v>
      </c>
    </row>
    <row r="7272" spans="2:2" ht="15.5" x14ac:dyDescent="0.35">
      <c r="B7272" s="853">
        <v>557981.36665594368</v>
      </c>
    </row>
    <row r="7273" spans="2:2" ht="15.5" x14ac:dyDescent="0.35">
      <c r="B7273" s="853">
        <v>551706.4338503445</v>
      </c>
    </row>
    <row r="7274" spans="2:2" ht="15.5" x14ac:dyDescent="0.35">
      <c r="B7274" s="853">
        <v>470794.44083087414</v>
      </c>
    </row>
    <row r="7275" spans="2:2" ht="15.5" x14ac:dyDescent="0.35">
      <c r="B7275" s="853">
        <v>255043.52798496812</v>
      </c>
    </row>
    <row r="7276" spans="2:2" ht="15.5" x14ac:dyDescent="0.35">
      <c r="B7276" s="853">
        <v>385246.67805293086</v>
      </c>
    </row>
    <row r="7277" spans="2:2" ht="15.5" x14ac:dyDescent="0.35">
      <c r="B7277" s="853">
        <v>386454.20282916748</v>
      </c>
    </row>
    <row r="7278" spans="2:2" ht="15.5" x14ac:dyDescent="0.35">
      <c r="B7278" s="853">
        <v>105229.10139709129</v>
      </c>
    </row>
    <row r="7279" spans="2:2" ht="15.5" x14ac:dyDescent="0.35">
      <c r="B7279" s="853">
        <v>115027.11847151413</v>
      </c>
    </row>
    <row r="7280" spans="2:2" ht="15.5" x14ac:dyDescent="0.35">
      <c r="B7280" s="853">
        <v>399900.61986781412</v>
      </c>
    </row>
    <row r="7281" spans="2:2" ht="15.5" x14ac:dyDescent="0.35">
      <c r="B7281" s="853">
        <v>253858.85950520012</v>
      </c>
    </row>
    <row r="7282" spans="2:2" ht="15.5" x14ac:dyDescent="0.35">
      <c r="B7282" s="853">
        <v>537196.81340676267</v>
      </c>
    </row>
    <row r="7283" spans="2:2" ht="15.5" x14ac:dyDescent="0.35">
      <c r="B7283" s="853">
        <v>182616.21398177854</v>
      </c>
    </row>
    <row r="7284" spans="2:2" ht="15.5" x14ac:dyDescent="0.35">
      <c r="B7284" s="853">
        <v>365148.27159765043</v>
      </c>
    </row>
    <row r="7285" spans="2:2" ht="15.5" x14ac:dyDescent="0.35">
      <c r="B7285" s="853">
        <v>147736.08048675323</v>
      </c>
    </row>
    <row r="7286" spans="2:2" ht="15.5" x14ac:dyDescent="0.35">
      <c r="B7286" s="853">
        <v>547411.14402624953</v>
      </c>
    </row>
    <row r="7287" spans="2:2" ht="15.5" x14ac:dyDescent="0.35">
      <c r="B7287" s="853">
        <v>335386.29948575067</v>
      </c>
    </row>
    <row r="7288" spans="2:2" ht="15.5" x14ac:dyDescent="0.35">
      <c r="B7288" s="853">
        <v>557988.25877832109</v>
      </c>
    </row>
    <row r="7289" spans="2:2" ht="15.5" x14ac:dyDescent="0.35">
      <c r="B7289" s="853">
        <v>405969.48535643797</v>
      </c>
    </row>
    <row r="7290" spans="2:2" ht="15.5" x14ac:dyDescent="0.35">
      <c r="B7290" s="853">
        <v>366151.48795384582</v>
      </c>
    </row>
    <row r="7291" spans="2:2" ht="15.5" x14ac:dyDescent="0.35">
      <c r="B7291" s="853">
        <v>504324.15046785335</v>
      </c>
    </row>
    <row r="7292" spans="2:2" ht="15.5" x14ac:dyDescent="0.35">
      <c r="B7292" s="853">
        <v>115343.9773190202</v>
      </c>
    </row>
    <row r="7293" spans="2:2" ht="15.5" x14ac:dyDescent="0.35">
      <c r="B7293" s="853">
        <v>324456.61685957573</v>
      </c>
    </row>
    <row r="7294" spans="2:2" ht="15.5" x14ac:dyDescent="0.35">
      <c r="B7294" s="853">
        <v>545012.17752421752</v>
      </c>
    </row>
    <row r="7295" spans="2:2" ht="15.5" x14ac:dyDescent="0.35">
      <c r="B7295" s="853">
        <v>345545.39765862789</v>
      </c>
    </row>
    <row r="7296" spans="2:2" ht="15.5" x14ac:dyDescent="0.35">
      <c r="B7296" s="853">
        <v>394549.14626439539</v>
      </c>
    </row>
    <row r="7297" spans="2:2" ht="15.5" x14ac:dyDescent="0.35">
      <c r="B7297" s="853">
        <v>339703.37201592873</v>
      </c>
    </row>
    <row r="7298" spans="2:2" ht="15.5" x14ac:dyDescent="0.35">
      <c r="B7298" s="853">
        <v>278482.72372622578</v>
      </c>
    </row>
    <row r="7299" spans="2:2" ht="15.5" x14ac:dyDescent="0.35">
      <c r="B7299" s="853">
        <v>322627.11103088659</v>
      </c>
    </row>
    <row r="7300" spans="2:2" ht="15.5" x14ac:dyDescent="0.35">
      <c r="B7300" s="853">
        <v>305574.4809384112</v>
      </c>
    </row>
    <row r="7301" spans="2:2" ht="15.5" x14ac:dyDescent="0.35">
      <c r="B7301" s="853">
        <v>373163.69842885359</v>
      </c>
    </row>
    <row r="7302" spans="2:2" ht="15.5" x14ac:dyDescent="0.35">
      <c r="B7302" s="853">
        <v>352672.03746351687</v>
      </c>
    </row>
    <row r="7303" spans="2:2" ht="15.5" x14ac:dyDescent="0.35">
      <c r="B7303" s="853">
        <v>-42377.786842031681</v>
      </c>
    </row>
    <row r="7304" spans="2:2" ht="15.5" x14ac:dyDescent="0.35">
      <c r="B7304" s="853">
        <v>352905.99921205593</v>
      </c>
    </row>
    <row r="7305" spans="2:2" ht="15.5" x14ac:dyDescent="0.35">
      <c r="B7305" s="853">
        <v>308753.27026837645</v>
      </c>
    </row>
    <row r="7306" spans="2:2" ht="15.5" x14ac:dyDescent="0.35">
      <c r="B7306" s="853">
        <v>101278.2681908485</v>
      </c>
    </row>
    <row r="7307" spans="2:2" ht="15.5" x14ac:dyDescent="0.35">
      <c r="B7307" s="853">
        <v>440324.68885053275</v>
      </c>
    </row>
    <row r="7308" spans="2:2" ht="15.5" x14ac:dyDescent="0.35">
      <c r="B7308" s="853">
        <v>549729.96052992356</v>
      </c>
    </row>
    <row r="7309" spans="2:2" ht="15.5" x14ac:dyDescent="0.35">
      <c r="B7309" s="853">
        <v>183209.04609078538</v>
      </c>
    </row>
    <row r="7310" spans="2:2" ht="15.5" x14ac:dyDescent="0.35">
      <c r="B7310" s="853">
        <v>246000.73628112258</v>
      </c>
    </row>
    <row r="7311" spans="2:2" ht="15.5" x14ac:dyDescent="0.35">
      <c r="B7311" s="853">
        <v>110504.49854143831</v>
      </c>
    </row>
    <row r="7312" spans="2:2" ht="15.5" x14ac:dyDescent="0.35">
      <c r="B7312" s="853">
        <v>456839.47282930609</v>
      </c>
    </row>
    <row r="7313" spans="2:2" ht="15.5" x14ac:dyDescent="0.35">
      <c r="B7313" s="853">
        <v>150139.7435671305</v>
      </c>
    </row>
    <row r="7314" spans="2:2" ht="15.5" x14ac:dyDescent="0.35">
      <c r="B7314" s="853">
        <v>459901.95156153315</v>
      </c>
    </row>
    <row r="7315" spans="2:2" ht="15.5" x14ac:dyDescent="0.35">
      <c r="B7315" s="853">
        <v>407518.02363118751</v>
      </c>
    </row>
    <row r="7316" spans="2:2" ht="15.5" x14ac:dyDescent="0.35">
      <c r="B7316" s="853">
        <v>284892.11525388603</v>
      </c>
    </row>
    <row r="7317" spans="2:2" ht="15.5" x14ac:dyDescent="0.35">
      <c r="B7317" s="853">
        <v>392520.71170487872</v>
      </c>
    </row>
    <row r="7318" spans="2:2" ht="15.5" x14ac:dyDescent="0.35">
      <c r="B7318" s="853">
        <v>-13637.474668289567</v>
      </c>
    </row>
    <row r="7319" spans="2:2" ht="15.5" x14ac:dyDescent="0.35">
      <c r="B7319" s="853">
        <v>346863.69478067599</v>
      </c>
    </row>
    <row r="7320" spans="2:2" ht="15.5" x14ac:dyDescent="0.35">
      <c r="B7320" s="853">
        <v>514082.74460289127</v>
      </c>
    </row>
    <row r="7321" spans="2:2" ht="15.5" x14ac:dyDescent="0.35">
      <c r="B7321" s="853">
        <v>272060.14833835769</v>
      </c>
    </row>
    <row r="7322" spans="2:2" ht="15.5" x14ac:dyDescent="0.35">
      <c r="B7322" s="853">
        <v>282021.03135298751</v>
      </c>
    </row>
    <row r="7323" spans="2:2" ht="15.5" x14ac:dyDescent="0.35">
      <c r="B7323" s="853">
        <v>114624.71068276463</v>
      </c>
    </row>
    <row r="7324" spans="2:2" ht="15.5" x14ac:dyDescent="0.35">
      <c r="B7324" s="853">
        <v>293846.3380024918</v>
      </c>
    </row>
    <row r="7325" spans="2:2" ht="15.5" x14ac:dyDescent="0.35">
      <c r="B7325" s="853">
        <v>249055.82587456904</v>
      </c>
    </row>
    <row r="7326" spans="2:2" ht="15.5" x14ac:dyDescent="0.35">
      <c r="B7326" s="853">
        <v>135594.79902853866</v>
      </c>
    </row>
    <row r="7327" spans="2:2" ht="15.5" x14ac:dyDescent="0.35">
      <c r="B7327" s="853">
        <v>166848.43775408092</v>
      </c>
    </row>
    <row r="7328" spans="2:2" ht="15.5" x14ac:dyDescent="0.35">
      <c r="B7328" s="853">
        <v>776076.68863048812</v>
      </c>
    </row>
    <row r="7329" spans="2:2" ht="15.5" x14ac:dyDescent="0.35">
      <c r="B7329" s="853">
        <v>174717.66886940779</v>
      </c>
    </row>
    <row r="7330" spans="2:2" ht="15.5" x14ac:dyDescent="0.35">
      <c r="B7330" s="853">
        <v>385544.71470305964</v>
      </c>
    </row>
    <row r="7331" spans="2:2" ht="15.5" x14ac:dyDescent="0.35">
      <c r="B7331" s="853">
        <v>476983.05102994107</v>
      </c>
    </row>
    <row r="7332" spans="2:2" ht="15.5" x14ac:dyDescent="0.35">
      <c r="B7332" s="853">
        <v>550388.06337790913</v>
      </c>
    </row>
    <row r="7333" spans="2:2" ht="15.5" x14ac:dyDescent="0.35">
      <c r="B7333" s="853">
        <v>280580.76052334852</v>
      </c>
    </row>
    <row r="7334" spans="2:2" ht="15.5" x14ac:dyDescent="0.35">
      <c r="B7334" s="853">
        <v>326060.25603796635</v>
      </c>
    </row>
    <row r="7335" spans="2:2" ht="15.5" x14ac:dyDescent="0.35">
      <c r="B7335" s="853">
        <v>515946.17823299568</v>
      </c>
    </row>
    <row r="7336" spans="2:2" ht="15.5" x14ac:dyDescent="0.35">
      <c r="B7336" s="853">
        <v>89263.00347174349</v>
      </c>
    </row>
    <row r="7337" spans="2:2" ht="15.5" x14ac:dyDescent="0.35">
      <c r="B7337" s="853">
        <v>367051.91658213688</v>
      </c>
    </row>
    <row r="7338" spans="2:2" ht="15.5" x14ac:dyDescent="0.35">
      <c r="B7338" s="853">
        <v>184502.11109518236</v>
      </c>
    </row>
    <row r="7339" spans="2:2" ht="15.5" x14ac:dyDescent="0.35">
      <c r="B7339" s="853">
        <v>324753.13501783408</v>
      </c>
    </row>
    <row r="7340" spans="2:2" ht="15.5" x14ac:dyDescent="0.35">
      <c r="B7340" s="853">
        <v>350214.27669754188</v>
      </c>
    </row>
    <row r="7341" spans="2:2" ht="15.5" x14ac:dyDescent="0.35">
      <c r="B7341" s="853">
        <v>465424.1707129876</v>
      </c>
    </row>
    <row r="7342" spans="2:2" ht="15.5" x14ac:dyDescent="0.35">
      <c r="B7342" s="853">
        <v>175369.38698206027</v>
      </c>
    </row>
    <row r="7343" spans="2:2" ht="15.5" x14ac:dyDescent="0.35">
      <c r="B7343" s="853">
        <v>287434.66920428351</v>
      </c>
    </row>
    <row r="7344" spans="2:2" ht="15.5" x14ac:dyDescent="0.35">
      <c r="B7344" s="853">
        <v>467556.62072675489</v>
      </c>
    </row>
    <row r="7345" spans="2:2" ht="15.5" x14ac:dyDescent="0.35">
      <c r="B7345" s="853">
        <v>438589.47942914895</v>
      </c>
    </row>
    <row r="7346" spans="2:2" ht="15.5" x14ac:dyDescent="0.35">
      <c r="B7346" s="853">
        <v>191020.40449675877</v>
      </c>
    </row>
    <row r="7347" spans="2:2" ht="15.5" x14ac:dyDescent="0.35">
      <c r="B7347" s="853">
        <v>362095.46392409125</v>
      </c>
    </row>
    <row r="7348" spans="2:2" ht="15.5" x14ac:dyDescent="0.35">
      <c r="B7348" s="853">
        <v>165083.28755258166</v>
      </c>
    </row>
    <row r="7349" spans="2:2" ht="15.5" x14ac:dyDescent="0.35">
      <c r="B7349" s="853">
        <v>134481.86312384607</v>
      </c>
    </row>
    <row r="7350" spans="2:2" ht="15.5" x14ac:dyDescent="0.35">
      <c r="B7350" s="853">
        <v>385883.05583580001</v>
      </c>
    </row>
    <row r="7351" spans="2:2" ht="15.5" x14ac:dyDescent="0.35">
      <c r="B7351" s="853">
        <v>16563.768506721997</v>
      </c>
    </row>
    <row r="7352" spans="2:2" ht="15.5" x14ac:dyDescent="0.35">
      <c r="B7352" s="853">
        <v>192871.99904125871</v>
      </c>
    </row>
    <row r="7353" spans="2:2" ht="15.5" x14ac:dyDescent="0.35">
      <c r="B7353" s="853">
        <v>221328.81169080714</v>
      </c>
    </row>
    <row r="7354" spans="2:2" ht="15.5" x14ac:dyDescent="0.35">
      <c r="B7354" s="853">
        <v>310196.06272924226</v>
      </c>
    </row>
    <row r="7355" spans="2:2" ht="15.5" x14ac:dyDescent="0.35">
      <c r="B7355" s="853">
        <v>135935.47684602943</v>
      </c>
    </row>
    <row r="7356" spans="2:2" ht="15.5" x14ac:dyDescent="0.35">
      <c r="B7356" s="853">
        <v>220259.05051467117</v>
      </c>
    </row>
    <row r="7357" spans="2:2" ht="15.5" x14ac:dyDescent="0.35">
      <c r="B7357" s="853">
        <v>198589.84087554624</v>
      </c>
    </row>
    <row r="7358" spans="2:2" ht="15.5" x14ac:dyDescent="0.35">
      <c r="B7358" s="853">
        <v>191907.40366582171</v>
      </c>
    </row>
    <row r="7359" spans="2:2" ht="15.5" x14ac:dyDescent="0.35">
      <c r="B7359" s="853">
        <v>180037.97852896419</v>
      </c>
    </row>
    <row r="7360" spans="2:2" ht="15.5" x14ac:dyDescent="0.35">
      <c r="B7360" s="853">
        <v>279124.2508582325</v>
      </c>
    </row>
    <row r="7361" spans="2:2" ht="15.5" x14ac:dyDescent="0.35">
      <c r="B7361" s="853">
        <v>443613.73222604743</v>
      </c>
    </row>
    <row r="7362" spans="2:2" ht="15.5" x14ac:dyDescent="0.35">
      <c r="B7362" s="853">
        <v>170755.92030406129</v>
      </c>
    </row>
    <row r="7363" spans="2:2" ht="15.5" x14ac:dyDescent="0.35">
      <c r="B7363" s="853">
        <v>235448.24089876164</v>
      </c>
    </row>
    <row r="7364" spans="2:2" ht="15.5" x14ac:dyDescent="0.35">
      <c r="B7364" s="853">
        <v>69924.01209130582</v>
      </c>
    </row>
    <row r="7365" spans="2:2" ht="15.5" x14ac:dyDescent="0.35">
      <c r="B7365" s="853">
        <v>465577.31867930287</v>
      </c>
    </row>
    <row r="7366" spans="2:2" ht="15.5" x14ac:dyDescent="0.35">
      <c r="B7366" s="853">
        <v>255115.10799256476</v>
      </c>
    </row>
    <row r="7367" spans="2:2" ht="15.5" x14ac:dyDescent="0.35">
      <c r="B7367" s="853">
        <v>235357.83974216622</v>
      </c>
    </row>
    <row r="7368" spans="2:2" ht="15.5" x14ac:dyDescent="0.35">
      <c r="B7368" s="853">
        <v>485596.98666875379</v>
      </c>
    </row>
    <row r="7369" spans="2:2" ht="15.5" x14ac:dyDescent="0.35">
      <c r="B7369" s="853">
        <v>382732.94662277144</v>
      </c>
    </row>
    <row r="7370" spans="2:2" ht="15.5" x14ac:dyDescent="0.35">
      <c r="B7370" s="853">
        <v>-45564.208023317646</v>
      </c>
    </row>
    <row r="7371" spans="2:2" ht="15.5" x14ac:dyDescent="0.35">
      <c r="B7371" s="853">
        <v>179246.10341987974</v>
      </c>
    </row>
    <row r="7372" spans="2:2" ht="15.5" x14ac:dyDescent="0.35">
      <c r="B7372" s="853">
        <v>196967.57343140035</v>
      </c>
    </row>
    <row r="7373" spans="2:2" ht="15.5" x14ac:dyDescent="0.35">
      <c r="B7373" s="853">
        <v>501033.09858075262</v>
      </c>
    </row>
    <row r="7374" spans="2:2" ht="15.5" x14ac:dyDescent="0.35">
      <c r="B7374" s="853">
        <v>-47722.48957181874</v>
      </c>
    </row>
    <row r="7375" spans="2:2" ht="15.5" x14ac:dyDescent="0.35">
      <c r="B7375" s="853">
        <v>497229.79120117892</v>
      </c>
    </row>
    <row r="7376" spans="2:2" ht="15.5" x14ac:dyDescent="0.35">
      <c r="B7376" s="853">
        <v>416501.5531485831</v>
      </c>
    </row>
    <row r="7377" spans="2:2" ht="15.5" x14ac:dyDescent="0.35">
      <c r="B7377" s="853">
        <v>150050.02801095077</v>
      </c>
    </row>
    <row r="7378" spans="2:2" ht="15.5" x14ac:dyDescent="0.35">
      <c r="B7378" s="853">
        <v>64516.631250423539</v>
      </c>
    </row>
    <row r="7379" spans="2:2" ht="15.5" x14ac:dyDescent="0.35">
      <c r="B7379" s="853">
        <v>311227.89825628046</v>
      </c>
    </row>
    <row r="7380" spans="2:2" ht="15.5" x14ac:dyDescent="0.35">
      <c r="B7380" s="853">
        <v>382749.53234690888</v>
      </c>
    </row>
    <row r="7381" spans="2:2" ht="15.5" x14ac:dyDescent="0.35">
      <c r="B7381" s="853">
        <v>302796.75417283189</v>
      </c>
    </row>
    <row r="7382" spans="2:2" ht="15.5" x14ac:dyDescent="0.35">
      <c r="B7382" s="853">
        <v>299036.44313517946</v>
      </c>
    </row>
    <row r="7383" spans="2:2" ht="15.5" x14ac:dyDescent="0.35">
      <c r="B7383" s="853">
        <v>317880.98839314637</v>
      </c>
    </row>
    <row r="7384" spans="2:2" ht="15.5" x14ac:dyDescent="0.35">
      <c r="B7384" s="853">
        <v>386411.40727693524</v>
      </c>
    </row>
    <row r="7385" spans="2:2" ht="15.5" x14ac:dyDescent="0.35">
      <c r="B7385" s="853">
        <v>428745.85097104334</v>
      </c>
    </row>
    <row r="7386" spans="2:2" ht="15.5" x14ac:dyDescent="0.35">
      <c r="B7386" s="853">
        <v>381991.89362522151</v>
      </c>
    </row>
    <row r="7387" spans="2:2" ht="15.5" x14ac:dyDescent="0.35">
      <c r="B7387" s="853">
        <v>326638.6848138622</v>
      </c>
    </row>
    <row r="7388" spans="2:2" ht="15.5" x14ac:dyDescent="0.35">
      <c r="B7388" s="853">
        <v>440607.11770420644</v>
      </c>
    </row>
    <row r="7389" spans="2:2" ht="15.5" x14ac:dyDescent="0.35">
      <c r="B7389" s="853">
        <v>236887.56823324962</v>
      </c>
    </row>
    <row r="7390" spans="2:2" ht="15.5" x14ac:dyDescent="0.35">
      <c r="B7390" s="853">
        <v>244486.34899603465</v>
      </c>
    </row>
    <row r="7391" spans="2:2" ht="15.5" x14ac:dyDescent="0.35">
      <c r="B7391" s="853">
        <v>220036.00769706996</v>
      </c>
    </row>
    <row r="7392" spans="2:2" ht="15.5" x14ac:dyDescent="0.35">
      <c r="B7392" s="853">
        <v>199454.3667851068</v>
      </c>
    </row>
    <row r="7393" spans="2:2" ht="15.5" x14ac:dyDescent="0.35">
      <c r="B7393" s="853">
        <v>422213.11215547437</v>
      </c>
    </row>
    <row r="7394" spans="2:2" ht="15.5" x14ac:dyDescent="0.35">
      <c r="B7394" s="853">
        <v>180317.58440025608</v>
      </c>
    </row>
    <row r="7395" spans="2:2" ht="15.5" x14ac:dyDescent="0.35">
      <c r="B7395" s="853">
        <v>160793.29419620705</v>
      </c>
    </row>
    <row r="7396" spans="2:2" ht="15.5" x14ac:dyDescent="0.35">
      <c r="B7396" s="853">
        <v>337851.056912</v>
      </c>
    </row>
    <row r="7397" spans="2:2" ht="15.5" x14ac:dyDescent="0.35">
      <c r="B7397" s="853">
        <v>485722.00003292016</v>
      </c>
    </row>
    <row r="7398" spans="2:2" ht="15.5" x14ac:dyDescent="0.35">
      <c r="B7398" s="853">
        <v>325754.47990338336</v>
      </c>
    </row>
    <row r="7399" spans="2:2" ht="15.5" x14ac:dyDescent="0.35">
      <c r="B7399" s="853">
        <v>302451.73268074053</v>
      </c>
    </row>
    <row r="7400" spans="2:2" ht="15.5" x14ac:dyDescent="0.35">
      <c r="B7400" s="853">
        <v>200794.07737281677</v>
      </c>
    </row>
    <row r="7401" spans="2:2" ht="15.5" x14ac:dyDescent="0.35">
      <c r="B7401" s="853">
        <v>321916.92292771558</v>
      </c>
    </row>
    <row r="7402" spans="2:2" ht="15.5" x14ac:dyDescent="0.35">
      <c r="B7402" s="853">
        <v>141392.57728729237</v>
      </c>
    </row>
    <row r="7403" spans="2:2" ht="15.5" x14ac:dyDescent="0.35">
      <c r="B7403" s="853">
        <v>346390.02526311151</v>
      </c>
    </row>
    <row r="7404" spans="2:2" ht="15.5" x14ac:dyDescent="0.35">
      <c r="B7404" s="853">
        <v>275280.79773366434</v>
      </c>
    </row>
    <row r="7405" spans="2:2" ht="15.5" x14ac:dyDescent="0.35">
      <c r="B7405" s="853">
        <v>436405.98978113901</v>
      </c>
    </row>
    <row r="7406" spans="2:2" ht="15.5" x14ac:dyDescent="0.35">
      <c r="B7406" s="853">
        <v>606403.8483696914</v>
      </c>
    </row>
    <row r="7407" spans="2:2" ht="15.5" x14ac:dyDescent="0.35">
      <c r="B7407" s="853">
        <v>160833.62856593225</v>
      </c>
    </row>
    <row r="7408" spans="2:2" ht="15.5" x14ac:dyDescent="0.35">
      <c r="B7408" s="853">
        <v>296132.15291891259</v>
      </c>
    </row>
    <row r="7409" spans="2:2" ht="15.5" x14ac:dyDescent="0.35">
      <c r="B7409" s="853">
        <v>47250.20762732307</v>
      </c>
    </row>
    <row r="7410" spans="2:2" ht="15.5" x14ac:dyDescent="0.35">
      <c r="B7410" s="853">
        <v>255042.96192876436</v>
      </c>
    </row>
    <row r="7411" spans="2:2" ht="15.5" x14ac:dyDescent="0.35">
      <c r="B7411" s="853">
        <v>523996.7148621353</v>
      </c>
    </row>
    <row r="7412" spans="2:2" ht="15.5" x14ac:dyDescent="0.35">
      <c r="B7412" s="853">
        <v>212240.44080285734</v>
      </c>
    </row>
    <row r="7413" spans="2:2" ht="15.5" x14ac:dyDescent="0.35">
      <c r="B7413" s="853">
        <v>432233.10848971433</v>
      </c>
    </row>
    <row r="7414" spans="2:2" ht="15.5" x14ac:dyDescent="0.35">
      <c r="B7414" s="853">
        <v>303807.6974134483</v>
      </c>
    </row>
    <row r="7415" spans="2:2" ht="15.5" x14ac:dyDescent="0.35">
      <c r="B7415" s="853">
        <v>180422.26489175527</v>
      </c>
    </row>
    <row r="7416" spans="2:2" ht="15.5" x14ac:dyDescent="0.35">
      <c r="B7416" s="853">
        <v>467313.85228807072</v>
      </c>
    </row>
    <row r="7417" spans="2:2" ht="15.5" x14ac:dyDescent="0.35">
      <c r="B7417" s="853">
        <v>157083.42439789121</v>
      </c>
    </row>
    <row r="7418" spans="2:2" ht="15.5" x14ac:dyDescent="0.35">
      <c r="B7418" s="853">
        <v>361482.60510740412</v>
      </c>
    </row>
    <row r="7419" spans="2:2" ht="15.5" x14ac:dyDescent="0.35">
      <c r="B7419" s="853">
        <v>219680.7137249879</v>
      </c>
    </row>
    <row r="7420" spans="2:2" ht="15.5" x14ac:dyDescent="0.35">
      <c r="B7420" s="853">
        <v>259836.5292871462</v>
      </c>
    </row>
    <row r="7421" spans="2:2" ht="15.5" x14ac:dyDescent="0.35">
      <c r="B7421" s="853">
        <v>312239.59661065519</v>
      </c>
    </row>
    <row r="7422" spans="2:2" ht="15.5" x14ac:dyDescent="0.35">
      <c r="B7422" s="853">
        <v>387659.38217982341</v>
      </c>
    </row>
    <row r="7423" spans="2:2" ht="15.5" x14ac:dyDescent="0.35">
      <c r="B7423" s="853">
        <v>164482.18493549654</v>
      </c>
    </row>
    <row r="7424" spans="2:2" ht="15.5" x14ac:dyDescent="0.35">
      <c r="B7424" s="853">
        <v>151343.57359502238</v>
      </c>
    </row>
    <row r="7425" spans="2:2" ht="15.5" x14ac:dyDescent="0.35">
      <c r="B7425" s="853">
        <v>478471.43640941667</v>
      </c>
    </row>
    <row r="7426" spans="2:2" ht="15.5" x14ac:dyDescent="0.35">
      <c r="B7426" s="853">
        <v>420451.01654485002</v>
      </c>
    </row>
    <row r="7427" spans="2:2" ht="15.5" x14ac:dyDescent="0.35">
      <c r="B7427" s="853">
        <v>204628.83593842949</v>
      </c>
    </row>
    <row r="7428" spans="2:2" ht="15.5" x14ac:dyDescent="0.35">
      <c r="B7428" s="853">
        <v>400265.03027338575</v>
      </c>
    </row>
    <row r="7429" spans="2:2" ht="15.5" x14ac:dyDescent="0.35">
      <c r="B7429" s="853">
        <v>184873.13064557704</v>
      </c>
    </row>
    <row r="7430" spans="2:2" ht="15.5" x14ac:dyDescent="0.35">
      <c r="B7430" s="853">
        <v>177721.94999764397</v>
      </c>
    </row>
    <row r="7431" spans="2:2" ht="15.5" x14ac:dyDescent="0.35">
      <c r="B7431" s="853">
        <v>282123.92718345823</v>
      </c>
    </row>
    <row r="7432" spans="2:2" ht="15.5" x14ac:dyDescent="0.35">
      <c r="B7432" s="853">
        <v>308976.98356791638</v>
      </c>
    </row>
    <row r="7433" spans="2:2" ht="15.5" x14ac:dyDescent="0.35">
      <c r="B7433" s="853">
        <v>215876.61698162943</v>
      </c>
    </row>
    <row r="7434" spans="2:2" ht="15.5" x14ac:dyDescent="0.35">
      <c r="B7434" s="853">
        <v>289961.90333789244</v>
      </c>
    </row>
    <row r="7435" spans="2:2" ht="15.5" x14ac:dyDescent="0.35">
      <c r="B7435" s="853">
        <v>78394.791064023564</v>
      </c>
    </row>
    <row r="7436" spans="2:2" ht="15.5" x14ac:dyDescent="0.35">
      <c r="B7436" s="853">
        <v>286586.27057456487</v>
      </c>
    </row>
    <row r="7437" spans="2:2" ht="15.5" x14ac:dyDescent="0.35">
      <c r="B7437" s="853">
        <v>343173.42697530088</v>
      </c>
    </row>
    <row r="7438" spans="2:2" ht="15.5" x14ac:dyDescent="0.35">
      <c r="B7438" s="853">
        <v>322499.72833932826</v>
      </c>
    </row>
    <row r="7439" spans="2:2" ht="15.5" x14ac:dyDescent="0.35">
      <c r="B7439" s="853">
        <v>347220.107686289</v>
      </c>
    </row>
    <row r="7440" spans="2:2" ht="15.5" x14ac:dyDescent="0.35">
      <c r="B7440" s="853">
        <v>433303.92800567014</v>
      </c>
    </row>
    <row r="7441" spans="2:2" ht="15.5" x14ac:dyDescent="0.35">
      <c r="B7441" s="853">
        <v>195280.46388455326</v>
      </c>
    </row>
    <row r="7442" spans="2:2" ht="15.5" x14ac:dyDescent="0.35">
      <c r="B7442" s="853">
        <v>223265.96882603221</v>
      </c>
    </row>
    <row r="7443" spans="2:2" ht="15.5" x14ac:dyDescent="0.35">
      <c r="B7443" s="853">
        <v>513474.05833470676</v>
      </c>
    </row>
    <row r="7444" spans="2:2" ht="15.5" x14ac:dyDescent="0.35">
      <c r="B7444" s="853">
        <v>360655.89178976958</v>
      </c>
    </row>
    <row r="7445" spans="2:2" ht="15.5" x14ac:dyDescent="0.35">
      <c r="B7445" s="853">
        <v>223356.08264946312</v>
      </c>
    </row>
    <row r="7446" spans="2:2" ht="15.5" x14ac:dyDescent="0.35">
      <c r="B7446" s="853">
        <v>232297.14783955604</v>
      </c>
    </row>
    <row r="7447" spans="2:2" ht="15.5" x14ac:dyDescent="0.35">
      <c r="B7447" s="853">
        <v>210463.58009537883</v>
      </c>
    </row>
    <row r="7448" spans="2:2" ht="15.5" x14ac:dyDescent="0.35">
      <c r="B7448" s="853">
        <v>427712.66491683986</v>
      </c>
    </row>
    <row r="7449" spans="2:2" ht="15.5" x14ac:dyDescent="0.35">
      <c r="B7449" s="853">
        <v>254133.09126696404</v>
      </c>
    </row>
    <row r="7450" spans="2:2" ht="15.5" x14ac:dyDescent="0.35">
      <c r="B7450" s="853">
        <v>571969.74810384179</v>
      </c>
    </row>
    <row r="7451" spans="2:2" ht="15.5" x14ac:dyDescent="0.35">
      <c r="B7451" s="853">
        <v>157405.29870001881</v>
      </c>
    </row>
    <row r="7452" spans="2:2" ht="15.5" x14ac:dyDescent="0.35">
      <c r="B7452" s="853">
        <v>132594.99513385058</v>
      </c>
    </row>
    <row r="7453" spans="2:2" ht="15.5" x14ac:dyDescent="0.35">
      <c r="B7453" s="853">
        <v>351290.8199241531</v>
      </c>
    </row>
    <row r="7454" spans="2:2" ht="15.5" x14ac:dyDescent="0.35">
      <c r="B7454" s="853">
        <v>566633.96890450967</v>
      </c>
    </row>
    <row r="7455" spans="2:2" ht="15.5" x14ac:dyDescent="0.35">
      <c r="B7455" s="853">
        <v>198273.37954222679</v>
      </c>
    </row>
    <row r="7456" spans="2:2" ht="15.5" x14ac:dyDescent="0.35">
      <c r="B7456" s="853">
        <v>419625.79762051825</v>
      </c>
    </row>
    <row r="7457" spans="2:2" ht="15.5" x14ac:dyDescent="0.35">
      <c r="B7457" s="853">
        <v>252270.84553022234</v>
      </c>
    </row>
    <row r="7458" spans="2:2" ht="15.5" x14ac:dyDescent="0.35">
      <c r="B7458" s="853">
        <v>330248.6839256761</v>
      </c>
    </row>
    <row r="7459" spans="2:2" ht="15.5" x14ac:dyDescent="0.35">
      <c r="B7459" s="853">
        <v>366494.74682095193</v>
      </c>
    </row>
    <row r="7460" spans="2:2" ht="15.5" x14ac:dyDescent="0.35">
      <c r="B7460" s="853">
        <v>301590.8854325632</v>
      </c>
    </row>
    <row r="7461" spans="2:2" ht="15.5" x14ac:dyDescent="0.35">
      <c r="B7461" s="853">
        <v>-54081.733851087527</v>
      </c>
    </row>
    <row r="7462" spans="2:2" ht="15.5" x14ac:dyDescent="0.35">
      <c r="B7462" s="853">
        <v>533387.48927739065</v>
      </c>
    </row>
    <row r="7463" spans="2:2" ht="15.5" x14ac:dyDescent="0.35">
      <c r="B7463" s="853">
        <v>335282.94307916827</v>
      </c>
    </row>
    <row r="7464" spans="2:2" ht="15.5" x14ac:dyDescent="0.35">
      <c r="B7464" s="853">
        <v>107406.69173426408</v>
      </c>
    </row>
    <row r="7465" spans="2:2" ht="15.5" x14ac:dyDescent="0.35">
      <c r="B7465" s="853">
        <v>223082.54256707136</v>
      </c>
    </row>
    <row r="7466" spans="2:2" ht="15.5" x14ac:dyDescent="0.35">
      <c r="B7466" s="853">
        <v>343568.13959826605</v>
      </c>
    </row>
    <row r="7467" spans="2:2" ht="15.5" x14ac:dyDescent="0.35">
      <c r="B7467" s="853">
        <v>210282.4567382074</v>
      </c>
    </row>
    <row r="7468" spans="2:2" ht="15.5" x14ac:dyDescent="0.35">
      <c r="B7468" s="853">
        <v>326866.30163562059</v>
      </c>
    </row>
    <row r="7469" spans="2:2" ht="15.5" x14ac:dyDescent="0.35">
      <c r="B7469" s="853">
        <v>308414.23713304428</v>
      </c>
    </row>
    <row r="7470" spans="2:2" ht="15.5" x14ac:dyDescent="0.35">
      <c r="B7470" s="853">
        <v>460128.36605608102</v>
      </c>
    </row>
    <row r="7471" spans="2:2" ht="15.5" x14ac:dyDescent="0.35">
      <c r="B7471" s="853">
        <v>156538.12246094149</v>
      </c>
    </row>
    <row r="7472" spans="2:2" ht="15.5" x14ac:dyDescent="0.35">
      <c r="B7472" s="853">
        <v>134244.76685949753</v>
      </c>
    </row>
    <row r="7473" spans="2:2" ht="15.5" x14ac:dyDescent="0.35">
      <c r="B7473" s="853">
        <v>343537.81468342082</v>
      </c>
    </row>
    <row r="7474" spans="2:2" ht="15.5" x14ac:dyDescent="0.35">
      <c r="B7474" s="853">
        <v>173765.24031804895</v>
      </c>
    </row>
    <row r="7475" spans="2:2" ht="15.5" x14ac:dyDescent="0.35">
      <c r="B7475" s="853">
        <v>202960.44301719626</v>
      </c>
    </row>
    <row r="7476" spans="2:2" ht="15.5" x14ac:dyDescent="0.35">
      <c r="B7476" s="853">
        <v>85279.292944040149</v>
      </c>
    </row>
    <row r="7477" spans="2:2" ht="15.5" x14ac:dyDescent="0.35">
      <c r="B7477" s="853">
        <v>375543.01474494219</v>
      </c>
    </row>
    <row r="7478" spans="2:2" ht="15.5" x14ac:dyDescent="0.35">
      <c r="B7478" s="853">
        <v>210384.77168068042</v>
      </c>
    </row>
    <row r="7479" spans="2:2" ht="15.5" x14ac:dyDescent="0.35">
      <c r="B7479" s="853">
        <v>168546.75707394799</v>
      </c>
    </row>
    <row r="7480" spans="2:2" ht="15.5" x14ac:dyDescent="0.35">
      <c r="B7480" s="853">
        <v>59447.644117252188</v>
      </c>
    </row>
    <row r="7481" spans="2:2" ht="15.5" x14ac:dyDescent="0.35">
      <c r="B7481" s="853">
        <v>182830.82786130832</v>
      </c>
    </row>
    <row r="7482" spans="2:2" ht="15.5" x14ac:dyDescent="0.35">
      <c r="B7482" s="853">
        <v>172341.27086883478</v>
      </c>
    </row>
    <row r="7483" spans="2:2" ht="15.5" x14ac:dyDescent="0.35">
      <c r="B7483" s="853">
        <v>379739.30718365434</v>
      </c>
    </row>
    <row r="7484" spans="2:2" ht="15.5" x14ac:dyDescent="0.35">
      <c r="B7484" s="853">
        <v>412408.53124488343</v>
      </c>
    </row>
    <row r="7485" spans="2:2" ht="15.5" x14ac:dyDescent="0.35">
      <c r="B7485" s="853">
        <v>280573.31167413434</v>
      </c>
    </row>
    <row r="7486" spans="2:2" ht="15.5" x14ac:dyDescent="0.35">
      <c r="B7486" s="853">
        <v>358204.8273555304</v>
      </c>
    </row>
    <row r="7487" spans="2:2" ht="15.5" x14ac:dyDescent="0.35">
      <c r="B7487" s="853">
        <v>272795.14856334549</v>
      </c>
    </row>
    <row r="7488" spans="2:2" ht="15.5" x14ac:dyDescent="0.35">
      <c r="B7488" s="853">
        <v>426279.2894095977</v>
      </c>
    </row>
    <row r="7489" spans="2:2" ht="15.5" x14ac:dyDescent="0.35">
      <c r="B7489" s="853">
        <v>435043.45576395234</v>
      </c>
    </row>
    <row r="7490" spans="2:2" ht="15.5" x14ac:dyDescent="0.35">
      <c r="B7490" s="853">
        <v>489958.44516451651</v>
      </c>
    </row>
    <row r="7491" spans="2:2" ht="15.5" x14ac:dyDescent="0.35">
      <c r="B7491" s="853">
        <v>328322.50934270635</v>
      </c>
    </row>
    <row r="7492" spans="2:2" ht="15.5" x14ac:dyDescent="0.35">
      <c r="B7492" s="853">
        <v>249921.89288249629</v>
      </c>
    </row>
    <row r="7493" spans="2:2" ht="15.5" x14ac:dyDescent="0.35">
      <c r="B7493" s="853">
        <v>194487.11069789127</v>
      </c>
    </row>
    <row r="7494" spans="2:2" ht="15.5" x14ac:dyDescent="0.35">
      <c r="B7494" s="853">
        <v>225741.36069269435</v>
      </c>
    </row>
    <row r="7495" spans="2:2" ht="15.5" x14ac:dyDescent="0.35">
      <c r="B7495" s="853">
        <v>103292.52257591502</v>
      </c>
    </row>
    <row r="7496" spans="2:2" ht="15.5" x14ac:dyDescent="0.35">
      <c r="B7496" s="853">
        <v>277162.77493049385</v>
      </c>
    </row>
    <row r="7497" spans="2:2" ht="15.5" x14ac:dyDescent="0.35">
      <c r="B7497" s="853">
        <v>442702.95254324289</v>
      </c>
    </row>
    <row r="7498" spans="2:2" ht="15.5" x14ac:dyDescent="0.35">
      <c r="B7498" s="853">
        <v>318574.37939269852</v>
      </c>
    </row>
    <row r="7499" spans="2:2" ht="15.5" x14ac:dyDescent="0.35">
      <c r="B7499" s="853">
        <v>658301.7177504187</v>
      </c>
    </row>
    <row r="7500" spans="2:2" ht="15.5" x14ac:dyDescent="0.35">
      <c r="B7500" s="853">
        <v>86629.253689477729</v>
      </c>
    </row>
    <row r="7501" spans="2:2" ht="15.5" x14ac:dyDescent="0.35">
      <c r="B7501" s="853">
        <v>510949.69944896689</v>
      </c>
    </row>
    <row r="7502" spans="2:2" ht="15.5" x14ac:dyDescent="0.35">
      <c r="B7502" s="853">
        <v>239793.38271796133</v>
      </c>
    </row>
    <row r="7503" spans="2:2" ht="15.5" x14ac:dyDescent="0.35">
      <c r="B7503" s="853">
        <v>303840.12359919626</v>
      </c>
    </row>
    <row r="7504" spans="2:2" ht="15.5" x14ac:dyDescent="0.35">
      <c r="B7504" s="853">
        <v>168746.45911670855</v>
      </c>
    </row>
    <row r="7505" spans="2:2" ht="15.5" x14ac:dyDescent="0.35">
      <c r="B7505" s="853">
        <v>165971.93565606067</v>
      </c>
    </row>
    <row r="7506" spans="2:2" ht="15.5" x14ac:dyDescent="0.35">
      <c r="B7506" s="853">
        <v>370328.14553061931</v>
      </c>
    </row>
    <row r="7507" spans="2:2" ht="15.5" x14ac:dyDescent="0.35">
      <c r="B7507" s="853">
        <v>453975.23461118963</v>
      </c>
    </row>
    <row r="7508" spans="2:2" ht="15.5" x14ac:dyDescent="0.35">
      <c r="B7508" s="853">
        <v>205058.71103359121</v>
      </c>
    </row>
    <row r="7509" spans="2:2" ht="15.5" x14ac:dyDescent="0.35">
      <c r="B7509" s="853">
        <v>31523.253774462504</v>
      </c>
    </row>
    <row r="7510" spans="2:2" ht="15.5" x14ac:dyDescent="0.35">
      <c r="B7510" s="853">
        <v>516291.22555597901</v>
      </c>
    </row>
    <row r="7511" spans="2:2" ht="15.5" x14ac:dyDescent="0.35">
      <c r="B7511" s="853">
        <v>253074.24535953673</v>
      </c>
    </row>
    <row r="7512" spans="2:2" ht="15.5" x14ac:dyDescent="0.35">
      <c r="B7512" s="853">
        <v>207801.56760786031</v>
      </c>
    </row>
    <row r="7513" spans="2:2" ht="15.5" x14ac:dyDescent="0.35">
      <c r="B7513" s="853">
        <v>243242.04621022302</v>
      </c>
    </row>
    <row r="7514" spans="2:2" ht="15.5" x14ac:dyDescent="0.35">
      <c r="B7514" s="853">
        <v>164134.77206256922</v>
      </c>
    </row>
    <row r="7515" spans="2:2" ht="15.5" x14ac:dyDescent="0.35">
      <c r="B7515" s="853">
        <v>232698.985601992</v>
      </c>
    </row>
    <row r="7516" spans="2:2" ht="15.5" x14ac:dyDescent="0.35">
      <c r="B7516" s="853">
        <v>45114.057122895043</v>
      </c>
    </row>
    <row r="7517" spans="2:2" ht="15.5" x14ac:dyDescent="0.35">
      <c r="B7517" s="853">
        <v>431745.6536918839</v>
      </c>
    </row>
    <row r="7518" spans="2:2" ht="15.5" x14ac:dyDescent="0.35">
      <c r="B7518" s="853">
        <v>407129.68404846278</v>
      </c>
    </row>
    <row r="7519" spans="2:2" ht="15.5" x14ac:dyDescent="0.35">
      <c r="B7519" s="853">
        <v>362236.19074581389</v>
      </c>
    </row>
    <row r="7520" spans="2:2" ht="15.5" x14ac:dyDescent="0.35">
      <c r="B7520" s="853">
        <v>207093.88863506855</v>
      </c>
    </row>
    <row r="7521" spans="2:2" ht="15.5" x14ac:dyDescent="0.35">
      <c r="B7521" s="853">
        <v>368070.36122162</v>
      </c>
    </row>
    <row r="7522" spans="2:2" ht="15.5" x14ac:dyDescent="0.35">
      <c r="B7522" s="853">
        <v>134627.58347511169</v>
      </c>
    </row>
    <row r="7523" spans="2:2" ht="15.5" x14ac:dyDescent="0.35">
      <c r="B7523" s="853">
        <v>134172.12505412797</v>
      </c>
    </row>
    <row r="7524" spans="2:2" ht="15.5" x14ac:dyDescent="0.35">
      <c r="B7524" s="853">
        <v>306887.65920309426</v>
      </c>
    </row>
    <row r="7525" spans="2:2" ht="15.5" x14ac:dyDescent="0.35">
      <c r="B7525" s="853">
        <v>208456.71210543986</v>
      </c>
    </row>
    <row r="7526" spans="2:2" ht="15.5" x14ac:dyDescent="0.35">
      <c r="B7526" s="853">
        <v>202971.93875776543</v>
      </c>
    </row>
    <row r="7527" spans="2:2" ht="15.5" x14ac:dyDescent="0.35">
      <c r="B7527" s="853">
        <v>381429.88278845744</v>
      </c>
    </row>
    <row r="7528" spans="2:2" ht="15.5" x14ac:dyDescent="0.35">
      <c r="B7528" s="853">
        <v>331791.54671735514</v>
      </c>
    </row>
    <row r="7529" spans="2:2" ht="15.5" x14ac:dyDescent="0.35">
      <c r="B7529" s="853">
        <v>397066.3619123961</v>
      </c>
    </row>
    <row r="7530" spans="2:2" ht="15.5" x14ac:dyDescent="0.35">
      <c r="B7530" s="853">
        <v>50800.930657266741</v>
      </c>
    </row>
    <row r="7531" spans="2:2" ht="15.5" x14ac:dyDescent="0.35">
      <c r="B7531" s="853">
        <v>469039.47002152528</v>
      </c>
    </row>
    <row r="7532" spans="2:2" ht="15.5" x14ac:dyDescent="0.35">
      <c r="B7532" s="853">
        <v>240272.78274305142</v>
      </c>
    </row>
    <row r="7533" spans="2:2" ht="15.5" x14ac:dyDescent="0.35">
      <c r="B7533" s="853">
        <v>384686.80061849434</v>
      </c>
    </row>
    <row r="7534" spans="2:2" ht="15.5" x14ac:dyDescent="0.35">
      <c r="B7534" s="853">
        <v>687729.68048649689</v>
      </c>
    </row>
    <row r="7535" spans="2:2" ht="15.5" x14ac:dyDescent="0.35">
      <c r="B7535" s="853">
        <v>429209.95803331822</v>
      </c>
    </row>
    <row r="7536" spans="2:2" ht="15.5" x14ac:dyDescent="0.35">
      <c r="B7536" s="853">
        <v>106284.49433008916</v>
      </c>
    </row>
    <row r="7537" spans="2:2" ht="15.5" x14ac:dyDescent="0.35">
      <c r="B7537" s="853">
        <v>428563.62039177259</v>
      </c>
    </row>
    <row r="7538" spans="2:2" ht="15.5" x14ac:dyDescent="0.35">
      <c r="B7538" s="853">
        <v>323862.56163287949</v>
      </c>
    </row>
    <row r="7539" spans="2:2" ht="15.5" x14ac:dyDescent="0.35">
      <c r="B7539" s="853">
        <v>169668.23038705063</v>
      </c>
    </row>
    <row r="7540" spans="2:2" ht="15.5" x14ac:dyDescent="0.35">
      <c r="B7540" s="853">
        <v>268651.13107005932</v>
      </c>
    </row>
    <row r="7541" spans="2:2" ht="15.5" x14ac:dyDescent="0.35">
      <c r="B7541" s="853">
        <v>216767.40523352835</v>
      </c>
    </row>
    <row r="7542" spans="2:2" ht="15.5" x14ac:dyDescent="0.35">
      <c r="B7542" s="853">
        <v>156561.3831538987</v>
      </c>
    </row>
    <row r="7543" spans="2:2" ht="15.5" x14ac:dyDescent="0.35">
      <c r="B7543" s="853">
        <v>306703.10681151977</v>
      </c>
    </row>
    <row r="7544" spans="2:2" ht="15.5" x14ac:dyDescent="0.35">
      <c r="B7544" s="853">
        <v>31948.343628392246</v>
      </c>
    </row>
    <row r="7545" spans="2:2" ht="15.5" x14ac:dyDescent="0.35">
      <c r="B7545" s="853">
        <v>138158.66551691166</v>
      </c>
    </row>
    <row r="7546" spans="2:2" ht="15.5" x14ac:dyDescent="0.35">
      <c r="B7546" s="853">
        <v>177213.91739476952</v>
      </c>
    </row>
    <row r="7547" spans="2:2" ht="15.5" x14ac:dyDescent="0.35">
      <c r="B7547" s="853">
        <v>421574.15271912061</v>
      </c>
    </row>
    <row r="7548" spans="2:2" ht="15.5" x14ac:dyDescent="0.35">
      <c r="B7548" s="853">
        <v>207871.02096285901</v>
      </c>
    </row>
    <row r="7549" spans="2:2" ht="15.5" x14ac:dyDescent="0.35">
      <c r="B7549" s="853">
        <v>117048.0420971553</v>
      </c>
    </row>
    <row r="7550" spans="2:2" ht="15.5" x14ac:dyDescent="0.35">
      <c r="B7550" s="853">
        <v>199709.98380311916</v>
      </c>
    </row>
    <row r="7551" spans="2:2" ht="15.5" x14ac:dyDescent="0.35">
      <c r="B7551" s="853">
        <v>317602.7330981181</v>
      </c>
    </row>
    <row r="7552" spans="2:2" ht="15.5" x14ac:dyDescent="0.35">
      <c r="B7552" s="853">
        <v>352721.54691450321</v>
      </c>
    </row>
    <row r="7553" spans="2:2" ht="15.5" x14ac:dyDescent="0.35">
      <c r="B7553" s="853">
        <v>508777.08262977545</v>
      </c>
    </row>
    <row r="7554" spans="2:2" ht="15.5" x14ac:dyDescent="0.35">
      <c r="B7554" s="853">
        <v>83707.769171001142</v>
      </c>
    </row>
    <row r="7555" spans="2:2" ht="15.5" x14ac:dyDescent="0.35">
      <c r="B7555" s="853">
        <v>536088.22515141044</v>
      </c>
    </row>
    <row r="7556" spans="2:2" ht="15.5" x14ac:dyDescent="0.35">
      <c r="B7556" s="853">
        <v>296546.39050042455</v>
      </c>
    </row>
    <row r="7557" spans="2:2" ht="15.5" x14ac:dyDescent="0.35">
      <c r="B7557" s="853">
        <v>381846.83128085133</v>
      </c>
    </row>
    <row r="7558" spans="2:2" ht="15.5" x14ac:dyDescent="0.35">
      <c r="B7558" s="853">
        <v>43096.211678343439</v>
      </c>
    </row>
    <row r="7559" spans="2:2" ht="15.5" x14ac:dyDescent="0.35">
      <c r="B7559" s="853">
        <v>320833.07592081645</v>
      </c>
    </row>
    <row r="7560" spans="2:2" ht="15.5" x14ac:dyDescent="0.35">
      <c r="B7560" s="853">
        <v>472917.93168905849</v>
      </c>
    </row>
    <row r="7561" spans="2:2" ht="15.5" x14ac:dyDescent="0.35">
      <c r="B7561" s="853">
        <v>369329.73248508456</v>
      </c>
    </row>
    <row r="7562" spans="2:2" ht="15.5" x14ac:dyDescent="0.35">
      <c r="B7562" s="853">
        <v>245430.22267513679</v>
      </c>
    </row>
    <row r="7563" spans="2:2" ht="15.5" x14ac:dyDescent="0.35">
      <c r="B7563" s="853">
        <v>424384.95959486492</v>
      </c>
    </row>
    <row r="7564" spans="2:2" ht="15.5" x14ac:dyDescent="0.35">
      <c r="B7564" s="853">
        <v>289579.02162569767</v>
      </c>
    </row>
    <row r="7565" spans="2:2" ht="15.5" x14ac:dyDescent="0.35">
      <c r="B7565" s="853">
        <v>374333.66563619685</v>
      </c>
    </row>
    <row r="7566" spans="2:2" ht="15.5" x14ac:dyDescent="0.35">
      <c r="B7566" s="853">
        <v>318453.14137448423</v>
      </c>
    </row>
    <row r="7567" spans="2:2" ht="15.5" x14ac:dyDescent="0.35">
      <c r="B7567" s="853">
        <v>400745.61603934085</v>
      </c>
    </row>
    <row r="7568" spans="2:2" ht="15.5" x14ac:dyDescent="0.35">
      <c r="B7568" s="853">
        <v>270746.98177067924</v>
      </c>
    </row>
    <row r="7569" spans="2:2" ht="15.5" x14ac:dyDescent="0.35">
      <c r="B7569" s="853">
        <v>324856.33676615416</v>
      </c>
    </row>
    <row r="7570" spans="2:2" ht="15.5" x14ac:dyDescent="0.35">
      <c r="B7570" s="853">
        <v>357022.5999220552</v>
      </c>
    </row>
    <row r="7571" spans="2:2" ht="15.5" x14ac:dyDescent="0.35">
      <c r="B7571" s="853">
        <v>63129.809242811461</v>
      </c>
    </row>
    <row r="7572" spans="2:2" ht="15.5" x14ac:dyDescent="0.35">
      <c r="B7572" s="853">
        <v>412746.12141912308</v>
      </c>
    </row>
    <row r="7573" spans="2:2" ht="15.5" x14ac:dyDescent="0.35">
      <c r="B7573" s="853">
        <v>132547.09665639297</v>
      </c>
    </row>
    <row r="7574" spans="2:2" ht="15.5" x14ac:dyDescent="0.35">
      <c r="B7574" s="853">
        <v>422911.32167362142</v>
      </c>
    </row>
    <row r="7575" spans="2:2" ht="15.5" x14ac:dyDescent="0.35">
      <c r="B7575" s="853">
        <v>399760.28077586368</v>
      </c>
    </row>
    <row r="7576" spans="2:2" ht="15.5" x14ac:dyDescent="0.35">
      <c r="B7576" s="853">
        <v>220053.79970666059</v>
      </c>
    </row>
    <row r="7577" spans="2:2" ht="15.5" x14ac:dyDescent="0.35">
      <c r="B7577" s="853">
        <v>405264.75205712026</v>
      </c>
    </row>
    <row r="7578" spans="2:2" ht="15.5" x14ac:dyDescent="0.35">
      <c r="B7578" s="853">
        <v>379806.03679058875</v>
      </c>
    </row>
    <row r="7579" spans="2:2" ht="15.5" x14ac:dyDescent="0.35">
      <c r="B7579" s="853">
        <v>452779.90762098302</v>
      </c>
    </row>
    <row r="7580" spans="2:2" ht="15.5" x14ac:dyDescent="0.35">
      <c r="B7580" s="853">
        <v>308040.59688217123</v>
      </c>
    </row>
    <row r="7581" spans="2:2" ht="15.5" x14ac:dyDescent="0.35">
      <c r="B7581" s="853">
        <v>303010.14132728759</v>
      </c>
    </row>
    <row r="7582" spans="2:2" ht="15.5" x14ac:dyDescent="0.35">
      <c r="B7582" s="853">
        <v>519082.21396036929</v>
      </c>
    </row>
    <row r="7583" spans="2:2" ht="15.5" x14ac:dyDescent="0.35">
      <c r="B7583" s="853">
        <v>244742.18378143839</v>
      </c>
    </row>
    <row r="7584" spans="2:2" ht="15.5" x14ac:dyDescent="0.35">
      <c r="B7584" s="853">
        <v>376215.61680554622</v>
      </c>
    </row>
    <row r="7585" spans="2:2" ht="15.5" x14ac:dyDescent="0.35">
      <c r="B7585" s="853">
        <v>75529.367674748282</v>
      </c>
    </row>
    <row r="7586" spans="2:2" ht="15.5" x14ac:dyDescent="0.35">
      <c r="B7586" s="853">
        <v>45472.697044456232</v>
      </c>
    </row>
    <row r="7587" spans="2:2" ht="15.5" x14ac:dyDescent="0.35">
      <c r="B7587" s="853">
        <v>132395.69979575803</v>
      </c>
    </row>
    <row r="7588" spans="2:2" ht="15.5" x14ac:dyDescent="0.35">
      <c r="B7588" s="853">
        <v>194088.41755658615</v>
      </c>
    </row>
    <row r="7589" spans="2:2" ht="15.5" x14ac:dyDescent="0.35">
      <c r="B7589" s="853">
        <v>218929.20915327864</v>
      </c>
    </row>
    <row r="7590" spans="2:2" ht="15.5" x14ac:dyDescent="0.35">
      <c r="B7590" s="853">
        <v>213485.21843446643</v>
      </c>
    </row>
    <row r="7591" spans="2:2" ht="15.5" x14ac:dyDescent="0.35">
      <c r="B7591" s="853">
        <v>279883.69860490703</v>
      </c>
    </row>
    <row r="7592" spans="2:2" ht="15.5" x14ac:dyDescent="0.35">
      <c r="B7592" s="853">
        <v>179222.32540512472</v>
      </c>
    </row>
    <row r="7593" spans="2:2" ht="15.5" x14ac:dyDescent="0.35">
      <c r="B7593" s="853">
        <v>-25556.098816772756</v>
      </c>
    </row>
    <row r="7594" spans="2:2" ht="15.5" x14ac:dyDescent="0.35">
      <c r="B7594" s="853">
        <v>553556.95036145067</v>
      </c>
    </row>
    <row r="7595" spans="2:2" ht="15.5" x14ac:dyDescent="0.35">
      <c r="B7595" s="853">
        <v>279224.32445008779</v>
      </c>
    </row>
    <row r="7596" spans="2:2" ht="15.5" x14ac:dyDescent="0.35">
      <c r="B7596" s="853">
        <v>508890.47157268849</v>
      </c>
    </row>
    <row r="7597" spans="2:2" ht="15.5" x14ac:dyDescent="0.35">
      <c r="B7597" s="853">
        <v>509654.14412912563</v>
      </c>
    </row>
    <row r="7598" spans="2:2" ht="15.5" x14ac:dyDescent="0.35">
      <c r="B7598" s="853">
        <v>576139.54444571841</v>
      </c>
    </row>
    <row r="7599" spans="2:2" ht="15.5" x14ac:dyDescent="0.35">
      <c r="B7599" s="853">
        <v>409207.58677615726</v>
      </c>
    </row>
    <row r="7600" spans="2:2" ht="15.5" x14ac:dyDescent="0.35">
      <c r="B7600" s="853">
        <v>-95928.110681933496</v>
      </c>
    </row>
    <row r="7601" spans="2:2" ht="15.5" x14ac:dyDescent="0.35">
      <c r="B7601" s="853">
        <v>444773.59898286371</v>
      </c>
    </row>
    <row r="7602" spans="2:2" ht="15.5" x14ac:dyDescent="0.35">
      <c r="B7602" s="853">
        <v>291743.0102241197</v>
      </c>
    </row>
    <row r="7603" spans="2:2" ht="15.5" x14ac:dyDescent="0.35">
      <c r="B7603" s="853">
        <v>295449.58688366262</v>
      </c>
    </row>
    <row r="7604" spans="2:2" ht="15.5" x14ac:dyDescent="0.35">
      <c r="B7604" s="853">
        <v>290683.91815638047</v>
      </c>
    </row>
    <row r="7605" spans="2:2" ht="15.5" x14ac:dyDescent="0.35">
      <c r="B7605" s="853">
        <v>19235.582702612406</v>
      </c>
    </row>
    <row r="7606" spans="2:2" ht="15.5" x14ac:dyDescent="0.35">
      <c r="B7606" s="853">
        <v>601180.33438334428</v>
      </c>
    </row>
    <row r="7607" spans="2:2" ht="15.5" x14ac:dyDescent="0.35">
      <c r="B7607" s="853">
        <v>399600.38943538541</v>
      </c>
    </row>
    <row r="7608" spans="2:2" ht="15.5" x14ac:dyDescent="0.35">
      <c r="B7608" s="853">
        <v>460182.69970448053</v>
      </c>
    </row>
    <row r="7609" spans="2:2" ht="15.5" x14ac:dyDescent="0.35">
      <c r="B7609" s="853">
        <v>107674.29431018625</v>
      </c>
    </row>
    <row r="7610" spans="2:2" ht="15.5" x14ac:dyDescent="0.35">
      <c r="B7610" s="853">
        <v>146948.3012628755</v>
      </c>
    </row>
    <row r="7611" spans="2:2" ht="15.5" x14ac:dyDescent="0.35">
      <c r="B7611" s="853">
        <v>270059.42487834115</v>
      </c>
    </row>
    <row r="7612" spans="2:2" ht="15.5" x14ac:dyDescent="0.35">
      <c r="B7612" s="853">
        <v>281126.91130751604</v>
      </c>
    </row>
    <row r="7613" spans="2:2" ht="15.5" x14ac:dyDescent="0.35">
      <c r="B7613" s="853">
        <v>361371.32371082023</v>
      </c>
    </row>
    <row r="7614" spans="2:2" ht="15.5" x14ac:dyDescent="0.35">
      <c r="B7614" s="853">
        <v>389927.4931549544</v>
      </c>
    </row>
    <row r="7615" spans="2:2" ht="15.5" x14ac:dyDescent="0.35">
      <c r="B7615" s="853">
        <v>87366.844677462199</v>
      </c>
    </row>
    <row r="7616" spans="2:2" ht="15.5" x14ac:dyDescent="0.35">
      <c r="B7616" s="853">
        <v>374476.11740041635</v>
      </c>
    </row>
    <row r="7617" spans="2:2" ht="15.5" x14ac:dyDescent="0.35">
      <c r="B7617" s="853">
        <v>326814.986892563</v>
      </c>
    </row>
    <row r="7618" spans="2:2" ht="15.5" x14ac:dyDescent="0.35">
      <c r="B7618" s="853">
        <v>556504.35368643468</v>
      </c>
    </row>
    <row r="7619" spans="2:2" ht="15.5" x14ac:dyDescent="0.35">
      <c r="B7619" s="853">
        <v>428581.26004841266</v>
      </c>
    </row>
    <row r="7620" spans="2:2" ht="15.5" x14ac:dyDescent="0.35">
      <c r="B7620" s="853">
        <v>51649.858168722865</v>
      </c>
    </row>
    <row r="7621" spans="2:2" ht="15.5" x14ac:dyDescent="0.35">
      <c r="B7621" s="853">
        <v>402693.56903469661</v>
      </c>
    </row>
    <row r="7622" spans="2:2" ht="15.5" x14ac:dyDescent="0.35">
      <c r="B7622" s="853">
        <v>365828.58215339761</v>
      </c>
    </row>
    <row r="7623" spans="2:2" ht="15.5" x14ac:dyDescent="0.35">
      <c r="B7623" s="853">
        <v>473681.81406066468</v>
      </c>
    </row>
    <row r="7624" spans="2:2" ht="15.5" x14ac:dyDescent="0.35">
      <c r="B7624" s="853">
        <v>563932.51185349945</v>
      </c>
    </row>
    <row r="7625" spans="2:2" ht="15.5" x14ac:dyDescent="0.35">
      <c r="B7625" s="853">
        <v>362295.29214861657</v>
      </c>
    </row>
    <row r="7626" spans="2:2" ht="15.5" x14ac:dyDescent="0.35">
      <c r="B7626" s="853">
        <v>139536.99804967357</v>
      </c>
    </row>
    <row r="7627" spans="2:2" ht="15.5" x14ac:dyDescent="0.35">
      <c r="B7627" s="853">
        <v>146329.32426549317</v>
      </c>
    </row>
    <row r="7628" spans="2:2" ht="15.5" x14ac:dyDescent="0.35">
      <c r="B7628" s="853">
        <v>453577.99542567786</v>
      </c>
    </row>
    <row r="7629" spans="2:2" ht="15.5" x14ac:dyDescent="0.35">
      <c r="B7629" s="853">
        <v>210235.40984093328</v>
      </c>
    </row>
    <row r="7630" spans="2:2" ht="15.5" x14ac:dyDescent="0.35">
      <c r="B7630" s="853">
        <v>74091.642266237817</v>
      </c>
    </row>
    <row r="7631" spans="2:2" ht="15.5" x14ac:dyDescent="0.35">
      <c r="B7631" s="853">
        <v>557913.71196007682</v>
      </c>
    </row>
    <row r="7632" spans="2:2" ht="15.5" x14ac:dyDescent="0.35">
      <c r="B7632" s="853">
        <v>303604.22589477303</v>
      </c>
    </row>
    <row r="7633" spans="2:2" ht="15.5" x14ac:dyDescent="0.35">
      <c r="B7633" s="853">
        <v>132771.93413317762</v>
      </c>
    </row>
    <row r="7634" spans="2:2" ht="15.5" x14ac:dyDescent="0.35">
      <c r="B7634" s="853">
        <v>926835.81305205205</v>
      </c>
    </row>
    <row r="7635" spans="2:2" ht="15.5" x14ac:dyDescent="0.35">
      <c r="B7635" s="853">
        <v>174529.89577751639</v>
      </c>
    </row>
    <row r="7636" spans="2:2" ht="15.5" x14ac:dyDescent="0.35">
      <c r="B7636" s="853">
        <v>289678.2109855779</v>
      </c>
    </row>
    <row r="7637" spans="2:2" ht="15.5" x14ac:dyDescent="0.35">
      <c r="B7637" s="853">
        <v>381613.39902887464</v>
      </c>
    </row>
    <row r="7638" spans="2:2" ht="15.5" x14ac:dyDescent="0.35">
      <c r="B7638" s="853">
        <v>261348.15764981345</v>
      </c>
    </row>
    <row r="7639" spans="2:2" ht="15.5" x14ac:dyDescent="0.35">
      <c r="B7639" s="853">
        <v>336327.80268048629</v>
      </c>
    </row>
    <row r="7640" spans="2:2" ht="15.5" x14ac:dyDescent="0.35">
      <c r="B7640" s="853">
        <v>274411.38335253048</v>
      </c>
    </row>
    <row r="7641" spans="2:2" ht="15.5" x14ac:dyDescent="0.35">
      <c r="B7641" s="853">
        <v>258139.87973543809</v>
      </c>
    </row>
    <row r="7642" spans="2:2" ht="15.5" x14ac:dyDescent="0.35">
      <c r="B7642" s="853">
        <v>-37540.569957414016</v>
      </c>
    </row>
    <row r="7643" spans="2:2" ht="15.5" x14ac:dyDescent="0.35">
      <c r="B7643" s="853">
        <v>65777.736611947068</v>
      </c>
    </row>
    <row r="7644" spans="2:2" ht="15.5" x14ac:dyDescent="0.35">
      <c r="B7644" s="853">
        <v>422055.99959696585</v>
      </c>
    </row>
    <row r="7645" spans="2:2" ht="15.5" x14ac:dyDescent="0.35">
      <c r="B7645" s="853">
        <v>431933.47017666604</v>
      </c>
    </row>
    <row r="7646" spans="2:2" ht="15.5" x14ac:dyDescent="0.35">
      <c r="B7646" s="853">
        <v>501817.39899526542</v>
      </c>
    </row>
    <row r="7647" spans="2:2" ht="15.5" x14ac:dyDescent="0.35">
      <c r="B7647" s="853">
        <v>374390.97701202746</v>
      </c>
    </row>
    <row r="7648" spans="2:2" ht="15.5" x14ac:dyDescent="0.35">
      <c r="B7648" s="853">
        <v>236220.09481038063</v>
      </c>
    </row>
    <row r="7649" spans="2:2" ht="15.5" x14ac:dyDescent="0.35">
      <c r="B7649" s="853">
        <v>6850.8954996393986</v>
      </c>
    </row>
    <row r="7650" spans="2:2" ht="15.5" x14ac:dyDescent="0.35">
      <c r="B7650" s="853">
        <v>261487.13031897636</v>
      </c>
    </row>
    <row r="7651" spans="2:2" ht="15.5" x14ac:dyDescent="0.35">
      <c r="B7651" s="853">
        <v>460319.46263005969</v>
      </c>
    </row>
    <row r="7652" spans="2:2" ht="15.5" x14ac:dyDescent="0.35">
      <c r="B7652" s="853">
        <v>298181.80075099593</v>
      </c>
    </row>
    <row r="7653" spans="2:2" ht="15.5" x14ac:dyDescent="0.35">
      <c r="B7653" s="853">
        <v>210004.55277987296</v>
      </c>
    </row>
    <row r="7654" spans="2:2" ht="15.5" x14ac:dyDescent="0.35">
      <c r="B7654" s="853">
        <v>352411.9859913938</v>
      </c>
    </row>
    <row r="7655" spans="2:2" ht="15.5" x14ac:dyDescent="0.35">
      <c r="B7655" s="853">
        <v>157314.67777839027</v>
      </c>
    </row>
    <row r="7656" spans="2:2" ht="15.5" x14ac:dyDescent="0.35">
      <c r="B7656" s="853">
        <v>511253.8540518157</v>
      </c>
    </row>
    <row r="7657" spans="2:2" ht="15.5" x14ac:dyDescent="0.35">
      <c r="B7657" s="853">
        <v>314805.0468910145</v>
      </c>
    </row>
    <row r="7658" spans="2:2" ht="15.5" x14ac:dyDescent="0.35">
      <c r="B7658" s="853">
        <v>22006.382695145217</v>
      </c>
    </row>
    <row r="7659" spans="2:2" ht="15.5" x14ac:dyDescent="0.35">
      <c r="B7659" s="853">
        <v>303104.1163724956</v>
      </c>
    </row>
    <row r="7660" spans="2:2" ht="15.5" x14ac:dyDescent="0.35">
      <c r="B7660" s="853">
        <v>270253.27006905607</v>
      </c>
    </row>
    <row r="7661" spans="2:2" ht="15.5" x14ac:dyDescent="0.35">
      <c r="B7661" s="853">
        <v>388772.21820380643</v>
      </c>
    </row>
    <row r="7662" spans="2:2" ht="15.5" x14ac:dyDescent="0.35">
      <c r="B7662" s="853">
        <v>340163.11727101641</v>
      </c>
    </row>
    <row r="7663" spans="2:2" ht="15.5" x14ac:dyDescent="0.35">
      <c r="B7663" s="853">
        <v>256325.15270690733</v>
      </c>
    </row>
    <row r="7664" spans="2:2" ht="15.5" x14ac:dyDescent="0.35">
      <c r="B7664" s="853">
        <v>271827.75465762912</v>
      </c>
    </row>
    <row r="7665" spans="2:2" ht="15.5" x14ac:dyDescent="0.35">
      <c r="B7665" s="853">
        <v>322734.69775214995</v>
      </c>
    </row>
    <row r="7666" spans="2:2" ht="15.5" x14ac:dyDescent="0.35">
      <c r="B7666" s="853">
        <v>231794.17079957569</v>
      </c>
    </row>
    <row r="7667" spans="2:2" ht="15.5" x14ac:dyDescent="0.35">
      <c r="B7667" s="853">
        <v>325516.89383680077</v>
      </c>
    </row>
    <row r="7668" spans="2:2" ht="15.5" x14ac:dyDescent="0.35">
      <c r="B7668" s="853">
        <v>183697.05450373367</v>
      </c>
    </row>
    <row r="7669" spans="2:2" ht="15.5" x14ac:dyDescent="0.35">
      <c r="B7669" s="853">
        <v>346579.37303576572</v>
      </c>
    </row>
    <row r="7670" spans="2:2" ht="15.5" x14ac:dyDescent="0.35">
      <c r="B7670" s="853">
        <v>523167.36665146722</v>
      </c>
    </row>
    <row r="7671" spans="2:2" ht="15.5" x14ac:dyDescent="0.35">
      <c r="B7671" s="853">
        <v>406784.20597845997</v>
      </c>
    </row>
    <row r="7672" spans="2:2" ht="15.5" x14ac:dyDescent="0.35">
      <c r="B7672" s="853">
        <v>294669.22143443173</v>
      </c>
    </row>
    <row r="7673" spans="2:2" ht="15.5" x14ac:dyDescent="0.35">
      <c r="B7673" s="853">
        <v>396482.21986314072</v>
      </c>
    </row>
    <row r="7674" spans="2:2" ht="15.5" x14ac:dyDescent="0.35">
      <c r="B7674" s="853">
        <v>403722.63395574101</v>
      </c>
    </row>
    <row r="7675" spans="2:2" ht="15.5" x14ac:dyDescent="0.35">
      <c r="B7675" s="853">
        <v>225129.87271753172</v>
      </c>
    </row>
    <row r="7676" spans="2:2" ht="15.5" x14ac:dyDescent="0.35">
      <c r="B7676" s="853">
        <v>136515.31613236081</v>
      </c>
    </row>
    <row r="7677" spans="2:2" ht="15.5" x14ac:dyDescent="0.35">
      <c r="B7677" s="853">
        <v>258513.22619436405</v>
      </c>
    </row>
    <row r="7678" spans="2:2" ht="15.5" x14ac:dyDescent="0.35">
      <c r="B7678" s="853">
        <v>283264.29590526118</v>
      </c>
    </row>
    <row r="7679" spans="2:2" ht="15.5" x14ac:dyDescent="0.35">
      <c r="B7679" s="853">
        <v>336751.55036143627</v>
      </c>
    </row>
    <row r="7680" spans="2:2" ht="15.5" x14ac:dyDescent="0.35">
      <c r="B7680" s="853">
        <v>64948.460446548423</v>
      </c>
    </row>
    <row r="7681" spans="2:2" ht="15.5" x14ac:dyDescent="0.35">
      <c r="B7681" s="853">
        <v>167926.28257305536</v>
      </c>
    </row>
    <row r="7682" spans="2:2" ht="15.5" x14ac:dyDescent="0.35">
      <c r="B7682" s="853">
        <v>212451.68881161764</v>
      </c>
    </row>
    <row r="7683" spans="2:2" ht="15.5" x14ac:dyDescent="0.35">
      <c r="B7683" s="853">
        <v>357559.79498007294</v>
      </c>
    </row>
    <row r="7684" spans="2:2" ht="15.5" x14ac:dyDescent="0.35">
      <c r="B7684" s="853">
        <v>254544.80537114598</v>
      </c>
    </row>
    <row r="7685" spans="2:2" ht="15.5" x14ac:dyDescent="0.35">
      <c r="B7685" s="853">
        <v>341431.77651427424</v>
      </c>
    </row>
    <row r="7686" spans="2:2" ht="15.5" x14ac:dyDescent="0.35">
      <c r="B7686" s="853">
        <v>471821.88691604621</v>
      </c>
    </row>
    <row r="7687" spans="2:2" ht="15.5" x14ac:dyDescent="0.35">
      <c r="B7687" s="853">
        <v>94269.196322978838</v>
      </c>
    </row>
    <row r="7688" spans="2:2" ht="15.5" x14ac:dyDescent="0.35">
      <c r="B7688" s="853">
        <v>337245.13869479747</v>
      </c>
    </row>
    <row r="7689" spans="2:2" ht="15.5" x14ac:dyDescent="0.35">
      <c r="B7689" s="853">
        <v>96358.248479993272</v>
      </c>
    </row>
    <row r="7690" spans="2:2" ht="15.5" x14ac:dyDescent="0.35">
      <c r="B7690" s="853">
        <v>375874.24170946883</v>
      </c>
    </row>
    <row r="7691" spans="2:2" ht="15.5" x14ac:dyDescent="0.35">
      <c r="B7691" s="853">
        <v>179087.93571152887</v>
      </c>
    </row>
    <row r="7692" spans="2:2" ht="15.5" x14ac:dyDescent="0.35">
      <c r="B7692" s="853">
        <v>543979.9160700104</v>
      </c>
    </row>
    <row r="7693" spans="2:2" ht="15.5" x14ac:dyDescent="0.35">
      <c r="B7693" s="853">
        <v>353996.12086905888</v>
      </c>
    </row>
    <row r="7694" spans="2:2" ht="15.5" x14ac:dyDescent="0.35">
      <c r="B7694" s="853">
        <v>143622.01687055174</v>
      </c>
    </row>
    <row r="7695" spans="2:2" ht="15.5" x14ac:dyDescent="0.35">
      <c r="B7695" s="853">
        <v>276905.3415882719</v>
      </c>
    </row>
    <row r="7696" spans="2:2" ht="15.5" x14ac:dyDescent="0.35">
      <c r="B7696" s="853">
        <v>365075.00334210787</v>
      </c>
    </row>
    <row r="7697" spans="2:2" ht="15.5" x14ac:dyDescent="0.35">
      <c r="B7697" s="853">
        <v>470841.20059111557</v>
      </c>
    </row>
    <row r="7698" spans="2:2" ht="15.5" x14ac:dyDescent="0.35">
      <c r="B7698" s="853">
        <v>416166.20763224969</v>
      </c>
    </row>
    <row r="7699" spans="2:2" ht="15.5" x14ac:dyDescent="0.35">
      <c r="B7699" s="853">
        <v>90466.668125498851</v>
      </c>
    </row>
    <row r="7700" spans="2:2" ht="15.5" x14ac:dyDescent="0.35">
      <c r="B7700" s="853">
        <v>532879.89986252366</v>
      </c>
    </row>
    <row r="7701" spans="2:2" ht="15.5" x14ac:dyDescent="0.35">
      <c r="B7701" s="853">
        <v>317076.28862551402</v>
      </c>
    </row>
    <row r="7702" spans="2:2" ht="15.5" x14ac:dyDescent="0.35">
      <c r="B7702" s="853">
        <v>296600.73886364332</v>
      </c>
    </row>
    <row r="7703" spans="2:2" ht="15.5" x14ac:dyDescent="0.35">
      <c r="B7703" s="853">
        <v>92702.717676120679</v>
      </c>
    </row>
    <row r="7704" spans="2:2" ht="15.5" x14ac:dyDescent="0.35">
      <c r="B7704" s="853">
        <v>429754.0905789251</v>
      </c>
    </row>
    <row r="7705" spans="2:2" ht="15.5" x14ac:dyDescent="0.35">
      <c r="B7705" s="853">
        <v>280303.40989719861</v>
      </c>
    </row>
    <row r="7706" spans="2:2" ht="15.5" x14ac:dyDescent="0.35">
      <c r="B7706" s="853">
        <v>349172.70821957622</v>
      </c>
    </row>
    <row r="7707" spans="2:2" ht="15.5" x14ac:dyDescent="0.35">
      <c r="B7707" s="853">
        <v>172191.39291543007</v>
      </c>
    </row>
    <row r="7708" spans="2:2" ht="15.5" x14ac:dyDescent="0.35">
      <c r="B7708" s="853">
        <v>129772.90594717677</v>
      </c>
    </row>
    <row r="7709" spans="2:2" ht="15.5" x14ac:dyDescent="0.35">
      <c r="B7709" s="853">
        <v>93019.489350260847</v>
      </c>
    </row>
    <row r="7710" spans="2:2" ht="15.5" x14ac:dyDescent="0.35">
      <c r="B7710" s="853">
        <v>276576.75103864446</v>
      </c>
    </row>
    <row r="7711" spans="2:2" ht="15.5" x14ac:dyDescent="0.35">
      <c r="B7711" s="853">
        <v>313585.69967932982</v>
      </c>
    </row>
    <row r="7712" spans="2:2" ht="15.5" x14ac:dyDescent="0.35">
      <c r="B7712" s="853">
        <v>209798.72103284558</v>
      </c>
    </row>
    <row r="7713" spans="2:2" ht="15.5" x14ac:dyDescent="0.35">
      <c r="B7713" s="853">
        <v>275109.23764131695</v>
      </c>
    </row>
    <row r="7714" spans="2:2" ht="15.5" x14ac:dyDescent="0.35">
      <c r="B7714" s="853">
        <v>374870.86336664751</v>
      </c>
    </row>
    <row r="7715" spans="2:2" ht="15.5" x14ac:dyDescent="0.35">
      <c r="B7715" s="853">
        <v>431092.04166504089</v>
      </c>
    </row>
    <row r="7716" spans="2:2" ht="15.5" x14ac:dyDescent="0.35">
      <c r="B7716" s="853">
        <v>285035.19928998995</v>
      </c>
    </row>
    <row r="7717" spans="2:2" ht="15.5" x14ac:dyDescent="0.35">
      <c r="B7717" s="853">
        <v>280871.92618254648</v>
      </c>
    </row>
    <row r="7718" spans="2:2" ht="15.5" x14ac:dyDescent="0.35">
      <c r="B7718" s="853">
        <v>320639.77542786853</v>
      </c>
    </row>
    <row r="7719" spans="2:2" ht="15.5" x14ac:dyDescent="0.35">
      <c r="B7719" s="853">
        <v>491144.7997343677</v>
      </c>
    </row>
    <row r="7720" spans="2:2" ht="15.5" x14ac:dyDescent="0.35">
      <c r="B7720" s="853">
        <v>44473.920705238917</v>
      </c>
    </row>
    <row r="7721" spans="2:2" ht="15.5" x14ac:dyDescent="0.35">
      <c r="B7721" s="853">
        <v>235628.43925144107</v>
      </c>
    </row>
    <row r="7722" spans="2:2" ht="15.5" x14ac:dyDescent="0.35">
      <c r="B7722" s="853">
        <v>294793.63212899305</v>
      </c>
    </row>
    <row r="7723" spans="2:2" ht="15.5" x14ac:dyDescent="0.35">
      <c r="B7723" s="853">
        <v>433621.44516893307</v>
      </c>
    </row>
    <row r="7724" spans="2:2" ht="15.5" x14ac:dyDescent="0.35">
      <c r="B7724" s="853">
        <v>375950.99068584893</v>
      </c>
    </row>
    <row r="7725" spans="2:2" ht="15.5" x14ac:dyDescent="0.35">
      <c r="B7725" s="853">
        <v>523256.01948030718</v>
      </c>
    </row>
    <row r="7726" spans="2:2" ht="15.5" x14ac:dyDescent="0.35">
      <c r="B7726" s="853">
        <v>274669.78790636861</v>
      </c>
    </row>
    <row r="7727" spans="2:2" ht="15.5" x14ac:dyDescent="0.35">
      <c r="B7727" s="853">
        <v>445923.38821017748</v>
      </c>
    </row>
    <row r="7728" spans="2:2" ht="15.5" x14ac:dyDescent="0.35">
      <c r="B7728" s="853">
        <v>210019.96962092587</v>
      </c>
    </row>
    <row r="7729" spans="2:2" ht="15.5" x14ac:dyDescent="0.35">
      <c r="B7729" s="853">
        <v>387049.1126741934</v>
      </c>
    </row>
    <row r="7730" spans="2:2" ht="15.5" x14ac:dyDescent="0.35">
      <c r="B7730" s="853">
        <v>20539.669859662077</v>
      </c>
    </row>
    <row r="7731" spans="2:2" ht="15.5" x14ac:dyDescent="0.35">
      <c r="B7731" s="853">
        <v>457209.21214501571</v>
      </c>
    </row>
    <row r="7732" spans="2:2" ht="15.5" x14ac:dyDescent="0.35">
      <c r="B7732" s="853">
        <v>597619.99599990889</v>
      </c>
    </row>
    <row r="7733" spans="2:2" ht="15.5" x14ac:dyDescent="0.35">
      <c r="B7733" s="853">
        <v>187345.39652780388</v>
      </c>
    </row>
    <row r="7734" spans="2:2" ht="15.5" x14ac:dyDescent="0.35">
      <c r="B7734" s="853">
        <v>403661.58254793176</v>
      </c>
    </row>
    <row r="7735" spans="2:2" ht="15.5" x14ac:dyDescent="0.35">
      <c r="B7735" s="853">
        <v>633862.07509053103</v>
      </c>
    </row>
    <row r="7736" spans="2:2" ht="15.5" x14ac:dyDescent="0.35">
      <c r="B7736" s="853">
        <v>550652.72109332785</v>
      </c>
    </row>
    <row r="7737" spans="2:2" ht="15.5" x14ac:dyDescent="0.35">
      <c r="B7737" s="853">
        <v>164385.17288143709</v>
      </c>
    </row>
    <row r="7738" spans="2:2" ht="15.5" x14ac:dyDescent="0.35">
      <c r="B7738" s="853">
        <v>100870.03899876407</v>
      </c>
    </row>
    <row r="7739" spans="2:2" ht="15.5" x14ac:dyDescent="0.35">
      <c r="B7739" s="853">
        <v>382567.43809193076</v>
      </c>
    </row>
    <row r="7740" spans="2:2" ht="15.5" x14ac:dyDescent="0.35">
      <c r="B7740" s="853">
        <v>369335.69771871978</v>
      </c>
    </row>
    <row r="7741" spans="2:2" ht="15.5" x14ac:dyDescent="0.35">
      <c r="B7741" s="853">
        <v>148650.13188226338</v>
      </c>
    </row>
    <row r="7742" spans="2:2" ht="15.5" x14ac:dyDescent="0.35">
      <c r="B7742" s="853">
        <v>559453.30239914882</v>
      </c>
    </row>
    <row r="7743" spans="2:2" ht="15.5" x14ac:dyDescent="0.35">
      <c r="B7743" s="853">
        <v>394495.75424372044</v>
      </c>
    </row>
    <row r="7744" spans="2:2" ht="15.5" x14ac:dyDescent="0.35">
      <c r="B7744" s="853">
        <v>221270.35126768853</v>
      </c>
    </row>
    <row r="7745" spans="2:2" ht="15.5" x14ac:dyDescent="0.35">
      <c r="B7745" s="853">
        <v>405529.75440111017</v>
      </c>
    </row>
    <row r="7746" spans="2:2" ht="15.5" x14ac:dyDescent="0.35">
      <c r="B7746" s="853">
        <v>389071.10380293691</v>
      </c>
    </row>
    <row r="7747" spans="2:2" ht="15.5" x14ac:dyDescent="0.35">
      <c r="B7747" s="853">
        <v>631743.73063573579</v>
      </c>
    </row>
    <row r="7748" spans="2:2" ht="15.5" x14ac:dyDescent="0.35">
      <c r="B7748" s="853">
        <v>584033.61825596401</v>
      </c>
    </row>
    <row r="7749" spans="2:2" ht="15.5" x14ac:dyDescent="0.35">
      <c r="B7749" s="853">
        <v>331446.10270923638</v>
      </c>
    </row>
    <row r="7750" spans="2:2" ht="15.5" x14ac:dyDescent="0.35">
      <c r="B7750" s="853">
        <v>518606.93283585546</v>
      </c>
    </row>
    <row r="7751" spans="2:2" ht="15.5" x14ac:dyDescent="0.35">
      <c r="B7751" s="853">
        <v>462920.95331125124</v>
      </c>
    </row>
    <row r="7752" spans="2:2" ht="15.5" x14ac:dyDescent="0.35">
      <c r="B7752" s="853">
        <v>279929.91203269939</v>
      </c>
    </row>
    <row r="7753" spans="2:2" ht="15.5" x14ac:dyDescent="0.35">
      <c r="B7753" s="853">
        <v>187988.25638487513</v>
      </c>
    </row>
    <row r="7754" spans="2:2" ht="15.5" x14ac:dyDescent="0.35">
      <c r="B7754" s="853">
        <v>33030.455179569872</v>
      </c>
    </row>
    <row r="7755" spans="2:2" ht="15.5" x14ac:dyDescent="0.35">
      <c r="B7755" s="853">
        <v>319774.01596400543</v>
      </c>
    </row>
    <row r="7756" spans="2:2" ht="15.5" x14ac:dyDescent="0.35">
      <c r="B7756" s="853">
        <v>501177.72724687861</v>
      </c>
    </row>
    <row r="7757" spans="2:2" ht="15.5" x14ac:dyDescent="0.35">
      <c r="B7757" s="853">
        <v>391385.68897113862</v>
      </c>
    </row>
    <row r="7758" spans="2:2" ht="15.5" x14ac:dyDescent="0.35">
      <c r="B7758" s="853">
        <v>139375.46872490618</v>
      </c>
    </row>
    <row r="7759" spans="2:2" ht="15.5" x14ac:dyDescent="0.35">
      <c r="B7759" s="853">
        <v>256616.30531773673</v>
      </c>
    </row>
    <row r="7760" spans="2:2" ht="15.5" x14ac:dyDescent="0.35">
      <c r="B7760" s="853">
        <v>446953.61759438791</v>
      </c>
    </row>
    <row r="7761" spans="2:2" ht="15.5" x14ac:dyDescent="0.35">
      <c r="B7761" s="853">
        <v>108884.34059037118</v>
      </c>
    </row>
    <row r="7762" spans="2:2" ht="15.5" x14ac:dyDescent="0.35">
      <c r="B7762" s="853">
        <v>476860.5239115482</v>
      </c>
    </row>
    <row r="7763" spans="2:2" ht="15.5" x14ac:dyDescent="0.35">
      <c r="B7763" s="853">
        <v>235162.27463533962</v>
      </c>
    </row>
    <row r="7764" spans="2:2" ht="15.5" x14ac:dyDescent="0.35">
      <c r="B7764" s="853">
        <v>-81003.399516288628</v>
      </c>
    </row>
    <row r="7765" spans="2:2" ht="15.5" x14ac:dyDescent="0.35">
      <c r="B7765" s="853">
        <v>290964.57098189247</v>
      </c>
    </row>
    <row r="7766" spans="2:2" ht="15.5" x14ac:dyDescent="0.35">
      <c r="B7766" s="853">
        <v>-72409.243153263873</v>
      </c>
    </row>
    <row r="7767" spans="2:2" ht="15.5" x14ac:dyDescent="0.35">
      <c r="B7767" s="853">
        <v>307925.94633612165</v>
      </c>
    </row>
    <row r="7768" spans="2:2" ht="15.5" x14ac:dyDescent="0.35">
      <c r="B7768" s="853">
        <v>621929.52200497582</v>
      </c>
    </row>
    <row r="7769" spans="2:2" ht="15.5" x14ac:dyDescent="0.35">
      <c r="B7769" s="853">
        <v>108810.65532268527</v>
      </c>
    </row>
    <row r="7770" spans="2:2" ht="15.5" x14ac:dyDescent="0.35">
      <c r="B7770" s="853">
        <v>438818.7739818425</v>
      </c>
    </row>
    <row r="7771" spans="2:2" ht="15.5" x14ac:dyDescent="0.35">
      <c r="B7771" s="853">
        <v>282327.93213570962</v>
      </c>
    </row>
    <row r="7772" spans="2:2" ht="15.5" x14ac:dyDescent="0.35">
      <c r="B7772" s="853">
        <v>489602.34223635984</v>
      </c>
    </row>
    <row r="7773" spans="2:2" ht="15.5" x14ac:dyDescent="0.35">
      <c r="B7773" s="853">
        <v>432501.83625507087</v>
      </c>
    </row>
    <row r="7774" spans="2:2" ht="15.5" x14ac:dyDescent="0.35">
      <c r="B7774" s="853">
        <v>52320.650393281365</v>
      </c>
    </row>
    <row r="7775" spans="2:2" ht="15.5" x14ac:dyDescent="0.35">
      <c r="B7775" s="853">
        <v>225308.00640256962</v>
      </c>
    </row>
    <row r="7776" spans="2:2" ht="15.5" x14ac:dyDescent="0.35">
      <c r="B7776" s="853">
        <v>363596.61584913672</v>
      </c>
    </row>
    <row r="7777" spans="2:2" ht="15.5" x14ac:dyDescent="0.35">
      <c r="B7777" s="853">
        <v>264211.03306358907</v>
      </c>
    </row>
    <row r="7778" spans="2:2" ht="15.5" x14ac:dyDescent="0.35">
      <c r="B7778" s="853">
        <v>208905.79994868828</v>
      </c>
    </row>
    <row r="7779" spans="2:2" ht="15.5" x14ac:dyDescent="0.35">
      <c r="B7779" s="853">
        <v>404352.94047502958</v>
      </c>
    </row>
    <row r="7780" spans="2:2" ht="15.5" x14ac:dyDescent="0.35">
      <c r="B7780" s="853">
        <v>285626.05616294517</v>
      </c>
    </row>
    <row r="7781" spans="2:2" ht="15.5" x14ac:dyDescent="0.35">
      <c r="B7781" s="853">
        <v>505098.19189672905</v>
      </c>
    </row>
    <row r="7782" spans="2:2" ht="15.5" x14ac:dyDescent="0.35">
      <c r="B7782" s="853">
        <v>269646.74150286347</v>
      </c>
    </row>
    <row r="7783" spans="2:2" ht="15.5" x14ac:dyDescent="0.35">
      <c r="B7783" s="853">
        <v>331879.81685020769</v>
      </c>
    </row>
    <row r="7784" spans="2:2" ht="15.5" x14ac:dyDescent="0.35">
      <c r="B7784" s="853">
        <v>354041.70180043258</v>
      </c>
    </row>
    <row r="7785" spans="2:2" ht="15.5" x14ac:dyDescent="0.35">
      <c r="B7785" s="853">
        <v>36179.25097546813</v>
      </c>
    </row>
    <row r="7786" spans="2:2" ht="15.5" x14ac:dyDescent="0.35">
      <c r="B7786" s="853">
        <v>509709.15230099455</v>
      </c>
    </row>
    <row r="7787" spans="2:2" ht="15.5" x14ac:dyDescent="0.35">
      <c r="B7787" s="853">
        <v>313117.35204320046</v>
      </c>
    </row>
    <row r="7788" spans="2:2" ht="15.5" x14ac:dyDescent="0.35">
      <c r="B7788" s="853">
        <v>442726.93331890588</v>
      </c>
    </row>
    <row r="7789" spans="2:2" ht="15.5" x14ac:dyDescent="0.35">
      <c r="B7789" s="853">
        <v>55470.492974527522</v>
      </c>
    </row>
    <row r="7790" spans="2:2" ht="15.5" x14ac:dyDescent="0.35">
      <c r="B7790" s="853">
        <v>299017.81337116443</v>
      </c>
    </row>
    <row r="7791" spans="2:2" ht="15.5" x14ac:dyDescent="0.35">
      <c r="B7791" s="853">
        <v>353407.20324467256</v>
      </c>
    </row>
    <row r="7792" spans="2:2" ht="15.5" x14ac:dyDescent="0.35">
      <c r="B7792" s="853">
        <v>360700.75659697875</v>
      </c>
    </row>
    <row r="7793" spans="2:2" ht="15.5" x14ac:dyDescent="0.35">
      <c r="B7793" s="853">
        <v>416371.88279586664</v>
      </c>
    </row>
    <row r="7794" spans="2:2" ht="15.5" x14ac:dyDescent="0.35">
      <c r="B7794" s="853">
        <v>352856.17930436134</v>
      </c>
    </row>
    <row r="7795" spans="2:2" ht="15.5" x14ac:dyDescent="0.35">
      <c r="B7795" s="853">
        <v>311631.86545588431</v>
      </c>
    </row>
    <row r="7796" spans="2:2" ht="15.5" x14ac:dyDescent="0.35">
      <c r="B7796" s="853">
        <v>604801.36070453399</v>
      </c>
    </row>
    <row r="7797" spans="2:2" ht="15.5" x14ac:dyDescent="0.35">
      <c r="B7797" s="853">
        <v>208618.57385868105</v>
      </c>
    </row>
    <row r="7798" spans="2:2" ht="15.5" x14ac:dyDescent="0.35">
      <c r="B7798" s="853">
        <v>677985.80830234243</v>
      </c>
    </row>
    <row r="7799" spans="2:2" ht="15.5" x14ac:dyDescent="0.35">
      <c r="B7799" s="853">
        <v>313052.65569166269</v>
      </c>
    </row>
    <row r="7800" spans="2:2" ht="15.5" x14ac:dyDescent="0.35">
      <c r="B7800" s="853">
        <v>300326.9732599486</v>
      </c>
    </row>
    <row r="7801" spans="2:2" ht="15.5" x14ac:dyDescent="0.35">
      <c r="B7801" s="853">
        <v>227254.20064682342</v>
      </c>
    </row>
    <row r="7802" spans="2:2" ht="15.5" x14ac:dyDescent="0.35">
      <c r="B7802" s="853">
        <v>63819.441946558945</v>
      </c>
    </row>
    <row r="7803" spans="2:2" ht="15.5" x14ac:dyDescent="0.35">
      <c r="B7803" s="853">
        <v>62490.144599206767</v>
      </c>
    </row>
    <row r="7804" spans="2:2" ht="15.5" x14ac:dyDescent="0.35">
      <c r="B7804" s="853">
        <v>261298.35409299884</v>
      </c>
    </row>
    <row r="7805" spans="2:2" ht="15.5" x14ac:dyDescent="0.35">
      <c r="B7805" s="853">
        <v>138143.52655251379</v>
      </c>
    </row>
    <row r="7806" spans="2:2" ht="15.5" x14ac:dyDescent="0.35">
      <c r="B7806" s="853">
        <v>381494.93008030776</v>
      </c>
    </row>
    <row r="7807" spans="2:2" ht="15.5" x14ac:dyDescent="0.35">
      <c r="B7807" s="853">
        <v>216768.92976053851</v>
      </c>
    </row>
    <row r="7808" spans="2:2" ht="15.5" x14ac:dyDescent="0.35">
      <c r="B7808" s="853">
        <v>429483.91034635232</v>
      </c>
    </row>
    <row r="7809" spans="2:2" ht="15.5" x14ac:dyDescent="0.35">
      <c r="B7809" s="853">
        <v>151539.64837133235</v>
      </c>
    </row>
    <row r="7810" spans="2:2" ht="15.5" x14ac:dyDescent="0.35">
      <c r="B7810" s="853">
        <v>372547.3793336855</v>
      </c>
    </row>
    <row r="7811" spans="2:2" ht="15.5" x14ac:dyDescent="0.35">
      <c r="B7811" s="853">
        <v>105812.17600844943</v>
      </c>
    </row>
    <row r="7812" spans="2:2" ht="15.5" x14ac:dyDescent="0.35">
      <c r="B7812" s="853">
        <v>360759.06908873451</v>
      </c>
    </row>
    <row r="7813" spans="2:2" ht="15.5" x14ac:dyDescent="0.35">
      <c r="B7813" s="853">
        <v>497777.66891432164</v>
      </c>
    </row>
    <row r="7814" spans="2:2" ht="15.5" x14ac:dyDescent="0.35">
      <c r="B7814" s="853">
        <v>438179.68712697859</v>
      </c>
    </row>
    <row r="7815" spans="2:2" ht="15.5" x14ac:dyDescent="0.35">
      <c r="B7815" s="853">
        <v>75174.212970410124</v>
      </c>
    </row>
    <row r="7816" spans="2:2" ht="15.5" x14ac:dyDescent="0.35">
      <c r="B7816" s="853">
        <v>307205.49955067271</v>
      </c>
    </row>
    <row r="7817" spans="2:2" ht="15.5" x14ac:dyDescent="0.35">
      <c r="B7817" s="853">
        <v>367732.78713179677</v>
      </c>
    </row>
    <row r="7818" spans="2:2" ht="15.5" x14ac:dyDescent="0.35">
      <c r="B7818" s="853">
        <v>263780.46938991093</v>
      </c>
    </row>
    <row r="7819" spans="2:2" ht="15.5" x14ac:dyDescent="0.35">
      <c r="B7819" s="853">
        <v>766230.84502156253</v>
      </c>
    </row>
    <row r="7820" spans="2:2" ht="15.5" x14ac:dyDescent="0.35">
      <c r="B7820" s="853">
        <v>319047.7776640057</v>
      </c>
    </row>
    <row r="7821" spans="2:2" ht="15.5" x14ac:dyDescent="0.35">
      <c r="B7821" s="853">
        <v>130300.55702923877</v>
      </c>
    </row>
    <row r="7822" spans="2:2" ht="15.5" x14ac:dyDescent="0.35">
      <c r="B7822" s="853">
        <v>13514.787407386619</v>
      </c>
    </row>
    <row r="7823" spans="2:2" ht="15.5" x14ac:dyDescent="0.35">
      <c r="B7823" s="853">
        <v>27698.78955694973</v>
      </c>
    </row>
    <row r="7824" spans="2:2" ht="15.5" x14ac:dyDescent="0.35">
      <c r="B7824" s="853">
        <v>281004.80682390311</v>
      </c>
    </row>
    <row r="7825" spans="2:2" ht="15.5" x14ac:dyDescent="0.35">
      <c r="B7825" s="853">
        <v>177684.72922394599</v>
      </c>
    </row>
    <row r="7826" spans="2:2" ht="15.5" x14ac:dyDescent="0.35">
      <c r="B7826" s="853">
        <v>568906.45279170596</v>
      </c>
    </row>
    <row r="7827" spans="2:2" ht="15.5" x14ac:dyDescent="0.35">
      <c r="B7827" s="853">
        <v>295870.1322623163</v>
      </c>
    </row>
    <row r="7828" spans="2:2" ht="15.5" x14ac:dyDescent="0.35">
      <c r="B7828" s="853">
        <v>223515.33551338845</v>
      </c>
    </row>
    <row r="7829" spans="2:2" ht="15.5" x14ac:dyDescent="0.35">
      <c r="B7829" s="853">
        <v>223426.67227245437</v>
      </c>
    </row>
    <row r="7830" spans="2:2" ht="15.5" x14ac:dyDescent="0.35">
      <c r="B7830" s="853">
        <v>351019.47489912051</v>
      </c>
    </row>
    <row r="7831" spans="2:2" ht="15.5" x14ac:dyDescent="0.35">
      <c r="B7831" s="853">
        <v>224181.96982179949</v>
      </c>
    </row>
    <row r="7832" spans="2:2" ht="15.5" x14ac:dyDescent="0.35">
      <c r="B7832" s="853">
        <v>-15544.677922419862</v>
      </c>
    </row>
    <row r="7833" spans="2:2" ht="15.5" x14ac:dyDescent="0.35">
      <c r="B7833" s="853">
        <v>342454.415662068</v>
      </c>
    </row>
    <row r="7834" spans="2:2" ht="15.5" x14ac:dyDescent="0.35">
      <c r="B7834" s="853">
        <v>309510.82523563277</v>
      </c>
    </row>
    <row r="7835" spans="2:2" ht="15.5" x14ac:dyDescent="0.35">
      <c r="B7835" s="853">
        <v>257390.18448848877</v>
      </c>
    </row>
    <row r="7836" spans="2:2" ht="15.5" x14ac:dyDescent="0.35">
      <c r="B7836" s="853">
        <v>536388.05594129057</v>
      </c>
    </row>
    <row r="7837" spans="2:2" ht="15.5" x14ac:dyDescent="0.35">
      <c r="B7837" s="853">
        <v>153698.89105556012</v>
      </c>
    </row>
    <row r="7838" spans="2:2" ht="15.5" x14ac:dyDescent="0.35">
      <c r="B7838" s="853">
        <v>430049.2061688698</v>
      </c>
    </row>
    <row r="7839" spans="2:2" ht="15.5" x14ac:dyDescent="0.35">
      <c r="B7839" s="853">
        <v>194850.59195383647</v>
      </c>
    </row>
    <row r="7840" spans="2:2" ht="15.5" x14ac:dyDescent="0.35">
      <c r="B7840" s="853">
        <v>220029.77126228649</v>
      </c>
    </row>
    <row r="7841" spans="2:2" ht="15.5" x14ac:dyDescent="0.35">
      <c r="B7841" s="853">
        <v>310758.82205699279</v>
      </c>
    </row>
    <row r="7842" spans="2:2" ht="15.5" x14ac:dyDescent="0.35">
      <c r="B7842" s="853">
        <v>51662.98377031472</v>
      </c>
    </row>
    <row r="7843" spans="2:2" ht="15.5" x14ac:dyDescent="0.35">
      <c r="B7843" s="853">
        <v>406185.62540009618</v>
      </c>
    </row>
    <row r="7844" spans="2:2" ht="15.5" x14ac:dyDescent="0.35">
      <c r="B7844" s="853">
        <v>461759.88164742436</v>
      </c>
    </row>
    <row r="7845" spans="2:2" ht="15.5" x14ac:dyDescent="0.35">
      <c r="B7845" s="853">
        <v>253510.55961334924</v>
      </c>
    </row>
    <row r="7846" spans="2:2" ht="15.5" x14ac:dyDescent="0.35">
      <c r="B7846" s="853">
        <v>-42394.854069125802</v>
      </c>
    </row>
    <row r="7847" spans="2:2" ht="15.5" x14ac:dyDescent="0.35">
      <c r="B7847" s="853">
        <v>291543.23875839874</v>
      </c>
    </row>
    <row r="7848" spans="2:2" ht="15.5" x14ac:dyDescent="0.35">
      <c r="B7848" s="853">
        <v>285141.18795187236</v>
      </c>
    </row>
    <row r="7849" spans="2:2" ht="15.5" x14ac:dyDescent="0.35">
      <c r="B7849" s="853">
        <v>687329.20077845862</v>
      </c>
    </row>
    <row r="7850" spans="2:2" ht="15.5" x14ac:dyDescent="0.35">
      <c r="B7850" s="853">
        <v>225524.39557067308</v>
      </c>
    </row>
    <row r="7851" spans="2:2" ht="15.5" x14ac:dyDescent="0.35">
      <c r="B7851" s="853">
        <v>354842.73886074749</v>
      </c>
    </row>
    <row r="7852" spans="2:2" ht="15.5" x14ac:dyDescent="0.35">
      <c r="B7852" s="853">
        <v>332676.53517710819</v>
      </c>
    </row>
    <row r="7853" spans="2:2" ht="15.5" x14ac:dyDescent="0.35">
      <c r="B7853" s="853">
        <v>442501.1636748836</v>
      </c>
    </row>
    <row r="7854" spans="2:2" ht="15.5" x14ac:dyDescent="0.35">
      <c r="B7854" s="853">
        <v>346784.28821728547</v>
      </c>
    </row>
    <row r="7855" spans="2:2" ht="15.5" x14ac:dyDescent="0.35">
      <c r="B7855" s="853">
        <v>167602.11255570996</v>
      </c>
    </row>
    <row r="7856" spans="2:2" ht="15.5" x14ac:dyDescent="0.35">
      <c r="B7856" s="853">
        <v>427251.40863160987</v>
      </c>
    </row>
    <row r="7857" spans="2:2" ht="15.5" x14ac:dyDescent="0.35">
      <c r="B7857" s="853">
        <v>375292.37208913773</v>
      </c>
    </row>
    <row r="7858" spans="2:2" ht="15.5" x14ac:dyDescent="0.35">
      <c r="B7858" s="853">
        <v>438283.35532302299</v>
      </c>
    </row>
    <row r="7859" spans="2:2" ht="15.5" x14ac:dyDescent="0.35">
      <c r="B7859" s="853">
        <v>327873.59277739411</v>
      </c>
    </row>
    <row r="7860" spans="2:2" ht="15.5" x14ac:dyDescent="0.35">
      <c r="B7860" s="853">
        <v>366147.05283927766</v>
      </c>
    </row>
    <row r="7861" spans="2:2" ht="15.5" x14ac:dyDescent="0.35">
      <c r="B7861" s="853">
        <v>510592.92765103508</v>
      </c>
    </row>
    <row r="7862" spans="2:2" ht="15.5" x14ac:dyDescent="0.35">
      <c r="B7862" s="853">
        <v>537017.18164766941</v>
      </c>
    </row>
    <row r="7863" spans="2:2" ht="15.5" x14ac:dyDescent="0.35">
      <c r="B7863" s="853">
        <v>437749.90502870601</v>
      </c>
    </row>
    <row r="7864" spans="2:2" ht="15.5" x14ac:dyDescent="0.35">
      <c r="B7864" s="853">
        <v>269538.86511416687</v>
      </c>
    </row>
    <row r="7865" spans="2:2" ht="15.5" x14ac:dyDescent="0.35">
      <c r="B7865" s="853">
        <v>270955.49834719521</v>
      </c>
    </row>
    <row r="7866" spans="2:2" ht="15.5" x14ac:dyDescent="0.35">
      <c r="B7866" s="853">
        <v>-67026.757416631648</v>
      </c>
    </row>
    <row r="7867" spans="2:2" ht="15.5" x14ac:dyDescent="0.35">
      <c r="B7867" s="853">
        <v>379788.18553403305</v>
      </c>
    </row>
    <row r="7868" spans="2:2" ht="15.5" x14ac:dyDescent="0.35">
      <c r="B7868" s="853">
        <v>261730.58323200449</v>
      </c>
    </row>
    <row r="7869" spans="2:2" ht="15.5" x14ac:dyDescent="0.35">
      <c r="B7869" s="853">
        <v>228757.10176647775</v>
      </c>
    </row>
    <row r="7870" spans="2:2" ht="15.5" x14ac:dyDescent="0.35">
      <c r="B7870" s="853">
        <v>261143.67127714757</v>
      </c>
    </row>
    <row r="7871" spans="2:2" ht="15.5" x14ac:dyDescent="0.35">
      <c r="B7871" s="853">
        <v>522215.32171882654</v>
      </c>
    </row>
    <row r="7872" spans="2:2" ht="15.5" x14ac:dyDescent="0.35">
      <c r="B7872" s="853">
        <v>43530.06520214078</v>
      </c>
    </row>
    <row r="7873" spans="2:2" ht="15.5" x14ac:dyDescent="0.35">
      <c r="B7873" s="853">
        <v>565336.60507443349</v>
      </c>
    </row>
    <row r="7874" spans="2:2" ht="15.5" x14ac:dyDescent="0.35">
      <c r="B7874" s="853">
        <v>-22990.466815170672</v>
      </c>
    </row>
    <row r="7875" spans="2:2" ht="15.5" x14ac:dyDescent="0.35">
      <c r="B7875" s="853">
        <v>187644.77613834376</v>
      </c>
    </row>
    <row r="7876" spans="2:2" ht="15.5" x14ac:dyDescent="0.35">
      <c r="B7876" s="853">
        <v>212187.27496380141</v>
      </c>
    </row>
    <row r="7877" spans="2:2" ht="15.5" x14ac:dyDescent="0.35">
      <c r="B7877" s="853">
        <v>489435.94194109557</v>
      </c>
    </row>
    <row r="7878" spans="2:2" ht="15.5" x14ac:dyDescent="0.35">
      <c r="B7878" s="853">
        <v>557179.51001473924</v>
      </c>
    </row>
    <row r="7879" spans="2:2" ht="15.5" x14ac:dyDescent="0.35">
      <c r="B7879" s="853">
        <v>-203933.87155217986</v>
      </c>
    </row>
    <row r="7880" spans="2:2" ht="15.5" x14ac:dyDescent="0.35">
      <c r="B7880" s="853">
        <v>37931.136855624696</v>
      </c>
    </row>
    <row r="7881" spans="2:2" ht="15.5" x14ac:dyDescent="0.35">
      <c r="B7881" s="853">
        <v>409928.75391790119</v>
      </c>
    </row>
    <row r="7882" spans="2:2" ht="15.5" x14ac:dyDescent="0.35">
      <c r="B7882" s="853">
        <v>274344.16772214568</v>
      </c>
    </row>
    <row r="7883" spans="2:2" ht="15.5" x14ac:dyDescent="0.35">
      <c r="B7883" s="853">
        <v>279245.26185412263</v>
      </c>
    </row>
    <row r="7884" spans="2:2" ht="15.5" x14ac:dyDescent="0.35">
      <c r="B7884" s="853">
        <v>174130.1236364361</v>
      </c>
    </row>
    <row r="7885" spans="2:2" ht="15.5" x14ac:dyDescent="0.35">
      <c r="B7885" s="853">
        <v>605473.38829984597</v>
      </c>
    </row>
    <row r="7886" spans="2:2" ht="15.5" x14ac:dyDescent="0.35">
      <c r="B7886" s="853">
        <v>120215.40084013756</v>
      </c>
    </row>
    <row r="7887" spans="2:2" ht="15.5" x14ac:dyDescent="0.35">
      <c r="B7887" s="853">
        <v>-88001.199405828753</v>
      </c>
    </row>
    <row r="7888" spans="2:2" ht="15.5" x14ac:dyDescent="0.35">
      <c r="B7888" s="853">
        <v>462871.19484090531</v>
      </c>
    </row>
    <row r="7889" spans="2:2" ht="15.5" x14ac:dyDescent="0.35">
      <c r="B7889" s="853">
        <v>105923.5926441871</v>
      </c>
    </row>
    <row r="7890" spans="2:2" ht="15.5" x14ac:dyDescent="0.35">
      <c r="B7890" s="853">
        <v>429407.3920354431</v>
      </c>
    </row>
    <row r="7891" spans="2:2" ht="15.5" x14ac:dyDescent="0.35">
      <c r="B7891" s="853">
        <v>424637.47529537004</v>
      </c>
    </row>
    <row r="7892" spans="2:2" ht="15.5" x14ac:dyDescent="0.35">
      <c r="B7892" s="853">
        <v>356290.24391225958</v>
      </c>
    </row>
    <row r="7893" spans="2:2" ht="15.5" x14ac:dyDescent="0.35">
      <c r="B7893" s="853">
        <v>419632.23835064506</v>
      </c>
    </row>
    <row r="7894" spans="2:2" ht="15.5" x14ac:dyDescent="0.35">
      <c r="B7894" s="853">
        <v>-11884.405923317099</v>
      </c>
    </row>
    <row r="7895" spans="2:2" ht="15.5" x14ac:dyDescent="0.35">
      <c r="B7895" s="853">
        <v>453154.09468574799</v>
      </c>
    </row>
    <row r="7896" spans="2:2" ht="15.5" x14ac:dyDescent="0.35">
      <c r="B7896" s="853">
        <v>242188.36918148937</v>
      </c>
    </row>
    <row r="7897" spans="2:2" ht="15.5" x14ac:dyDescent="0.35">
      <c r="B7897" s="853">
        <v>-17624.611044054247</v>
      </c>
    </row>
    <row r="7898" spans="2:2" ht="15.5" x14ac:dyDescent="0.35">
      <c r="B7898" s="853">
        <v>349338.5300587758</v>
      </c>
    </row>
    <row r="7899" spans="2:2" ht="15.5" x14ac:dyDescent="0.35">
      <c r="B7899" s="853">
        <v>234977.59758551954</v>
      </c>
    </row>
    <row r="7900" spans="2:2" ht="15.5" x14ac:dyDescent="0.35">
      <c r="B7900" s="853">
        <v>454772.47394445131</v>
      </c>
    </row>
    <row r="7901" spans="2:2" ht="15.5" x14ac:dyDescent="0.35">
      <c r="B7901" s="853">
        <v>482264.02003011742</v>
      </c>
    </row>
    <row r="7902" spans="2:2" ht="15.5" x14ac:dyDescent="0.35">
      <c r="B7902" s="853">
        <v>392090.75200310542</v>
      </c>
    </row>
    <row r="7903" spans="2:2" ht="15.5" x14ac:dyDescent="0.35">
      <c r="B7903" s="853">
        <v>217621.3295247865</v>
      </c>
    </row>
    <row r="7904" spans="2:2" ht="15.5" x14ac:dyDescent="0.35">
      <c r="B7904" s="853">
        <v>134076.71491690158</v>
      </c>
    </row>
    <row r="7905" spans="2:2" ht="15.5" x14ac:dyDescent="0.35">
      <c r="B7905" s="853">
        <v>407473.61641894013</v>
      </c>
    </row>
    <row r="7906" spans="2:2" ht="15.5" x14ac:dyDescent="0.35">
      <c r="B7906" s="853">
        <v>472653.24812819116</v>
      </c>
    </row>
    <row r="7907" spans="2:2" ht="15.5" x14ac:dyDescent="0.35">
      <c r="B7907" s="853">
        <v>459022.16621568747</v>
      </c>
    </row>
    <row r="7908" spans="2:2" ht="15.5" x14ac:dyDescent="0.35">
      <c r="B7908" s="853">
        <v>309454.07856236852</v>
      </c>
    </row>
    <row r="7909" spans="2:2" ht="15.5" x14ac:dyDescent="0.35">
      <c r="B7909" s="853">
        <v>444216.33445133723</v>
      </c>
    </row>
    <row r="7910" spans="2:2" ht="15.5" x14ac:dyDescent="0.35">
      <c r="B7910" s="853">
        <v>287510.89529259206</v>
      </c>
    </row>
    <row r="7911" spans="2:2" ht="15.5" x14ac:dyDescent="0.35">
      <c r="B7911" s="853">
        <v>264686.73495540844</v>
      </c>
    </row>
    <row r="7912" spans="2:2" ht="15.5" x14ac:dyDescent="0.35">
      <c r="B7912" s="853">
        <v>209054.09774562524</v>
      </c>
    </row>
    <row r="7913" spans="2:2" ht="15.5" x14ac:dyDescent="0.35">
      <c r="B7913" s="853">
        <v>168275.66024701414</v>
      </c>
    </row>
    <row r="7914" spans="2:2" ht="15.5" x14ac:dyDescent="0.35">
      <c r="B7914" s="853">
        <v>311254.14223434532</v>
      </c>
    </row>
    <row r="7915" spans="2:2" ht="15.5" x14ac:dyDescent="0.35">
      <c r="B7915" s="853">
        <v>337992.15754651092</v>
      </c>
    </row>
    <row r="7916" spans="2:2" ht="15.5" x14ac:dyDescent="0.35">
      <c r="B7916" s="853">
        <v>399355.46511945</v>
      </c>
    </row>
    <row r="7917" spans="2:2" ht="15.5" x14ac:dyDescent="0.35">
      <c r="B7917" s="853">
        <v>438860.96807799995</v>
      </c>
    </row>
    <row r="7918" spans="2:2" ht="15.5" x14ac:dyDescent="0.35">
      <c r="B7918" s="853">
        <v>517898.94009472197</v>
      </c>
    </row>
    <row r="7919" spans="2:2" ht="15.5" x14ac:dyDescent="0.35">
      <c r="B7919" s="853">
        <v>344646.70238442055</v>
      </c>
    </row>
    <row r="7920" spans="2:2" ht="15.5" x14ac:dyDescent="0.35">
      <c r="B7920" s="853">
        <v>154602.41084350034</v>
      </c>
    </row>
    <row r="7921" spans="2:2" ht="15.5" x14ac:dyDescent="0.35">
      <c r="B7921" s="853">
        <v>246068.57583918612</v>
      </c>
    </row>
    <row r="7922" spans="2:2" ht="15.5" x14ac:dyDescent="0.35">
      <c r="B7922" s="853">
        <v>363121.92776412173</v>
      </c>
    </row>
    <row r="7923" spans="2:2" ht="15.5" x14ac:dyDescent="0.35">
      <c r="B7923" s="853">
        <v>165520.13261415591</v>
      </c>
    </row>
    <row r="7924" spans="2:2" ht="15.5" x14ac:dyDescent="0.35">
      <c r="B7924" s="853">
        <v>362011.62954437011</v>
      </c>
    </row>
    <row r="7925" spans="2:2" ht="15.5" x14ac:dyDescent="0.35">
      <c r="B7925" s="853">
        <v>205011.94399100487</v>
      </c>
    </row>
    <row r="7926" spans="2:2" ht="15.5" x14ac:dyDescent="0.35">
      <c r="B7926" s="853">
        <v>311276.72792673676</v>
      </c>
    </row>
    <row r="7927" spans="2:2" ht="15.5" x14ac:dyDescent="0.35">
      <c r="B7927" s="853">
        <v>350661.12773913459</v>
      </c>
    </row>
    <row r="7928" spans="2:2" ht="15.5" x14ac:dyDescent="0.35">
      <c r="B7928" s="853">
        <v>510317.21334752225</v>
      </c>
    </row>
    <row r="7929" spans="2:2" ht="15.5" x14ac:dyDescent="0.35">
      <c r="B7929" s="853">
        <v>232043.29691970203</v>
      </c>
    </row>
    <row r="7930" spans="2:2" ht="15.5" x14ac:dyDescent="0.35">
      <c r="B7930" s="853">
        <v>228822.65035728575</v>
      </c>
    </row>
    <row r="7931" spans="2:2" ht="15.5" x14ac:dyDescent="0.35">
      <c r="B7931" s="853">
        <v>382418.41457737162</v>
      </c>
    </row>
    <row r="7932" spans="2:2" ht="15.5" x14ac:dyDescent="0.35">
      <c r="B7932" s="853">
        <v>272403.19690469798</v>
      </c>
    </row>
    <row r="7933" spans="2:2" ht="15.5" x14ac:dyDescent="0.35">
      <c r="B7933" s="853">
        <v>573727.3156029057</v>
      </c>
    </row>
    <row r="7934" spans="2:2" ht="15.5" x14ac:dyDescent="0.35">
      <c r="B7934" s="853">
        <v>199934.17904369789</v>
      </c>
    </row>
    <row r="7935" spans="2:2" ht="15.5" x14ac:dyDescent="0.35">
      <c r="B7935" s="853">
        <v>-26865.826941310519</v>
      </c>
    </row>
    <row r="7936" spans="2:2" ht="15.5" x14ac:dyDescent="0.35">
      <c r="B7936" s="853">
        <v>609536.24655774212</v>
      </c>
    </row>
    <row r="7937" spans="2:2" ht="15.5" x14ac:dyDescent="0.35">
      <c r="B7937" s="853">
        <v>395910.89167882508</v>
      </c>
    </row>
    <row r="7938" spans="2:2" ht="15.5" x14ac:dyDescent="0.35">
      <c r="B7938" s="853">
        <v>414761.20408017939</v>
      </c>
    </row>
    <row r="7939" spans="2:2" ht="15.5" x14ac:dyDescent="0.35">
      <c r="B7939" s="853">
        <v>657783.20985963696</v>
      </c>
    </row>
    <row r="7940" spans="2:2" ht="15.5" x14ac:dyDescent="0.35">
      <c r="B7940" s="853">
        <v>503712.33083101158</v>
      </c>
    </row>
    <row r="7941" spans="2:2" ht="15.5" x14ac:dyDescent="0.35">
      <c r="B7941" s="853">
        <v>218877.01700243069</v>
      </c>
    </row>
    <row r="7942" spans="2:2" ht="15.5" x14ac:dyDescent="0.35">
      <c r="B7942" s="853">
        <v>570315.59816969722</v>
      </c>
    </row>
    <row r="7943" spans="2:2" ht="15.5" x14ac:dyDescent="0.35">
      <c r="B7943" s="853">
        <v>290244.1061291619</v>
      </c>
    </row>
    <row r="7944" spans="2:2" ht="15.5" x14ac:dyDescent="0.35">
      <c r="B7944" s="853">
        <v>447396.53696468769</v>
      </c>
    </row>
    <row r="7945" spans="2:2" ht="15.5" x14ac:dyDescent="0.35">
      <c r="B7945" s="853">
        <v>358854.59913494874</v>
      </c>
    </row>
    <row r="7946" spans="2:2" ht="15.5" x14ac:dyDescent="0.35">
      <c r="B7946" s="853">
        <v>92848.029122871463</v>
      </c>
    </row>
    <row r="7947" spans="2:2" ht="15.5" x14ac:dyDescent="0.35">
      <c r="B7947" s="853">
        <v>359371.82176077878</v>
      </c>
    </row>
    <row r="7948" spans="2:2" ht="15.5" x14ac:dyDescent="0.35">
      <c r="B7948" s="853">
        <v>234763.63569577003</v>
      </c>
    </row>
    <row r="7949" spans="2:2" ht="15.5" x14ac:dyDescent="0.35">
      <c r="B7949" s="853">
        <v>228119.09364888503</v>
      </c>
    </row>
    <row r="7950" spans="2:2" ht="15.5" x14ac:dyDescent="0.35">
      <c r="B7950" s="853">
        <v>346387.7306888625</v>
      </c>
    </row>
    <row r="7951" spans="2:2" ht="15.5" x14ac:dyDescent="0.35">
      <c r="B7951" s="853">
        <v>267584.42472245218</v>
      </c>
    </row>
    <row r="7952" spans="2:2" ht="15.5" x14ac:dyDescent="0.35">
      <c r="B7952" s="853">
        <v>249837.19110100219</v>
      </c>
    </row>
    <row r="7953" spans="2:2" ht="15.5" x14ac:dyDescent="0.35">
      <c r="B7953" s="853">
        <v>360762.35493512743</v>
      </c>
    </row>
    <row r="7954" spans="2:2" ht="15.5" x14ac:dyDescent="0.35">
      <c r="B7954" s="853">
        <v>164300.86456890689</v>
      </c>
    </row>
    <row r="7955" spans="2:2" ht="15.5" x14ac:dyDescent="0.35">
      <c r="B7955" s="853">
        <v>317438.5899689793</v>
      </c>
    </row>
    <row r="7956" spans="2:2" ht="15.5" x14ac:dyDescent="0.35">
      <c r="B7956" s="853">
        <v>278496.5407130784</v>
      </c>
    </row>
    <row r="7957" spans="2:2" ht="15.5" x14ac:dyDescent="0.35">
      <c r="B7957" s="853">
        <v>268802.10880531871</v>
      </c>
    </row>
    <row r="7958" spans="2:2" ht="15.5" x14ac:dyDescent="0.35">
      <c r="B7958" s="853">
        <v>278511.97312764224</v>
      </c>
    </row>
    <row r="7959" spans="2:2" ht="15.5" x14ac:dyDescent="0.35">
      <c r="B7959" s="853">
        <v>187643.94276797122</v>
      </c>
    </row>
    <row r="7960" spans="2:2" ht="15.5" x14ac:dyDescent="0.35">
      <c r="B7960" s="853">
        <v>418241.41248716047</v>
      </c>
    </row>
    <row r="7961" spans="2:2" ht="15.5" x14ac:dyDescent="0.35">
      <c r="B7961" s="853">
        <v>181374.09336493575</v>
      </c>
    </row>
    <row r="7962" spans="2:2" ht="15.5" x14ac:dyDescent="0.35">
      <c r="B7962" s="853">
        <v>82126.317918434681</v>
      </c>
    </row>
    <row r="7963" spans="2:2" ht="15.5" x14ac:dyDescent="0.35">
      <c r="B7963" s="853">
        <v>225122.29732423395</v>
      </c>
    </row>
    <row r="7964" spans="2:2" ht="15.5" x14ac:dyDescent="0.35">
      <c r="B7964" s="853">
        <v>444400.79964225646</v>
      </c>
    </row>
    <row r="7965" spans="2:2" ht="15.5" x14ac:dyDescent="0.35">
      <c r="B7965" s="853">
        <v>363445.89234470698</v>
      </c>
    </row>
    <row r="7966" spans="2:2" ht="15.5" x14ac:dyDescent="0.35">
      <c r="B7966" s="853">
        <v>354223.26700624108</v>
      </c>
    </row>
    <row r="7967" spans="2:2" ht="15.5" x14ac:dyDescent="0.35">
      <c r="B7967" s="853">
        <v>527542.42001368396</v>
      </c>
    </row>
    <row r="7968" spans="2:2" ht="15.5" x14ac:dyDescent="0.35">
      <c r="B7968" s="853">
        <v>269317.89043919212</v>
      </c>
    </row>
    <row r="7969" spans="2:2" ht="15.5" x14ac:dyDescent="0.35">
      <c r="B7969" s="853">
        <v>289712.87451356644</v>
      </c>
    </row>
    <row r="7970" spans="2:2" ht="15.5" x14ac:dyDescent="0.35">
      <c r="B7970" s="853">
        <v>435032.35203299602</v>
      </c>
    </row>
    <row r="7971" spans="2:2" ht="15.5" x14ac:dyDescent="0.35">
      <c r="B7971" s="853">
        <v>417982.56265976938</v>
      </c>
    </row>
    <row r="7972" spans="2:2" ht="15.5" x14ac:dyDescent="0.35">
      <c r="B7972" s="853">
        <v>332252.33621402312</v>
      </c>
    </row>
    <row r="7973" spans="2:2" ht="15.5" x14ac:dyDescent="0.35">
      <c r="B7973" s="853">
        <v>320491.62836039264</v>
      </c>
    </row>
    <row r="7974" spans="2:2" ht="15.5" x14ac:dyDescent="0.35">
      <c r="B7974" s="853">
        <v>452825.59277093422</v>
      </c>
    </row>
    <row r="7975" spans="2:2" ht="15.5" x14ac:dyDescent="0.35">
      <c r="B7975" s="853">
        <v>132942.27606637814</v>
      </c>
    </row>
    <row r="7976" spans="2:2" ht="15.5" x14ac:dyDescent="0.35">
      <c r="B7976" s="853">
        <v>3953.1108258165041</v>
      </c>
    </row>
    <row r="7977" spans="2:2" ht="15.5" x14ac:dyDescent="0.35">
      <c r="B7977" s="853">
        <v>223856.78353460561</v>
      </c>
    </row>
    <row r="7978" spans="2:2" ht="15.5" x14ac:dyDescent="0.35">
      <c r="B7978" s="853">
        <v>405177.69589853915</v>
      </c>
    </row>
    <row r="7979" spans="2:2" ht="15.5" x14ac:dyDescent="0.35">
      <c r="B7979" s="853">
        <v>218545.48501588486</v>
      </c>
    </row>
    <row r="7980" spans="2:2" ht="15.5" x14ac:dyDescent="0.35">
      <c r="B7980" s="853">
        <v>64701.293725569318</v>
      </c>
    </row>
    <row r="7981" spans="2:2" ht="15.5" x14ac:dyDescent="0.35">
      <c r="B7981" s="853">
        <v>746942.60095264192</v>
      </c>
    </row>
    <row r="7982" spans="2:2" ht="15.5" x14ac:dyDescent="0.35">
      <c r="B7982" s="853">
        <v>304619.22409042012</v>
      </c>
    </row>
    <row r="7983" spans="2:2" ht="15.5" x14ac:dyDescent="0.35">
      <c r="B7983" s="853">
        <v>88138.461268585423</v>
      </c>
    </row>
    <row r="7984" spans="2:2" ht="15.5" x14ac:dyDescent="0.35">
      <c r="B7984" s="853">
        <v>324549.49073195172</v>
      </c>
    </row>
    <row r="7985" spans="2:2" ht="15.5" x14ac:dyDescent="0.35">
      <c r="B7985" s="853">
        <v>965250.48283229559</v>
      </c>
    </row>
    <row r="7986" spans="2:2" ht="15.5" x14ac:dyDescent="0.35">
      <c r="B7986" s="853">
        <v>426647.45009358117</v>
      </c>
    </row>
    <row r="7987" spans="2:2" ht="15.5" x14ac:dyDescent="0.35">
      <c r="B7987" s="853">
        <v>415967.10694030416</v>
      </c>
    </row>
    <row r="7988" spans="2:2" ht="15.5" x14ac:dyDescent="0.35">
      <c r="B7988" s="853">
        <v>148376.98174464674</v>
      </c>
    </row>
    <row r="7989" spans="2:2" ht="15.5" x14ac:dyDescent="0.35">
      <c r="B7989" s="853">
        <v>329374.3397823844</v>
      </c>
    </row>
    <row r="7990" spans="2:2" ht="15.5" x14ac:dyDescent="0.35">
      <c r="B7990" s="853">
        <v>432833.65513897018</v>
      </c>
    </row>
    <row r="7991" spans="2:2" ht="15.5" x14ac:dyDescent="0.35">
      <c r="B7991" s="853">
        <v>450220.65428820672</v>
      </c>
    </row>
    <row r="7992" spans="2:2" ht="15.5" x14ac:dyDescent="0.35">
      <c r="B7992" s="853">
        <v>290407.20658555307</v>
      </c>
    </row>
    <row r="7993" spans="2:2" ht="15.5" x14ac:dyDescent="0.35">
      <c r="B7993" s="853">
        <v>239917.37994723141</v>
      </c>
    </row>
    <row r="7994" spans="2:2" ht="15.5" x14ac:dyDescent="0.35">
      <c r="B7994" s="853">
        <v>284954.06423407781</v>
      </c>
    </row>
    <row r="7995" spans="2:2" ht="15.5" x14ac:dyDescent="0.35">
      <c r="B7995" s="853">
        <v>296568.58730728843</v>
      </c>
    </row>
    <row r="7996" spans="2:2" ht="15.5" x14ac:dyDescent="0.35">
      <c r="B7996" s="853">
        <v>224873.09734077586</v>
      </c>
    </row>
    <row r="7997" spans="2:2" ht="15.5" x14ac:dyDescent="0.35">
      <c r="B7997" s="853">
        <v>409007.77366554231</v>
      </c>
    </row>
    <row r="7998" spans="2:2" ht="15.5" x14ac:dyDescent="0.35">
      <c r="B7998" s="853">
        <v>211535.56728180923</v>
      </c>
    </row>
    <row r="7999" spans="2:2" ht="15.5" x14ac:dyDescent="0.35">
      <c r="B7999" s="853">
        <v>72065.886436175482</v>
      </c>
    </row>
    <row r="8000" spans="2:2" ht="15.5" x14ac:dyDescent="0.35">
      <c r="B8000" s="853">
        <v>536071.61853782798</v>
      </c>
    </row>
    <row r="8001" spans="2:2" ht="15.5" x14ac:dyDescent="0.35">
      <c r="B8001" s="853">
        <v>70489.859273317968</v>
      </c>
    </row>
    <row r="8002" spans="2:2" ht="15.5" x14ac:dyDescent="0.35">
      <c r="B8002" s="853">
        <v>527895.94699101616</v>
      </c>
    </row>
    <row r="8003" spans="2:2" ht="15.5" x14ac:dyDescent="0.35">
      <c r="B8003" s="853">
        <v>148659.51586475549</v>
      </c>
    </row>
    <row r="8004" spans="2:2" ht="15.5" x14ac:dyDescent="0.35">
      <c r="B8004" s="853">
        <v>33851.493520829514</v>
      </c>
    </row>
    <row r="8005" spans="2:2" ht="15.5" x14ac:dyDescent="0.35">
      <c r="B8005" s="853">
        <v>446207.68832032877</v>
      </c>
    </row>
    <row r="8006" spans="2:2" ht="15.5" x14ac:dyDescent="0.35">
      <c r="B8006" s="853">
        <v>219594.86755741868</v>
      </c>
    </row>
    <row r="8007" spans="2:2" ht="15.5" x14ac:dyDescent="0.35">
      <c r="B8007" s="853">
        <v>196717.43425400698</v>
      </c>
    </row>
    <row r="8008" spans="2:2" ht="15.5" x14ac:dyDescent="0.35">
      <c r="B8008" s="853">
        <v>158173.49674810114</v>
      </c>
    </row>
    <row r="8009" spans="2:2" ht="15.5" x14ac:dyDescent="0.35">
      <c r="B8009" s="853">
        <v>532906.44102842885</v>
      </c>
    </row>
    <row r="8010" spans="2:2" ht="15.5" x14ac:dyDescent="0.35">
      <c r="B8010" s="853">
        <v>486825.10783559765</v>
      </c>
    </row>
    <row r="8011" spans="2:2" ht="15.5" x14ac:dyDescent="0.35">
      <c r="B8011" s="853">
        <v>516226.06004125421</v>
      </c>
    </row>
    <row r="8012" spans="2:2" ht="15.5" x14ac:dyDescent="0.35">
      <c r="B8012" s="853">
        <v>349568.67454339942</v>
      </c>
    </row>
    <row r="8013" spans="2:2" ht="15.5" x14ac:dyDescent="0.35">
      <c r="B8013" s="853">
        <v>194115.33772674558</v>
      </c>
    </row>
    <row r="8014" spans="2:2" ht="15.5" x14ac:dyDescent="0.35">
      <c r="B8014" s="853">
        <v>281918.26347842457</v>
      </c>
    </row>
    <row r="8015" spans="2:2" ht="15.5" x14ac:dyDescent="0.35">
      <c r="B8015" s="853">
        <v>388805.90645052982</v>
      </c>
    </row>
    <row r="8016" spans="2:2" ht="15.5" x14ac:dyDescent="0.35">
      <c r="B8016" s="853">
        <v>317138.234178841</v>
      </c>
    </row>
    <row r="8017" spans="2:2" ht="15.5" x14ac:dyDescent="0.35">
      <c r="B8017" s="853">
        <v>272439.92022037477</v>
      </c>
    </row>
    <row r="8018" spans="2:2" ht="15.5" x14ac:dyDescent="0.35">
      <c r="B8018" s="853">
        <v>267542.83735491813</v>
      </c>
    </row>
    <row r="8019" spans="2:2" ht="15.5" x14ac:dyDescent="0.35">
      <c r="B8019" s="853">
        <v>312970.99532517127</v>
      </c>
    </row>
    <row r="8020" spans="2:2" ht="15.5" x14ac:dyDescent="0.35">
      <c r="B8020" s="853">
        <v>304616.32585694047</v>
      </c>
    </row>
    <row r="8021" spans="2:2" ht="15.5" x14ac:dyDescent="0.35">
      <c r="B8021" s="853">
        <v>386080.03902775137</v>
      </c>
    </row>
    <row r="8022" spans="2:2" ht="15.5" x14ac:dyDescent="0.35">
      <c r="B8022" s="853">
        <v>482810.02068365441</v>
      </c>
    </row>
    <row r="8023" spans="2:2" ht="15.5" x14ac:dyDescent="0.35">
      <c r="B8023" s="853">
        <v>217236.22505061229</v>
      </c>
    </row>
    <row r="8024" spans="2:2" ht="15.5" x14ac:dyDescent="0.35">
      <c r="B8024" s="853">
        <v>217053.00321607347</v>
      </c>
    </row>
    <row r="8025" spans="2:2" ht="15.5" x14ac:dyDescent="0.35">
      <c r="B8025" s="853">
        <v>189058.20351473973</v>
      </c>
    </row>
    <row r="8026" spans="2:2" ht="15.5" x14ac:dyDescent="0.35">
      <c r="B8026" s="853">
        <v>567067.87384911976</v>
      </c>
    </row>
    <row r="8027" spans="2:2" ht="15.5" x14ac:dyDescent="0.35">
      <c r="B8027" s="853">
        <v>250301.25574172143</v>
      </c>
    </row>
    <row r="8028" spans="2:2" ht="15.5" x14ac:dyDescent="0.35">
      <c r="B8028" s="853">
        <v>306035.20264243486</v>
      </c>
    </row>
    <row r="8029" spans="2:2" ht="15.5" x14ac:dyDescent="0.35">
      <c r="B8029" s="853">
        <v>409930.82973773236</v>
      </c>
    </row>
    <row r="8030" spans="2:2" ht="15.5" x14ac:dyDescent="0.35">
      <c r="B8030" s="853">
        <v>468060.10789314285</v>
      </c>
    </row>
    <row r="8031" spans="2:2" ht="15.5" x14ac:dyDescent="0.35">
      <c r="B8031" s="853">
        <v>448186.15740625508</v>
      </c>
    </row>
    <row r="8032" spans="2:2" ht="15.5" x14ac:dyDescent="0.35">
      <c r="B8032" s="853">
        <v>416696.58359558095</v>
      </c>
    </row>
    <row r="8033" spans="2:2" ht="15.5" x14ac:dyDescent="0.35">
      <c r="B8033" s="853">
        <v>204380.62441024536</v>
      </c>
    </row>
    <row r="8034" spans="2:2" ht="15.5" x14ac:dyDescent="0.35">
      <c r="B8034" s="853">
        <v>116316.98269181894</v>
      </c>
    </row>
    <row r="8035" spans="2:2" ht="15.5" x14ac:dyDescent="0.35">
      <c r="B8035" s="853">
        <v>444063.70180069807</v>
      </c>
    </row>
    <row r="8036" spans="2:2" ht="15.5" x14ac:dyDescent="0.35">
      <c r="B8036" s="853">
        <v>411125.05181572709</v>
      </c>
    </row>
    <row r="8037" spans="2:2" ht="15.5" x14ac:dyDescent="0.35">
      <c r="B8037" s="853">
        <v>324839.57339627098</v>
      </c>
    </row>
    <row r="8038" spans="2:2" ht="15.5" x14ac:dyDescent="0.35">
      <c r="B8038" s="853">
        <v>268564.85642597318</v>
      </c>
    </row>
    <row r="8039" spans="2:2" ht="15.5" x14ac:dyDescent="0.35">
      <c r="B8039" s="853">
        <v>379841.36138125765</v>
      </c>
    </row>
    <row r="8040" spans="2:2" ht="15.5" x14ac:dyDescent="0.35">
      <c r="B8040" s="853">
        <v>347695.41740945337</v>
      </c>
    </row>
    <row r="8041" spans="2:2" ht="15.5" x14ac:dyDescent="0.35">
      <c r="B8041" s="853">
        <v>305413.92618398054</v>
      </c>
    </row>
    <row r="8042" spans="2:2" ht="15.5" x14ac:dyDescent="0.35">
      <c r="B8042" s="853">
        <v>388501.44650942803</v>
      </c>
    </row>
    <row r="8043" spans="2:2" ht="15.5" x14ac:dyDescent="0.35">
      <c r="B8043" s="853">
        <v>485970.00137868198</v>
      </c>
    </row>
    <row r="8044" spans="2:2" ht="15.5" x14ac:dyDescent="0.35">
      <c r="B8044" s="853">
        <v>400036.21366391156</v>
      </c>
    </row>
    <row r="8045" spans="2:2" ht="15.5" x14ac:dyDescent="0.35">
      <c r="B8045" s="853">
        <v>356513.75062606228</v>
      </c>
    </row>
    <row r="8046" spans="2:2" ht="15.5" x14ac:dyDescent="0.35">
      <c r="B8046" s="853">
        <v>107133.17274159339</v>
      </c>
    </row>
    <row r="8047" spans="2:2" ht="15.5" x14ac:dyDescent="0.35">
      <c r="B8047" s="853">
        <v>364409.25741105014</v>
      </c>
    </row>
    <row r="8048" spans="2:2" ht="15.5" x14ac:dyDescent="0.35">
      <c r="B8048" s="853">
        <v>79927.992582494524</v>
      </c>
    </row>
    <row r="8049" spans="2:2" ht="15.5" x14ac:dyDescent="0.35">
      <c r="B8049" s="853">
        <v>250048.6036783116</v>
      </c>
    </row>
    <row r="8050" spans="2:2" ht="15.5" x14ac:dyDescent="0.35">
      <c r="B8050" s="853">
        <v>453604.93391075311</v>
      </c>
    </row>
    <row r="8051" spans="2:2" ht="15.5" x14ac:dyDescent="0.35">
      <c r="B8051" s="853">
        <v>444904.04599813174</v>
      </c>
    </row>
    <row r="8052" spans="2:2" ht="15.5" x14ac:dyDescent="0.35">
      <c r="B8052" s="853">
        <v>196744.6779849421</v>
      </c>
    </row>
    <row r="8053" spans="2:2" ht="15.5" x14ac:dyDescent="0.35">
      <c r="B8053" s="853">
        <v>455908.16138539364</v>
      </c>
    </row>
    <row r="8054" spans="2:2" ht="15.5" x14ac:dyDescent="0.35">
      <c r="B8054" s="853">
        <v>439340.17239457386</v>
      </c>
    </row>
    <row r="8055" spans="2:2" ht="15.5" x14ac:dyDescent="0.35">
      <c r="B8055" s="853">
        <v>43691.663673755233</v>
      </c>
    </row>
    <row r="8056" spans="2:2" ht="15.5" x14ac:dyDescent="0.35">
      <c r="B8056" s="853">
        <v>159221.98835579181</v>
      </c>
    </row>
    <row r="8057" spans="2:2" ht="15.5" x14ac:dyDescent="0.35">
      <c r="B8057" s="853">
        <v>258354.69384733945</v>
      </c>
    </row>
    <row r="8058" spans="2:2" ht="15.5" x14ac:dyDescent="0.35">
      <c r="B8058" s="853">
        <v>319578.10432209389</v>
      </c>
    </row>
    <row r="8059" spans="2:2" ht="15.5" x14ac:dyDescent="0.35">
      <c r="B8059" s="853">
        <v>151029.69283823378</v>
      </c>
    </row>
    <row r="8060" spans="2:2" ht="15.5" x14ac:dyDescent="0.35">
      <c r="B8060" s="853">
        <v>435946.6412468683</v>
      </c>
    </row>
    <row r="8061" spans="2:2" ht="15.5" x14ac:dyDescent="0.35">
      <c r="B8061" s="853">
        <v>275292.86289623403</v>
      </c>
    </row>
    <row r="8062" spans="2:2" ht="15.5" x14ac:dyDescent="0.35">
      <c r="B8062" s="853">
        <v>419939.37372183031</v>
      </c>
    </row>
    <row r="8063" spans="2:2" ht="15.5" x14ac:dyDescent="0.35">
      <c r="B8063" s="853">
        <v>-34788.536422466554</v>
      </c>
    </row>
    <row r="8064" spans="2:2" ht="15.5" x14ac:dyDescent="0.35">
      <c r="B8064" s="853">
        <v>462962.90803867503</v>
      </c>
    </row>
    <row r="8065" spans="2:2" ht="15.5" x14ac:dyDescent="0.35">
      <c r="B8065" s="853">
        <v>231791.77494834719</v>
      </c>
    </row>
    <row r="8066" spans="2:2" ht="15.5" x14ac:dyDescent="0.35">
      <c r="B8066" s="853">
        <v>188413.21184889576</v>
      </c>
    </row>
    <row r="8067" spans="2:2" ht="15.5" x14ac:dyDescent="0.35">
      <c r="B8067" s="853">
        <v>420300.9590183043</v>
      </c>
    </row>
    <row r="8068" spans="2:2" ht="15.5" x14ac:dyDescent="0.35">
      <c r="B8068" s="853">
        <v>432850.48777744011</v>
      </c>
    </row>
    <row r="8069" spans="2:2" ht="15.5" x14ac:dyDescent="0.35">
      <c r="B8069" s="853">
        <v>208923.91349577362</v>
      </c>
    </row>
    <row r="8070" spans="2:2" ht="15.5" x14ac:dyDescent="0.35">
      <c r="B8070" s="853">
        <v>520721.90915315092</v>
      </c>
    </row>
    <row r="8071" spans="2:2" ht="15.5" x14ac:dyDescent="0.35">
      <c r="B8071" s="853">
        <v>480471.15509032691</v>
      </c>
    </row>
    <row r="8072" spans="2:2" ht="15.5" x14ac:dyDescent="0.35">
      <c r="B8072" s="853">
        <v>558920.65007859108</v>
      </c>
    </row>
    <row r="8073" spans="2:2" ht="15.5" x14ac:dyDescent="0.35">
      <c r="B8073" s="853">
        <v>363823.45448231639</v>
      </c>
    </row>
    <row r="8074" spans="2:2" ht="15.5" x14ac:dyDescent="0.35">
      <c r="B8074" s="853">
        <v>591976.63182633766</v>
      </c>
    </row>
    <row r="8075" spans="2:2" ht="15.5" x14ac:dyDescent="0.35">
      <c r="B8075" s="853">
        <v>418485.74971369031</v>
      </c>
    </row>
    <row r="8076" spans="2:2" ht="15.5" x14ac:dyDescent="0.35">
      <c r="B8076" s="853">
        <v>427671.69520283688</v>
      </c>
    </row>
    <row r="8077" spans="2:2" ht="15.5" x14ac:dyDescent="0.35">
      <c r="B8077" s="853">
        <v>350940.37828329421</v>
      </c>
    </row>
    <row r="8078" spans="2:2" ht="15.5" x14ac:dyDescent="0.35">
      <c r="B8078" s="853">
        <v>85165.490101488234</v>
      </c>
    </row>
    <row r="8079" spans="2:2" ht="15.5" x14ac:dyDescent="0.35">
      <c r="B8079" s="853">
        <v>193175.97625130118</v>
      </c>
    </row>
    <row r="8080" spans="2:2" ht="15.5" x14ac:dyDescent="0.35">
      <c r="B8080" s="853">
        <v>325389.48981751426</v>
      </c>
    </row>
    <row r="8081" spans="2:2" ht="15.5" x14ac:dyDescent="0.35">
      <c r="B8081" s="853">
        <v>205723.37250868973</v>
      </c>
    </row>
    <row r="8082" spans="2:2" ht="15.5" x14ac:dyDescent="0.35">
      <c r="B8082" s="853">
        <v>505573.03859789547</v>
      </c>
    </row>
    <row r="8083" spans="2:2" ht="15.5" x14ac:dyDescent="0.35">
      <c r="B8083" s="853">
        <v>323367.51289253047</v>
      </c>
    </row>
    <row r="8084" spans="2:2" ht="15.5" x14ac:dyDescent="0.35">
      <c r="B8084" s="853">
        <v>50631.233552739897</v>
      </c>
    </row>
    <row r="8085" spans="2:2" ht="15.5" x14ac:dyDescent="0.35">
      <c r="B8085" s="853">
        <v>392025.0951805645</v>
      </c>
    </row>
    <row r="8086" spans="2:2" ht="15.5" x14ac:dyDescent="0.35">
      <c r="B8086" s="853">
        <v>335576.49231402908</v>
      </c>
    </row>
    <row r="8087" spans="2:2" ht="15.5" x14ac:dyDescent="0.35">
      <c r="B8087" s="853">
        <v>367041.89412170608</v>
      </c>
    </row>
    <row r="8088" spans="2:2" ht="15.5" x14ac:dyDescent="0.35">
      <c r="B8088" s="853">
        <v>359724.53081111255</v>
      </c>
    </row>
    <row r="8089" spans="2:2" ht="15.5" x14ac:dyDescent="0.35">
      <c r="B8089" s="853">
        <v>491562.85544651136</v>
      </c>
    </row>
    <row r="8090" spans="2:2" ht="15.5" x14ac:dyDescent="0.35">
      <c r="B8090" s="853">
        <v>256125.57390894467</v>
      </c>
    </row>
    <row r="8091" spans="2:2" ht="15.5" x14ac:dyDescent="0.35">
      <c r="B8091" s="853">
        <v>588159.25494120852</v>
      </c>
    </row>
    <row r="8092" spans="2:2" ht="15.5" x14ac:dyDescent="0.35">
      <c r="B8092" s="853">
        <v>521569.41448225756</v>
      </c>
    </row>
    <row r="8093" spans="2:2" ht="15.5" x14ac:dyDescent="0.35">
      <c r="B8093" s="853">
        <v>317847.75531224709</v>
      </c>
    </row>
    <row r="8094" spans="2:2" ht="15.5" x14ac:dyDescent="0.35">
      <c r="B8094" s="853">
        <v>-34267.320801472713</v>
      </c>
    </row>
    <row r="8095" spans="2:2" ht="15.5" x14ac:dyDescent="0.35">
      <c r="B8095" s="853">
        <v>287837.41224831692</v>
      </c>
    </row>
    <row r="8096" spans="2:2" ht="15.5" x14ac:dyDescent="0.35">
      <c r="B8096" s="853">
        <v>405578.07022757747</v>
      </c>
    </row>
    <row r="8097" spans="2:2" ht="15.5" x14ac:dyDescent="0.35">
      <c r="B8097" s="853">
        <v>263446.64356166188</v>
      </c>
    </row>
    <row r="8098" spans="2:2" ht="15.5" x14ac:dyDescent="0.35">
      <c r="B8098" s="853">
        <v>169112.89216798963</v>
      </c>
    </row>
    <row r="8099" spans="2:2" ht="15.5" x14ac:dyDescent="0.35">
      <c r="B8099" s="853">
        <v>248739.33630104156</v>
      </c>
    </row>
    <row r="8100" spans="2:2" ht="15.5" x14ac:dyDescent="0.35">
      <c r="B8100" s="853">
        <v>574458.93071332504</v>
      </c>
    </row>
    <row r="8101" spans="2:2" ht="15.5" x14ac:dyDescent="0.35">
      <c r="B8101" s="853">
        <v>228448.77734063021</v>
      </c>
    </row>
    <row r="8102" spans="2:2" ht="15.5" x14ac:dyDescent="0.35">
      <c r="B8102" s="853">
        <v>399598.63549891871</v>
      </c>
    </row>
    <row r="8103" spans="2:2" ht="15.5" x14ac:dyDescent="0.35">
      <c r="B8103" s="853">
        <v>381921.7507933068</v>
      </c>
    </row>
    <row r="8104" spans="2:2" ht="15.5" x14ac:dyDescent="0.35">
      <c r="B8104" s="853">
        <v>143068.03935731153</v>
      </c>
    </row>
    <row r="8105" spans="2:2" ht="15.5" x14ac:dyDescent="0.35">
      <c r="B8105" s="853">
        <v>259938.83901867879</v>
      </c>
    </row>
    <row r="8106" spans="2:2" ht="15.5" x14ac:dyDescent="0.35">
      <c r="B8106" s="853">
        <v>484349.76085158059</v>
      </c>
    </row>
    <row r="8107" spans="2:2" ht="15.5" x14ac:dyDescent="0.35">
      <c r="B8107" s="853">
        <v>315346.77815243322</v>
      </c>
    </row>
    <row r="8108" spans="2:2" ht="15.5" x14ac:dyDescent="0.35">
      <c r="B8108" s="853">
        <v>87498.425824544829</v>
      </c>
    </row>
    <row r="8109" spans="2:2" ht="15.5" x14ac:dyDescent="0.35">
      <c r="B8109" s="853">
        <v>370800.51867649663</v>
      </c>
    </row>
    <row r="8110" spans="2:2" ht="15.5" x14ac:dyDescent="0.35">
      <c r="B8110" s="853">
        <v>53948.968799026232</v>
      </c>
    </row>
    <row r="8111" spans="2:2" ht="15.5" x14ac:dyDescent="0.35">
      <c r="B8111" s="853">
        <v>273142.92641142767</v>
      </c>
    </row>
    <row r="8112" spans="2:2" ht="15.5" x14ac:dyDescent="0.35">
      <c r="B8112" s="853">
        <v>174371.95436603692</v>
      </c>
    </row>
    <row r="8113" spans="2:2" ht="15.5" x14ac:dyDescent="0.35">
      <c r="B8113" s="853">
        <v>420202.46028882207</v>
      </c>
    </row>
    <row r="8114" spans="2:2" ht="15.5" x14ac:dyDescent="0.35">
      <c r="B8114" s="853">
        <v>14734.918803667331</v>
      </c>
    </row>
    <row r="8115" spans="2:2" ht="15.5" x14ac:dyDescent="0.35">
      <c r="B8115" s="853">
        <v>127180.218786603</v>
      </c>
    </row>
    <row r="8116" spans="2:2" ht="15.5" x14ac:dyDescent="0.35">
      <c r="B8116" s="853">
        <v>61056.832551809006</v>
      </c>
    </row>
    <row r="8117" spans="2:2" ht="15.5" x14ac:dyDescent="0.35">
      <c r="B8117" s="853">
        <v>433974.44784390245</v>
      </c>
    </row>
    <row r="8118" spans="2:2" ht="15.5" x14ac:dyDescent="0.35">
      <c r="B8118" s="853">
        <v>373085.73129884218</v>
      </c>
    </row>
    <row r="8119" spans="2:2" ht="15.5" x14ac:dyDescent="0.35">
      <c r="B8119" s="853">
        <v>513889.25384687987</v>
      </c>
    </row>
    <row r="8120" spans="2:2" ht="15.5" x14ac:dyDescent="0.35">
      <c r="B8120" s="853">
        <v>402049.50930227689</v>
      </c>
    </row>
    <row r="8121" spans="2:2" ht="15.5" x14ac:dyDescent="0.35">
      <c r="B8121" s="853">
        <v>365257.69960956339</v>
      </c>
    </row>
    <row r="8122" spans="2:2" ht="15.5" x14ac:dyDescent="0.35">
      <c r="B8122" s="853">
        <v>416012.62402463862</v>
      </c>
    </row>
    <row r="8123" spans="2:2" ht="15.5" x14ac:dyDescent="0.35">
      <c r="B8123" s="853">
        <v>201482.13891526149</v>
      </c>
    </row>
    <row r="8124" spans="2:2" ht="15.5" x14ac:dyDescent="0.35">
      <c r="B8124" s="853">
        <v>279143.22379923263</v>
      </c>
    </row>
    <row r="8125" spans="2:2" ht="15.5" x14ac:dyDescent="0.35">
      <c r="B8125" s="853">
        <v>163115.51747125221</v>
      </c>
    </row>
    <row r="8126" spans="2:2" ht="15.5" x14ac:dyDescent="0.35">
      <c r="B8126" s="853">
        <v>367796.78322830721</v>
      </c>
    </row>
    <row r="8127" spans="2:2" ht="15.5" x14ac:dyDescent="0.35">
      <c r="B8127" s="853">
        <v>333552.28195100167</v>
      </c>
    </row>
    <row r="8128" spans="2:2" ht="15.5" x14ac:dyDescent="0.35">
      <c r="B8128" s="853">
        <v>2281.8530137920579</v>
      </c>
    </row>
    <row r="8129" spans="2:2" ht="15.5" x14ac:dyDescent="0.35">
      <c r="B8129" s="853">
        <v>399017.52584096085</v>
      </c>
    </row>
    <row r="8130" spans="2:2" ht="15.5" x14ac:dyDescent="0.35">
      <c r="B8130" s="853">
        <v>296727.69979797408</v>
      </c>
    </row>
    <row r="8131" spans="2:2" ht="15.5" x14ac:dyDescent="0.35">
      <c r="B8131" s="853">
        <v>539293.66310012399</v>
      </c>
    </row>
    <row r="8132" spans="2:2" ht="15.5" x14ac:dyDescent="0.35">
      <c r="B8132" s="853">
        <v>409307.57017446042</v>
      </c>
    </row>
    <row r="8133" spans="2:2" ht="15.5" x14ac:dyDescent="0.35">
      <c r="B8133" s="853">
        <v>512438.7158663919</v>
      </c>
    </row>
    <row r="8134" spans="2:2" ht="15.5" x14ac:dyDescent="0.35">
      <c r="B8134" s="853">
        <v>222643.2876736015</v>
      </c>
    </row>
    <row r="8135" spans="2:2" ht="15.5" x14ac:dyDescent="0.35">
      <c r="B8135" s="853">
        <v>416971.29590113059</v>
      </c>
    </row>
    <row r="8136" spans="2:2" ht="15.5" x14ac:dyDescent="0.35">
      <c r="B8136" s="853">
        <v>301185.118812025</v>
      </c>
    </row>
    <row r="8137" spans="2:2" ht="15.5" x14ac:dyDescent="0.35">
      <c r="B8137" s="853">
        <v>200600.45139731461</v>
      </c>
    </row>
    <row r="8138" spans="2:2" ht="15.5" x14ac:dyDescent="0.35">
      <c r="B8138" s="853">
        <v>355439.41587345925</v>
      </c>
    </row>
    <row r="8139" spans="2:2" ht="15.5" x14ac:dyDescent="0.35">
      <c r="B8139" s="853">
        <v>179452.73945875911</v>
      </c>
    </row>
    <row r="8140" spans="2:2" ht="15.5" x14ac:dyDescent="0.35">
      <c r="B8140" s="853">
        <v>556908.2453701729</v>
      </c>
    </row>
    <row r="8141" spans="2:2" ht="15.5" x14ac:dyDescent="0.35">
      <c r="B8141" s="853">
        <v>184909.00065173049</v>
      </c>
    </row>
    <row r="8142" spans="2:2" ht="15.5" x14ac:dyDescent="0.35">
      <c r="B8142" s="853">
        <v>282780.75261881924</v>
      </c>
    </row>
    <row r="8143" spans="2:2" ht="15.5" x14ac:dyDescent="0.35">
      <c r="B8143" s="853">
        <v>123924.83224296714</v>
      </c>
    </row>
    <row r="8144" spans="2:2" ht="15.5" x14ac:dyDescent="0.35">
      <c r="B8144" s="853">
        <v>216211.9402073533</v>
      </c>
    </row>
    <row r="8145" spans="2:2" ht="15.5" x14ac:dyDescent="0.35">
      <c r="B8145" s="853">
        <v>358487.03046593181</v>
      </c>
    </row>
    <row r="8146" spans="2:2" ht="15.5" x14ac:dyDescent="0.35">
      <c r="B8146" s="853">
        <v>202527.99172809653</v>
      </c>
    </row>
    <row r="8147" spans="2:2" ht="15.5" x14ac:dyDescent="0.35">
      <c r="B8147" s="853">
        <v>307985.83188782929</v>
      </c>
    </row>
    <row r="8148" spans="2:2" ht="15.5" x14ac:dyDescent="0.35">
      <c r="B8148" s="853">
        <v>445752.85939347994</v>
      </c>
    </row>
    <row r="8149" spans="2:2" ht="15.5" x14ac:dyDescent="0.35">
      <c r="B8149" s="853">
        <v>355651.57691608247</v>
      </c>
    </row>
    <row r="8150" spans="2:2" ht="15.5" x14ac:dyDescent="0.35">
      <c r="B8150" s="853">
        <v>441567.53922805196</v>
      </c>
    </row>
    <row r="8151" spans="2:2" ht="15.5" x14ac:dyDescent="0.35">
      <c r="B8151" s="853">
        <v>287624.95929161302</v>
      </c>
    </row>
    <row r="8152" spans="2:2" ht="15.5" x14ac:dyDescent="0.35">
      <c r="B8152" s="853">
        <v>133106.98205872107</v>
      </c>
    </row>
    <row r="8153" spans="2:2" ht="15.5" x14ac:dyDescent="0.35">
      <c r="B8153" s="853">
        <v>309027.97873330634</v>
      </c>
    </row>
    <row r="8154" spans="2:2" ht="15.5" x14ac:dyDescent="0.35">
      <c r="B8154" s="853">
        <v>213706.79047431357</v>
      </c>
    </row>
    <row r="8155" spans="2:2" ht="15.5" x14ac:dyDescent="0.35">
      <c r="B8155" s="853">
        <v>364320.61636573693</v>
      </c>
    </row>
    <row r="8156" spans="2:2" ht="15.5" x14ac:dyDescent="0.35">
      <c r="B8156" s="853">
        <v>-30011.341358416739</v>
      </c>
    </row>
    <row r="8157" spans="2:2" ht="15.5" x14ac:dyDescent="0.35">
      <c r="B8157" s="853">
        <v>326824.60297582106</v>
      </c>
    </row>
    <row r="8158" spans="2:2" ht="15.5" x14ac:dyDescent="0.35">
      <c r="B8158" s="853">
        <v>-71335.807794342836</v>
      </c>
    </row>
    <row r="8159" spans="2:2" ht="15.5" x14ac:dyDescent="0.35">
      <c r="B8159" s="853">
        <v>241346.32184416527</v>
      </c>
    </row>
    <row r="8160" spans="2:2" ht="15.5" x14ac:dyDescent="0.35">
      <c r="B8160" s="853">
        <v>455501.06661141111</v>
      </c>
    </row>
    <row r="8161" spans="2:2" ht="15.5" x14ac:dyDescent="0.35">
      <c r="B8161" s="853">
        <v>505493.87221542455</v>
      </c>
    </row>
    <row r="8162" spans="2:2" ht="15.5" x14ac:dyDescent="0.35">
      <c r="B8162" s="853">
        <v>356628.85629256751</v>
      </c>
    </row>
    <row r="8163" spans="2:2" ht="15.5" x14ac:dyDescent="0.35">
      <c r="B8163" s="853">
        <v>476875.15093069256</v>
      </c>
    </row>
    <row r="8164" spans="2:2" ht="15.5" x14ac:dyDescent="0.35">
      <c r="B8164" s="853">
        <v>170407.33954272614</v>
      </c>
    </row>
    <row r="8165" spans="2:2" ht="15.5" x14ac:dyDescent="0.35">
      <c r="B8165" s="853">
        <v>283177.69923876179</v>
      </c>
    </row>
    <row r="8166" spans="2:2" ht="15.5" x14ac:dyDescent="0.35">
      <c r="B8166" s="853">
        <v>118752.48653608286</v>
      </c>
    </row>
    <row r="8167" spans="2:2" ht="15.5" x14ac:dyDescent="0.35">
      <c r="B8167" s="853">
        <v>227349.44901683385</v>
      </c>
    </row>
    <row r="8168" spans="2:2" ht="15.5" x14ac:dyDescent="0.35">
      <c r="B8168" s="853">
        <v>508490.10854504461</v>
      </c>
    </row>
    <row r="8169" spans="2:2" ht="15.5" x14ac:dyDescent="0.35">
      <c r="B8169" s="853">
        <v>308793.44170519203</v>
      </c>
    </row>
    <row r="8170" spans="2:2" ht="15.5" x14ac:dyDescent="0.35">
      <c r="B8170" s="853">
        <v>168857.86157108095</v>
      </c>
    </row>
    <row r="8171" spans="2:2" ht="15.5" x14ac:dyDescent="0.35">
      <c r="B8171" s="853">
        <v>488418.12886250101</v>
      </c>
    </row>
    <row r="8172" spans="2:2" ht="15.5" x14ac:dyDescent="0.35">
      <c r="B8172" s="853">
        <v>224104.74201083457</v>
      </c>
    </row>
    <row r="8173" spans="2:2" ht="15.5" x14ac:dyDescent="0.35">
      <c r="B8173" s="853">
        <v>378263.30704454187</v>
      </c>
    </row>
    <row r="8174" spans="2:2" ht="15.5" x14ac:dyDescent="0.35">
      <c r="B8174" s="853">
        <v>223801.93435782928</v>
      </c>
    </row>
    <row r="8175" spans="2:2" ht="15.5" x14ac:dyDescent="0.35">
      <c r="B8175" s="853">
        <v>248805.64891630362</v>
      </c>
    </row>
    <row r="8176" spans="2:2" ht="15.5" x14ac:dyDescent="0.35">
      <c r="B8176" s="853">
        <v>281779.79726556933</v>
      </c>
    </row>
    <row r="8177" spans="2:2" ht="15.5" x14ac:dyDescent="0.35">
      <c r="B8177" s="853">
        <v>115062.38435851858</v>
      </c>
    </row>
    <row r="8178" spans="2:2" ht="15.5" x14ac:dyDescent="0.35">
      <c r="B8178" s="853">
        <v>350930.83955103304</v>
      </c>
    </row>
    <row r="8179" spans="2:2" ht="15.5" x14ac:dyDescent="0.35">
      <c r="B8179" s="853">
        <v>111274.67519317528</v>
      </c>
    </row>
    <row r="8180" spans="2:2" ht="15.5" x14ac:dyDescent="0.35">
      <c r="B8180" s="853">
        <v>246695.95765916756</v>
      </c>
    </row>
    <row r="8181" spans="2:2" ht="15.5" x14ac:dyDescent="0.35">
      <c r="B8181" s="853">
        <v>378417.28069668973</v>
      </c>
    </row>
    <row r="8182" spans="2:2" ht="15.5" x14ac:dyDescent="0.35">
      <c r="B8182" s="853">
        <v>163302.51662775254</v>
      </c>
    </row>
    <row r="8183" spans="2:2" ht="15.5" x14ac:dyDescent="0.35">
      <c r="B8183" s="853">
        <v>561395.19816750952</v>
      </c>
    </row>
    <row r="8184" spans="2:2" ht="15.5" x14ac:dyDescent="0.35">
      <c r="B8184" s="853">
        <v>283228.86211398558</v>
      </c>
    </row>
    <row r="8185" spans="2:2" ht="15.5" x14ac:dyDescent="0.35">
      <c r="B8185" s="853">
        <v>499707.01613269333</v>
      </c>
    </row>
    <row r="8186" spans="2:2" ht="15.5" x14ac:dyDescent="0.35">
      <c r="B8186" s="853">
        <v>222251.70715562999</v>
      </c>
    </row>
    <row r="8187" spans="2:2" ht="15.5" x14ac:dyDescent="0.35">
      <c r="B8187" s="853">
        <v>296434.62991616043</v>
      </c>
    </row>
    <row r="8188" spans="2:2" ht="15.5" x14ac:dyDescent="0.35">
      <c r="B8188" s="853">
        <v>534577.18056423229</v>
      </c>
    </row>
    <row r="8189" spans="2:2" ht="15.5" x14ac:dyDescent="0.35">
      <c r="B8189" s="853">
        <v>421126.73313631071</v>
      </c>
    </row>
    <row r="8190" spans="2:2" ht="15.5" x14ac:dyDescent="0.35">
      <c r="B8190" s="853">
        <v>29367.857736431004</v>
      </c>
    </row>
    <row r="8191" spans="2:2" ht="15.5" x14ac:dyDescent="0.35">
      <c r="B8191" s="853">
        <v>496549.39252925984</v>
      </c>
    </row>
    <row r="8192" spans="2:2" ht="15.5" x14ac:dyDescent="0.35">
      <c r="B8192" s="853">
        <v>34219.196075920292</v>
      </c>
    </row>
    <row r="8193" spans="2:2" ht="15.5" x14ac:dyDescent="0.35">
      <c r="B8193" s="853">
        <v>504251.18583235727</v>
      </c>
    </row>
    <row r="8194" spans="2:2" ht="15.5" x14ac:dyDescent="0.35">
      <c r="B8194" s="853">
        <v>314311.58199808793</v>
      </c>
    </row>
    <row r="8195" spans="2:2" ht="15.5" x14ac:dyDescent="0.35">
      <c r="B8195" s="853">
        <v>233772.35367379323</v>
      </c>
    </row>
    <row r="8196" spans="2:2" ht="15.5" x14ac:dyDescent="0.35">
      <c r="B8196" s="853">
        <v>43956.319081340356</v>
      </c>
    </row>
    <row r="8197" spans="2:2" ht="15.5" x14ac:dyDescent="0.35">
      <c r="B8197" s="853">
        <v>279069.24310982804</v>
      </c>
    </row>
    <row r="8198" spans="2:2" ht="15.5" x14ac:dyDescent="0.35">
      <c r="B8198" s="853">
        <v>412742.77800609963</v>
      </c>
    </row>
    <row r="8199" spans="2:2" ht="15.5" x14ac:dyDescent="0.35">
      <c r="B8199" s="853">
        <v>191569.98876952525</v>
      </c>
    </row>
    <row r="8200" spans="2:2" ht="15.5" x14ac:dyDescent="0.35">
      <c r="B8200" s="853">
        <v>294787.20619927871</v>
      </c>
    </row>
    <row r="8201" spans="2:2" ht="15.5" x14ac:dyDescent="0.35">
      <c r="B8201" s="853">
        <v>578445.15918825369</v>
      </c>
    </row>
    <row r="8202" spans="2:2" ht="15.5" x14ac:dyDescent="0.35">
      <c r="B8202" s="853">
        <v>32220.310198615349</v>
      </c>
    </row>
    <row r="8203" spans="2:2" ht="15.5" x14ac:dyDescent="0.35">
      <c r="B8203" s="853">
        <v>238852.64002165827</v>
      </c>
    </row>
    <row r="8204" spans="2:2" ht="15.5" x14ac:dyDescent="0.35">
      <c r="B8204" s="853">
        <v>223635.81311921112</v>
      </c>
    </row>
    <row r="8205" spans="2:2" ht="15.5" x14ac:dyDescent="0.35">
      <c r="B8205" s="853">
        <v>236845.74085139562</v>
      </c>
    </row>
    <row r="8206" spans="2:2" ht="15.5" x14ac:dyDescent="0.35">
      <c r="B8206" s="853">
        <v>164817.59319463206</v>
      </c>
    </row>
    <row r="8207" spans="2:2" ht="15.5" x14ac:dyDescent="0.35">
      <c r="B8207" s="853">
        <v>260575.64130580606</v>
      </c>
    </row>
    <row r="8208" spans="2:2" ht="15.5" x14ac:dyDescent="0.35">
      <c r="B8208" s="853">
        <v>395929.66787402495</v>
      </c>
    </row>
    <row r="8209" spans="2:2" ht="15.5" x14ac:dyDescent="0.35">
      <c r="B8209" s="853">
        <v>321031.36824228952</v>
      </c>
    </row>
    <row r="8210" spans="2:2" ht="15.5" x14ac:dyDescent="0.35">
      <c r="B8210" s="853">
        <v>271431.53569444799</v>
      </c>
    </row>
    <row r="8211" spans="2:2" ht="15.5" x14ac:dyDescent="0.35">
      <c r="B8211" s="853">
        <v>553357.08096689126</v>
      </c>
    </row>
    <row r="8212" spans="2:2" ht="15.5" x14ac:dyDescent="0.35">
      <c r="B8212" s="853">
        <v>219240.63096397635</v>
      </c>
    </row>
    <row r="8213" spans="2:2" ht="15.5" x14ac:dyDescent="0.35">
      <c r="B8213" s="853">
        <v>488030.47419006354</v>
      </c>
    </row>
    <row r="8214" spans="2:2" ht="15.5" x14ac:dyDescent="0.35">
      <c r="B8214" s="853">
        <v>236800.43041688658</v>
      </c>
    </row>
    <row r="8215" spans="2:2" ht="15.5" x14ac:dyDescent="0.35">
      <c r="B8215" s="853">
        <v>551795.84774804453</v>
      </c>
    </row>
    <row r="8216" spans="2:2" ht="15.5" x14ac:dyDescent="0.35">
      <c r="B8216" s="853">
        <v>436096.33623207244</v>
      </c>
    </row>
    <row r="8217" spans="2:2" ht="15.5" x14ac:dyDescent="0.35">
      <c r="B8217" s="853">
        <v>451479.30418732553</v>
      </c>
    </row>
    <row r="8218" spans="2:2" ht="15.5" x14ac:dyDescent="0.35">
      <c r="B8218" s="853">
        <v>414500.68764649646</v>
      </c>
    </row>
    <row r="8219" spans="2:2" ht="15.5" x14ac:dyDescent="0.35">
      <c r="B8219" s="853">
        <v>456378.06782021717</v>
      </c>
    </row>
    <row r="8220" spans="2:2" ht="15.5" x14ac:dyDescent="0.35">
      <c r="B8220" s="853">
        <v>584655.39981304808</v>
      </c>
    </row>
    <row r="8221" spans="2:2" ht="15.5" x14ac:dyDescent="0.35">
      <c r="B8221" s="853">
        <v>365432.58566721017</v>
      </c>
    </row>
    <row r="8222" spans="2:2" ht="15.5" x14ac:dyDescent="0.35">
      <c r="B8222" s="853">
        <v>251976.94259014318</v>
      </c>
    </row>
    <row r="8223" spans="2:2" ht="15.5" x14ac:dyDescent="0.35">
      <c r="B8223" s="853">
        <v>449894.38916162105</v>
      </c>
    </row>
    <row r="8224" spans="2:2" ht="15.5" x14ac:dyDescent="0.35">
      <c r="B8224" s="853">
        <v>99707.960328098387</v>
      </c>
    </row>
    <row r="8225" spans="2:2" ht="15.5" x14ac:dyDescent="0.35">
      <c r="B8225" s="853">
        <v>109159.04250758881</v>
      </c>
    </row>
    <row r="8226" spans="2:2" ht="15.5" x14ac:dyDescent="0.35">
      <c r="B8226" s="853">
        <v>302042.09899183171</v>
      </c>
    </row>
    <row r="8227" spans="2:2" ht="15.5" x14ac:dyDescent="0.35">
      <c r="B8227" s="853">
        <v>275505.13203415781</v>
      </c>
    </row>
    <row r="8228" spans="2:2" ht="15.5" x14ac:dyDescent="0.35">
      <c r="B8228" s="853">
        <v>51819.475771343052</v>
      </c>
    </row>
    <row r="8229" spans="2:2" ht="15.5" x14ac:dyDescent="0.35">
      <c r="B8229" s="853">
        <v>478629.17117838375</v>
      </c>
    </row>
    <row r="8230" spans="2:2" ht="15.5" x14ac:dyDescent="0.35">
      <c r="B8230" s="853">
        <v>261016.54769552991</v>
      </c>
    </row>
    <row r="8231" spans="2:2" ht="15.5" x14ac:dyDescent="0.35">
      <c r="B8231" s="853">
        <v>602056.51477144368</v>
      </c>
    </row>
    <row r="8232" spans="2:2" ht="15.5" x14ac:dyDescent="0.35">
      <c r="B8232" s="853">
        <v>379453.30080436514</v>
      </c>
    </row>
    <row r="8233" spans="2:2" ht="15.5" x14ac:dyDescent="0.35">
      <c r="B8233" s="853">
        <v>214565.86074409366</v>
      </c>
    </row>
    <row r="8234" spans="2:2" ht="15.5" x14ac:dyDescent="0.35">
      <c r="B8234" s="853">
        <v>332243.2796778084</v>
      </c>
    </row>
    <row r="8235" spans="2:2" ht="15.5" x14ac:dyDescent="0.35">
      <c r="B8235" s="853">
        <v>278584.27615957829</v>
      </c>
    </row>
    <row r="8236" spans="2:2" ht="15.5" x14ac:dyDescent="0.35">
      <c r="B8236" s="853">
        <v>309948.12103504303</v>
      </c>
    </row>
    <row r="8237" spans="2:2" ht="15.5" x14ac:dyDescent="0.35">
      <c r="B8237" s="853">
        <v>566090.29354044131</v>
      </c>
    </row>
    <row r="8238" spans="2:2" ht="15.5" x14ac:dyDescent="0.35">
      <c r="B8238" s="853">
        <v>403068.85903819581</v>
      </c>
    </row>
    <row r="8239" spans="2:2" ht="15.5" x14ac:dyDescent="0.35">
      <c r="B8239" s="853">
        <v>376006.60642632074</v>
      </c>
    </row>
    <row r="8240" spans="2:2" ht="15.5" x14ac:dyDescent="0.35">
      <c r="B8240" s="853">
        <v>607794.57444651134</v>
      </c>
    </row>
    <row r="8241" spans="2:2" ht="15.5" x14ac:dyDescent="0.35">
      <c r="B8241" s="853">
        <v>-4084.8656210501449</v>
      </c>
    </row>
    <row r="8242" spans="2:2" ht="15.5" x14ac:dyDescent="0.35">
      <c r="B8242" s="853">
        <v>320318.02127259533</v>
      </c>
    </row>
    <row r="8243" spans="2:2" ht="15.5" x14ac:dyDescent="0.35">
      <c r="B8243" s="853">
        <v>594752.46222157031</v>
      </c>
    </row>
    <row r="8244" spans="2:2" ht="15.5" x14ac:dyDescent="0.35">
      <c r="B8244" s="853">
        <v>435225.9271031128</v>
      </c>
    </row>
    <row r="8245" spans="2:2" ht="15.5" x14ac:dyDescent="0.35">
      <c r="B8245" s="853">
        <v>154063.17017677438</v>
      </c>
    </row>
    <row r="8246" spans="2:2" ht="15.5" x14ac:dyDescent="0.35">
      <c r="B8246" s="853">
        <v>192191.94057213559</v>
      </c>
    </row>
    <row r="8247" spans="2:2" ht="15.5" x14ac:dyDescent="0.35">
      <c r="B8247" s="853">
        <v>293227.17512645887</v>
      </c>
    </row>
    <row r="8248" spans="2:2" ht="15.5" x14ac:dyDescent="0.35">
      <c r="B8248" s="853">
        <v>394023.6772143534</v>
      </c>
    </row>
    <row r="8249" spans="2:2" ht="15.5" x14ac:dyDescent="0.35">
      <c r="B8249" s="853">
        <v>664810.47391211486</v>
      </c>
    </row>
    <row r="8250" spans="2:2" ht="15.5" x14ac:dyDescent="0.35">
      <c r="B8250" s="853">
        <v>265961.08831015707</v>
      </c>
    </row>
    <row r="8251" spans="2:2" ht="15.5" x14ac:dyDescent="0.35">
      <c r="B8251" s="853">
        <v>528560.95454308833</v>
      </c>
    </row>
    <row r="8252" spans="2:2" ht="15.5" x14ac:dyDescent="0.35">
      <c r="B8252" s="853">
        <v>159882.7605594215</v>
      </c>
    </row>
    <row r="8253" spans="2:2" ht="15.5" x14ac:dyDescent="0.35">
      <c r="B8253" s="853">
        <v>131246.81028986064</v>
      </c>
    </row>
    <row r="8254" spans="2:2" ht="15.5" x14ac:dyDescent="0.35">
      <c r="B8254" s="853">
        <v>356013.2397446328</v>
      </c>
    </row>
    <row r="8255" spans="2:2" ht="15.5" x14ac:dyDescent="0.35">
      <c r="B8255" s="853">
        <v>526335.01652448403</v>
      </c>
    </row>
    <row r="8256" spans="2:2" ht="15.5" x14ac:dyDescent="0.35">
      <c r="B8256" s="853">
        <v>228287.59056646438</v>
      </c>
    </row>
    <row r="8257" spans="2:2" ht="15.5" x14ac:dyDescent="0.35">
      <c r="B8257" s="853">
        <v>276279.59565817111</v>
      </c>
    </row>
    <row r="8258" spans="2:2" ht="15.5" x14ac:dyDescent="0.35">
      <c r="B8258" s="853">
        <v>200370.70389344275</v>
      </c>
    </row>
    <row r="8259" spans="2:2" ht="15.5" x14ac:dyDescent="0.35">
      <c r="B8259" s="853">
        <v>288549.62516326399</v>
      </c>
    </row>
    <row r="8260" spans="2:2" ht="15.5" x14ac:dyDescent="0.35">
      <c r="B8260" s="853">
        <v>153138.88243109954</v>
      </c>
    </row>
    <row r="8261" spans="2:2" ht="15.5" x14ac:dyDescent="0.35">
      <c r="B8261" s="853">
        <v>415658.22347191413</v>
      </c>
    </row>
    <row r="8262" spans="2:2" ht="15.5" x14ac:dyDescent="0.35">
      <c r="B8262" s="853">
        <v>237706.92910225334</v>
      </c>
    </row>
    <row r="8263" spans="2:2" ht="15.5" x14ac:dyDescent="0.35">
      <c r="B8263" s="853">
        <v>235759.15003722932</v>
      </c>
    </row>
    <row r="8264" spans="2:2" ht="15.5" x14ac:dyDescent="0.35">
      <c r="B8264" s="853">
        <v>331276.61884712457</v>
      </c>
    </row>
    <row r="8265" spans="2:2" ht="15.5" x14ac:dyDescent="0.35">
      <c r="B8265" s="853">
        <v>74648.142488636979</v>
      </c>
    </row>
    <row r="8266" spans="2:2" ht="15.5" x14ac:dyDescent="0.35">
      <c r="B8266" s="853">
        <v>349366.24527777807</v>
      </c>
    </row>
    <row r="8267" spans="2:2" ht="15.5" x14ac:dyDescent="0.35">
      <c r="B8267" s="853">
        <v>328783.34372390405</v>
      </c>
    </row>
    <row r="8268" spans="2:2" ht="15.5" x14ac:dyDescent="0.35">
      <c r="B8268" s="853">
        <v>149388.13008187292</v>
      </c>
    </row>
    <row r="8269" spans="2:2" ht="15.5" x14ac:dyDescent="0.35">
      <c r="B8269" s="853">
        <v>159912.47511365928</v>
      </c>
    </row>
    <row r="8270" spans="2:2" ht="15.5" x14ac:dyDescent="0.35">
      <c r="B8270" s="853">
        <v>439227.12791795458</v>
      </c>
    </row>
    <row r="8271" spans="2:2" ht="15.5" x14ac:dyDescent="0.35">
      <c r="B8271" s="853">
        <v>355121.58970827167</v>
      </c>
    </row>
    <row r="8272" spans="2:2" ht="15.5" x14ac:dyDescent="0.35">
      <c r="B8272" s="853">
        <v>279884.03761203913</v>
      </c>
    </row>
    <row r="8273" spans="2:2" ht="15.5" x14ac:dyDescent="0.35">
      <c r="B8273" s="853">
        <v>84349.326381686435</v>
      </c>
    </row>
    <row r="8274" spans="2:2" ht="15.5" x14ac:dyDescent="0.35">
      <c r="B8274" s="853">
        <v>302404.15669079492</v>
      </c>
    </row>
    <row r="8275" spans="2:2" ht="15.5" x14ac:dyDescent="0.35">
      <c r="B8275" s="853">
        <v>217771.69469877926</v>
      </c>
    </row>
    <row r="8276" spans="2:2" ht="15.5" x14ac:dyDescent="0.35">
      <c r="B8276" s="853">
        <v>83595.892344599139</v>
      </c>
    </row>
    <row r="8277" spans="2:2" ht="15.5" x14ac:dyDescent="0.35">
      <c r="B8277" s="853">
        <v>459767.71539989772</v>
      </c>
    </row>
    <row r="8278" spans="2:2" ht="15.5" x14ac:dyDescent="0.35">
      <c r="B8278" s="853">
        <v>240308.80364418242</v>
      </c>
    </row>
    <row r="8279" spans="2:2" ht="15.5" x14ac:dyDescent="0.35">
      <c r="B8279" s="853">
        <v>267458.461008079</v>
      </c>
    </row>
    <row r="8280" spans="2:2" ht="15.5" x14ac:dyDescent="0.35">
      <c r="B8280" s="853">
        <v>200663.52199291662</v>
      </c>
    </row>
    <row r="8281" spans="2:2" ht="15.5" x14ac:dyDescent="0.35">
      <c r="B8281" s="853">
        <v>368935.82062813803</v>
      </c>
    </row>
    <row r="8282" spans="2:2" ht="15.5" x14ac:dyDescent="0.35">
      <c r="B8282" s="853">
        <v>373881.00801448175</v>
      </c>
    </row>
    <row r="8283" spans="2:2" ht="15.5" x14ac:dyDescent="0.35">
      <c r="B8283" s="853">
        <v>290730.90465361485</v>
      </c>
    </row>
    <row r="8284" spans="2:2" ht="15.5" x14ac:dyDescent="0.35">
      <c r="B8284" s="853">
        <v>-54885.122948487195</v>
      </c>
    </row>
    <row r="8285" spans="2:2" ht="15.5" x14ac:dyDescent="0.35">
      <c r="B8285" s="853">
        <v>427740.58716291905</v>
      </c>
    </row>
    <row r="8286" spans="2:2" ht="15.5" x14ac:dyDescent="0.35">
      <c r="B8286" s="853">
        <v>514891.45122311014</v>
      </c>
    </row>
    <row r="8287" spans="2:2" ht="15.5" x14ac:dyDescent="0.35">
      <c r="B8287" s="853">
        <v>175045.33568851577</v>
      </c>
    </row>
    <row r="8288" spans="2:2" ht="15.5" x14ac:dyDescent="0.35">
      <c r="B8288" s="853">
        <v>490014.34132786252</v>
      </c>
    </row>
    <row r="8289" spans="2:2" ht="15.5" x14ac:dyDescent="0.35">
      <c r="B8289" s="853">
        <v>188407.91623859532</v>
      </c>
    </row>
    <row r="8290" spans="2:2" ht="15.5" x14ac:dyDescent="0.35">
      <c r="B8290" s="853">
        <v>188044.09774899724</v>
      </c>
    </row>
    <row r="8291" spans="2:2" ht="15.5" x14ac:dyDescent="0.35">
      <c r="B8291" s="853">
        <v>168221.13990290934</v>
      </c>
    </row>
    <row r="8292" spans="2:2" ht="15.5" x14ac:dyDescent="0.35">
      <c r="B8292" s="853">
        <v>132195.44507767083</v>
      </c>
    </row>
    <row r="8293" spans="2:2" ht="15.5" x14ac:dyDescent="0.35">
      <c r="B8293" s="853">
        <v>-49774.336964278576</v>
      </c>
    </row>
    <row r="8294" spans="2:2" ht="15.5" x14ac:dyDescent="0.35">
      <c r="B8294" s="853">
        <v>405058.29303457058</v>
      </c>
    </row>
    <row r="8295" spans="2:2" ht="15.5" x14ac:dyDescent="0.35">
      <c r="B8295" s="853">
        <v>92850.652997235215</v>
      </c>
    </row>
    <row r="8296" spans="2:2" ht="15.5" x14ac:dyDescent="0.35">
      <c r="B8296" s="853">
        <v>278658.37991229206</v>
      </c>
    </row>
    <row r="8297" spans="2:2" ht="15.5" x14ac:dyDescent="0.35">
      <c r="B8297" s="853">
        <v>563554.54407976335</v>
      </c>
    </row>
    <row r="8298" spans="2:2" ht="15.5" x14ac:dyDescent="0.35">
      <c r="B8298" s="853">
        <v>586783.6269582255</v>
      </c>
    </row>
    <row r="8299" spans="2:2" ht="15.5" x14ac:dyDescent="0.35">
      <c r="B8299" s="853">
        <v>435169.08242400724</v>
      </c>
    </row>
    <row r="8300" spans="2:2" ht="15.5" x14ac:dyDescent="0.35">
      <c r="B8300" s="853">
        <v>453323.5530746631</v>
      </c>
    </row>
    <row r="8301" spans="2:2" ht="15.5" x14ac:dyDescent="0.35">
      <c r="B8301" s="853">
        <v>438273.28696247569</v>
      </c>
    </row>
    <row r="8302" spans="2:2" ht="15.5" x14ac:dyDescent="0.35">
      <c r="B8302" s="853">
        <v>418422.5513378951</v>
      </c>
    </row>
    <row r="8303" spans="2:2" ht="15.5" x14ac:dyDescent="0.35">
      <c r="B8303" s="853">
        <v>323399.54009464517</v>
      </c>
    </row>
    <row r="8304" spans="2:2" ht="15.5" x14ac:dyDescent="0.35">
      <c r="B8304" s="853">
        <v>196030.55152523593</v>
      </c>
    </row>
    <row r="8305" spans="2:2" ht="15.5" x14ac:dyDescent="0.35">
      <c r="B8305" s="853">
        <v>56482.105386166018</v>
      </c>
    </row>
    <row r="8306" spans="2:2" ht="15.5" x14ac:dyDescent="0.35">
      <c r="B8306" s="853">
        <v>282037.6267113206</v>
      </c>
    </row>
    <row r="8307" spans="2:2" ht="15.5" x14ac:dyDescent="0.35">
      <c r="B8307" s="853">
        <v>393667.24286408909</v>
      </c>
    </row>
    <row r="8308" spans="2:2" ht="15.5" x14ac:dyDescent="0.35">
      <c r="B8308" s="853">
        <v>-82983.820991934932</v>
      </c>
    </row>
    <row r="8309" spans="2:2" ht="15.5" x14ac:dyDescent="0.35">
      <c r="B8309" s="853">
        <v>379516.57011796138</v>
      </c>
    </row>
    <row r="8310" spans="2:2" ht="15.5" x14ac:dyDescent="0.35">
      <c r="B8310" s="853">
        <v>426011.06595962663</v>
      </c>
    </row>
    <row r="8311" spans="2:2" ht="15.5" x14ac:dyDescent="0.35">
      <c r="B8311" s="853">
        <v>49864.534296844591</v>
      </c>
    </row>
    <row r="8312" spans="2:2" ht="15.5" x14ac:dyDescent="0.35">
      <c r="B8312" s="853">
        <v>256249.1601367408</v>
      </c>
    </row>
    <row r="8313" spans="2:2" ht="15.5" x14ac:dyDescent="0.35">
      <c r="B8313" s="853">
        <v>337041.18581193913</v>
      </c>
    </row>
    <row r="8314" spans="2:2" ht="15.5" x14ac:dyDescent="0.35">
      <c r="B8314" s="853">
        <v>242971.86912616866</v>
      </c>
    </row>
    <row r="8315" spans="2:2" ht="15.5" x14ac:dyDescent="0.35">
      <c r="B8315" s="853">
        <v>264831.01499535883</v>
      </c>
    </row>
    <row r="8316" spans="2:2" ht="15.5" x14ac:dyDescent="0.35">
      <c r="B8316" s="853">
        <v>180958.61199195898</v>
      </c>
    </row>
    <row r="8317" spans="2:2" ht="15.5" x14ac:dyDescent="0.35">
      <c r="B8317" s="853">
        <v>24386.153579376194</v>
      </c>
    </row>
    <row r="8318" spans="2:2" ht="15.5" x14ac:dyDescent="0.35">
      <c r="B8318" s="853">
        <v>293816.58486667421</v>
      </c>
    </row>
    <row r="8319" spans="2:2" ht="15.5" x14ac:dyDescent="0.35">
      <c r="B8319" s="853">
        <v>167434.22239513116</v>
      </c>
    </row>
    <row r="8320" spans="2:2" ht="15.5" x14ac:dyDescent="0.35">
      <c r="B8320" s="853">
        <v>360309.55457574828</v>
      </c>
    </row>
    <row r="8321" spans="2:2" ht="15.5" x14ac:dyDescent="0.35">
      <c r="B8321" s="853">
        <v>235819.982391784</v>
      </c>
    </row>
    <row r="8322" spans="2:2" ht="15.5" x14ac:dyDescent="0.35">
      <c r="B8322" s="853">
        <v>181797.46875069189</v>
      </c>
    </row>
    <row r="8323" spans="2:2" ht="15.5" x14ac:dyDescent="0.35">
      <c r="B8323" s="853">
        <v>561462.38944008923</v>
      </c>
    </row>
    <row r="8324" spans="2:2" ht="15.5" x14ac:dyDescent="0.35">
      <c r="B8324" s="853">
        <v>210274.58190585047</v>
      </c>
    </row>
    <row r="8325" spans="2:2" ht="15.5" x14ac:dyDescent="0.35">
      <c r="B8325" s="853">
        <v>222923.10685034716</v>
      </c>
    </row>
    <row r="8326" spans="2:2" ht="15.5" x14ac:dyDescent="0.35">
      <c r="B8326" s="853">
        <v>17199.820701796511</v>
      </c>
    </row>
    <row r="8327" spans="2:2" ht="15.5" x14ac:dyDescent="0.35">
      <c r="B8327" s="853">
        <v>379905.33823501825</v>
      </c>
    </row>
    <row r="8328" spans="2:2" ht="15.5" x14ac:dyDescent="0.35">
      <c r="B8328" s="853">
        <v>293378.01393765432</v>
      </c>
    </row>
    <row r="8329" spans="2:2" ht="15.5" x14ac:dyDescent="0.35">
      <c r="B8329" s="853">
        <v>517479.54400882928</v>
      </c>
    </row>
    <row r="8330" spans="2:2" ht="15.5" x14ac:dyDescent="0.35">
      <c r="B8330" s="853">
        <v>132266.015183304</v>
      </c>
    </row>
    <row r="8331" spans="2:2" ht="15.5" x14ac:dyDescent="0.35">
      <c r="B8331" s="853">
        <v>204925.67945486688</v>
      </c>
    </row>
    <row r="8332" spans="2:2" ht="15.5" x14ac:dyDescent="0.35">
      <c r="B8332" s="853">
        <v>252582.22613619349</v>
      </c>
    </row>
    <row r="8333" spans="2:2" ht="15.5" x14ac:dyDescent="0.35">
      <c r="B8333" s="853">
        <v>202308.95764766968</v>
      </c>
    </row>
    <row r="8334" spans="2:2" ht="15.5" x14ac:dyDescent="0.35">
      <c r="B8334" s="853">
        <v>4578.8058311481082</v>
      </c>
    </row>
    <row r="8335" spans="2:2" ht="15.5" x14ac:dyDescent="0.35">
      <c r="B8335" s="853">
        <v>617155.78072531358</v>
      </c>
    </row>
    <row r="8336" spans="2:2" ht="15.5" x14ac:dyDescent="0.35">
      <c r="B8336" s="853">
        <v>249227.06442775723</v>
      </c>
    </row>
    <row r="8337" spans="2:2" ht="15.5" x14ac:dyDescent="0.35">
      <c r="B8337" s="853">
        <v>108385.75025048749</v>
      </c>
    </row>
    <row r="8338" spans="2:2" ht="15.5" x14ac:dyDescent="0.35">
      <c r="B8338" s="853">
        <v>92148.313704610206</v>
      </c>
    </row>
    <row r="8339" spans="2:2" ht="15.5" x14ac:dyDescent="0.35">
      <c r="B8339" s="853">
        <v>249395.45344362702</v>
      </c>
    </row>
    <row r="8340" spans="2:2" ht="15.5" x14ac:dyDescent="0.35">
      <c r="B8340" s="853">
        <v>199481.75705086868</v>
      </c>
    </row>
    <row r="8341" spans="2:2" ht="15.5" x14ac:dyDescent="0.35">
      <c r="B8341" s="853">
        <v>474480.83174323075</v>
      </c>
    </row>
    <row r="8342" spans="2:2" ht="15.5" x14ac:dyDescent="0.35">
      <c r="B8342" s="853">
        <v>482106.64086852653</v>
      </c>
    </row>
    <row r="8343" spans="2:2" ht="15.5" x14ac:dyDescent="0.35">
      <c r="B8343" s="853">
        <v>509063.43013559165</v>
      </c>
    </row>
    <row r="8344" spans="2:2" ht="15.5" x14ac:dyDescent="0.35">
      <c r="B8344" s="853">
        <v>20108.963554214413</v>
      </c>
    </row>
    <row r="8345" spans="2:2" ht="15.5" x14ac:dyDescent="0.35">
      <c r="B8345" s="853">
        <v>315395.11042303545</v>
      </c>
    </row>
    <row r="8346" spans="2:2" ht="15.5" x14ac:dyDescent="0.35">
      <c r="B8346" s="853">
        <v>63752.645646936777</v>
      </c>
    </row>
    <row r="8347" spans="2:2" ht="15.5" x14ac:dyDescent="0.35">
      <c r="B8347" s="853">
        <v>423199.27830528602</v>
      </c>
    </row>
    <row r="8348" spans="2:2" ht="15.5" x14ac:dyDescent="0.35">
      <c r="B8348" s="853">
        <v>-101008.70160170973</v>
      </c>
    </row>
    <row r="8349" spans="2:2" ht="15.5" x14ac:dyDescent="0.35">
      <c r="B8349" s="853">
        <v>209537.85896579063</v>
      </c>
    </row>
    <row r="8350" spans="2:2" ht="15.5" x14ac:dyDescent="0.35">
      <c r="B8350" s="853">
        <v>427241.68435343262</v>
      </c>
    </row>
    <row r="8351" spans="2:2" ht="15.5" x14ac:dyDescent="0.35">
      <c r="B8351" s="853">
        <v>370213.20113046572</v>
      </c>
    </row>
    <row r="8352" spans="2:2" ht="15.5" x14ac:dyDescent="0.35">
      <c r="B8352" s="853">
        <v>317855.8914972893</v>
      </c>
    </row>
    <row r="8353" spans="2:2" ht="15.5" x14ac:dyDescent="0.35">
      <c r="B8353" s="853">
        <v>250418.13360887422</v>
      </c>
    </row>
    <row r="8354" spans="2:2" ht="15.5" x14ac:dyDescent="0.35">
      <c r="B8354" s="853">
        <v>244605.55271975006</v>
      </c>
    </row>
    <row r="8355" spans="2:2" ht="15.5" x14ac:dyDescent="0.35">
      <c r="B8355" s="853">
        <v>166609.4985949104</v>
      </c>
    </row>
    <row r="8356" spans="2:2" ht="15.5" x14ac:dyDescent="0.35">
      <c r="B8356" s="853">
        <v>271019.00496511423</v>
      </c>
    </row>
    <row r="8357" spans="2:2" ht="15.5" x14ac:dyDescent="0.35">
      <c r="B8357" s="853">
        <v>307594.88728817721</v>
      </c>
    </row>
    <row r="8358" spans="2:2" ht="15.5" x14ac:dyDescent="0.35">
      <c r="B8358" s="853">
        <v>352271.10261293239</v>
      </c>
    </row>
    <row r="8359" spans="2:2" ht="15.5" x14ac:dyDescent="0.35">
      <c r="B8359" s="853">
        <v>264961.34224517032</v>
      </c>
    </row>
    <row r="8360" spans="2:2" ht="15.5" x14ac:dyDescent="0.35">
      <c r="B8360" s="853">
        <v>354566.97648062865</v>
      </c>
    </row>
    <row r="8361" spans="2:2" ht="15.5" x14ac:dyDescent="0.35">
      <c r="B8361" s="853">
        <v>167226.03558544817</v>
      </c>
    </row>
    <row r="8362" spans="2:2" ht="15.5" x14ac:dyDescent="0.35">
      <c r="B8362" s="853">
        <v>411708.13070481905</v>
      </c>
    </row>
    <row r="8363" spans="2:2" ht="15.5" x14ac:dyDescent="0.35">
      <c r="B8363" s="853">
        <v>172805.10357240733</v>
      </c>
    </row>
    <row r="8364" spans="2:2" ht="15.5" x14ac:dyDescent="0.35">
      <c r="B8364" s="853">
        <v>279723.72159633215</v>
      </c>
    </row>
    <row r="8365" spans="2:2" ht="15.5" x14ac:dyDescent="0.35">
      <c r="B8365" s="853">
        <v>526108.09666449623</v>
      </c>
    </row>
    <row r="8366" spans="2:2" ht="15.5" x14ac:dyDescent="0.35">
      <c r="B8366" s="853">
        <v>263637.16381453013</v>
      </c>
    </row>
    <row r="8367" spans="2:2" ht="15.5" x14ac:dyDescent="0.35">
      <c r="B8367" s="853">
        <v>229134.36613869481</v>
      </c>
    </row>
    <row r="8368" spans="2:2" ht="15.5" x14ac:dyDescent="0.35">
      <c r="B8368" s="853">
        <v>249092.771931286</v>
      </c>
    </row>
    <row r="8369" spans="2:2" ht="15.5" x14ac:dyDescent="0.35">
      <c r="B8369" s="853">
        <v>43973.412859973243</v>
      </c>
    </row>
    <row r="8370" spans="2:2" ht="15.5" x14ac:dyDescent="0.35">
      <c r="B8370" s="853">
        <v>569620.84181173996</v>
      </c>
    </row>
    <row r="8371" spans="2:2" ht="15.5" x14ac:dyDescent="0.35">
      <c r="B8371" s="853">
        <v>163172.77725422772</v>
      </c>
    </row>
    <row r="8372" spans="2:2" ht="15.5" x14ac:dyDescent="0.35">
      <c r="B8372" s="853">
        <v>459279.3132853813</v>
      </c>
    </row>
    <row r="8373" spans="2:2" ht="15.5" x14ac:dyDescent="0.35">
      <c r="B8373" s="853">
        <v>246565.6248377233</v>
      </c>
    </row>
    <row r="8374" spans="2:2" ht="15.5" x14ac:dyDescent="0.35">
      <c r="B8374" s="853">
        <v>434642.65686799347</v>
      </c>
    </row>
    <row r="8375" spans="2:2" ht="15.5" x14ac:dyDescent="0.35">
      <c r="B8375" s="853">
        <v>367188.98712310364</v>
      </c>
    </row>
    <row r="8376" spans="2:2" ht="15.5" x14ac:dyDescent="0.35">
      <c r="B8376" s="853">
        <v>297211.88515682612</v>
      </c>
    </row>
    <row r="8377" spans="2:2" ht="15.5" x14ac:dyDescent="0.35">
      <c r="B8377" s="853">
        <v>292120.89820097387</v>
      </c>
    </row>
    <row r="8378" spans="2:2" ht="15.5" x14ac:dyDescent="0.35">
      <c r="B8378" s="853">
        <v>110941.33219838058</v>
      </c>
    </row>
    <row r="8379" spans="2:2" ht="15.5" x14ac:dyDescent="0.35">
      <c r="B8379" s="853">
        <v>191850.678845474</v>
      </c>
    </row>
    <row r="8380" spans="2:2" ht="15.5" x14ac:dyDescent="0.35">
      <c r="B8380" s="853">
        <v>515306.26101890707</v>
      </c>
    </row>
    <row r="8381" spans="2:2" ht="15.5" x14ac:dyDescent="0.35">
      <c r="B8381" s="853">
        <v>91721.171058409396</v>
      </c>
    </row>
    <row r="8382" spans="2:2" ht="15.5" x14ac:dyDescent="0.35">
      <c r="B8382" s="853">
        <v>495343.11349714245</v>
      </c>
    </row>
    <row r="8383" spans="2:2" ht="15.5" x14ac:dyDescent="0.35">
      <c r="B8383" s="853">
        <v>376291.93712120026</v>
      </c>
    </row>
    <row r="8384" spans="2:2" ht="15.5" x14ac:dyDescent="0.35">
      <c r="B8384" s="853">
        <v>288585.13630412845</v>
      </c>
    </row>
    <row r="8385" spans="2:2" ht="15.5" x14ac:dyDescent="0.35">
      <c r="B8385" s="853">
        <v>337068.16438794753</v>
      </c>
    </row>
    <row r="8386" spans="2:2" ht="15.5" x14ac:dyDescent="0.35">
      <c r="B8386" s="853">
        <v>380699.74354266166</v>
      </c>
    </row>
    <row r="8387" spans="2:2" ht="15.5" x14ac:dyDescent="0.35">
      <c r="B8387" s="853">
        <v>121813.01216365943</v>
      </c>
    </row>
    <row r="8388" spans="2:2" ht="15.5" x14ac:dyDescent="0.35">
      <c r="B8388" s="853">
        <v>591838.8478027964</v>
      </c>
    </row>
    <row r="8389" spans="2:2" ht="15.5" x14ac:dyDescent="0.35">
      <c r="B8389" s="853">
        <v>10311.671468994316</v>
      </c>
    </row>
    <row r="8390" spans="2:2" ht="15.5" x14ac:dyDescent="0.35">
      <c r="B8390" s="853">
        <v>382433.43366393226</v>
      </c>
    </row>
    <row r="8391" spans="2:2" ht="15.5" x14ac:dyDescent="0.35">
      <c r="B8391" s="853">
        <v>347918.45670075191</v>
      </c>
    </row>
    <row r="8392" spans="2:2" ht="15.5" x14ac:dyDescent="0.35">
      <c r="B8392" s="853">
        <v>262993.10311156971</v>
      </c>
    </row>
    <row r="8393" spans="2:2" ht="15.5" x14ac:dyDescent="0.35">
      <c r="B8393" s="853">
        <v>268678.48943669314</v>
      </c>
    </row>
    <row r="8394" spans="2:2" ht="15.5" x14ac:dyDescent="0.35">
      <c r="B8394" s="853">
        <v>740576.45481162262</v>
      </c>
    </row>
    <row r="8395" spans="2:2" ht="15.5" x14ac:dyDescent="0.35">
      <c r="B8395" s="853">
        <v>238352.68612996247</v>
      </c>
    </row>
    <row r="8396" spans="2:2" ht="15.5" x14ac:dyDescent="0.35">
      <c r="B8396" s="853">
        <v>384359.70226000878</v>
      </c>
    </row>
    <row r="8397" spans="2:2" ht="15.5" x14ac:dyDescent="0.35">
      <c r="B8397" s="853">
        <v>418810.3352600513</v>
      </c>
    </row>
    <row r="8398" spans="2:2" ht="15.5" x14ac:dyDescent="0.35">
      <c r="B8398" s="853">
        <v>185767.86407451142</v>
      </c>
    </row>
    <row r="8399" spans="2:2" ht="15.5" x14ac:dyDescent="0.35">
      <c r="B8399" s="853">
        <v>447732.15849152987</v>
      </c>
    </row>
    <row r="8400" spans="2:2" ht="15.5" x14ac:dyDescent="0.35">
      <c r="B8400" s="853">
        <v>146435.0547560417</v>
      </c>
    </row>
    <row r="8401" spans="2:2" ht="15.5" x14ac:dyDescent="0.35">
      <c r="B8401" s="853">
        <v>285077.72851511789</v>
      </c>
    </row>
    <row r="8402" spans="2:2" ht="15.5" x14ac:dyDescent="0.35">
      <c r="B8402" s="853">
        <v>336766.0754442917</v>
      </c>
    </row>
    <row r="8403" spans="2:2" ht="15.5" x14ac:dyDescent="0.35">
      <c r="B8403" s="853">
        <v>208478.022022127</v>
      </c>
    </row>
    <row r="8404" spans="2:2" ht="15.5" x14ac:dyDescent="0.35">
      <c r="B8404" s="853">
        <v>246373.10062663318</v>
      </c>
    </row>
    <row r="8405" spans="2:2" ht="15.5" x14ac:dyDescent="0.35">
      <c r="B8405" s="853">
        <v>269317.5619276152</v>
      </c>
    </row>
    <row r="8406" spans="2:2" ht="15.5" x14ac:dyDescent="0.35">
      <c r="B8406" s="853">
        <v>472841.13792128843</v>
      </c>
    </row>
    <row r="8407" spans="2:2" ht="15.5" x14ac:dyDescent="0.35">
      <c r="B8407" s="853">
        <v>182821.67907990946</v>
      </c>
    </row>
    <row r="8408" spans="2:2" ht="15.5" x14ac:dyDescent="0.35">
      <c r="B8408" s="853">
        <v>495880.16953269806</v>
      </c>
    </row>
    <row r="8409" spans="2:2" ht="15.5" x14ac:dyDescent="0.35">
      <c r="B8409" s="853">
        <v>126197.63682982158</v>
      </c>
    </row>
    <row r="8410" spans="2:2" ht="15.5" x14ac:dyDescent="0.35">
      <c r="B8410" s="853">
        <v>-54475.736608540858</v>
      </c>
    </row>
    <row r="8411" spans="2:2" ht="15.5" x14ac:dyDescent="0.35">
      <c r="B8411" s="853">
        <v>396021.76985004608</v>
      </c>
    </row>
    <row r="8412" spans="2:2" ht="15.5" x14ac:dyDescent="0.35">
      <c r="B8412" s="853">
        <v>448112.73998887569</v>
      </c>
    </row>
    <row r="8413" spans="2:2" ht="15.5" x14ac:dyDescent="0.35">
      <c r="B8413" s="853">
        <v>301131.44053184008</v>
      </c>
    </row>
    <row r="8414" spans="2:2" ht="15.5" x14ac:dyDescent="0.35">
      <c r="B8414" s="853">
        <v>468508.24737269134</v>
      </c>
    </row>
    <row r="8415" spans="2:2" ht="15.5" x14ac:dyDescent="0.35">
      <c r="B8415" s="853">
        <v>485549.27313983638</v>
      </c>
    </row>
    <row r="8416" spans="2:2" ht="15.5" x14ac:dyDescent="0.35">
      <c r="B8416" s="853">
        <v>391066.31231894909</v>
      </c>
    </row>
    <row r="8417" spans="2:2" ht="15.5" x14ac:dyDescent="0.35">
      <c r="B8417" s="853">
        <v>547800.70356885507</v>
      </c>
    </row>
    <row r="8418" spans="2:2" ht="15.5" x14ac:dyDescent="0.35">
      <c r="B8418" s="853">
        <v>291062.08254028641</v>
      </c>
    </row>
    <row r="8419" spans="2:2" ht="15.5" x14ac:dyDescent="0.35">
      <c r="B8419" s="853">
        <v>208923.13084115309</v>
      </c>
    </row>
    <row r="8420" spans="2:2" ht="15.5" x14ac:dyDescent="0.35">
      <c r="B8420" s="853">
        <v>470560.72507840622</v>
      </c>
    </row>
    <row r="8421" spans="2:2" ht="15.5" x14ac:dyDescent="0.35">
      <c r="B8421" s="853">
        <v>159494.44764585709</v>
      </c>
    </row>
    <row r="8422" spans="2:2" ht="15.5" x14ac:dyDescent="0.35">
      <c r="B8422" s="853">
        <v>88520.440102725537</v>
      </c>
    </row>
    <row r="8423" spans="2:2" ht="15.5" x14ac:dyDescent="0.35">
      <c r="B8423" s="853">
        <v>255456.18524929276</v>
      </c>
    </row>
    <row r="8424" spans="2:2" ht="15.5" x14ac:dyDescent="0.35">
      <c r="B8424" s="853">
        <v>478219.61298754741</v>
      </c>
    </row>
    <row r="8425" spans="2:2" ht="15.5" x14ac:dyDescent="0.35">
      <c r="B8425" s="853">
        <v>475101.38361052267</v>
      </c>
    </row>
    <row r="8426" spans="2:2" ht="15.5" x14ac:dyDescent="0.35">
      <c r="B8426" s="853">
        <v>133088.48707053601</v>
      </c>
    </row>
    <row r="8427" spans="2:2" ht="15.5" x14ac:dyDescent="0.35">
      <c r="B8427" s="853">
        <v>233373.00753894541</v>
      </c>
    </row>
    <row r="8428" spans="2:2" ht="15.5" x14ac:dyDescent="0.35">
      <c r="B8428" s="853">
        <v>53177.139781969163</v>
      </c>
    </row>
    <row r="8429" spans="2:2" ht="15.5" x14ac:dyDescent="0.35">
      <c r="B8429" s="853">
        <v>512829.31930882047</v>
      </c>
    </row>
    <row r="8430" spans="2:2" ht="15.5" x14ac:dyDescent="0.35">
      <c r="B8430" s="853">
        <v>232780.73588505937</v>
      </c>
    </row>
    <row r="8431" spans="2:2" ht="15.5" x14ac:dyDescent="0.35">
      <c r="B8431" s="853">
        <v>437323.36019776051</v>
      </c>
    </row>
    <row r="8432" spans="2:2" ht="15.5" x14ac:dyDescent="0.35">
      <c r="B8432" s="853">
        <v>162759.45078177273</v>
      </c>
    </row>
    <row r="8433" spans="2:2" ht="15.5" x14ac:dyDescent="0.35">
      <c r="B8433" s="853">
        <v>324421.91462346469</v>
      </c>
    </row>
    <row r="8434" spans="2:2" ht="15.5" x14ac:dyDescent="0.35">
      <c r="B8434" s="853">
        <v>385726.38884225819</v>
      </c>
    </row>
    <row r="8435" spans="2:2" ht="15.5" x14ac:dyDescent="0.35">
      <c r="B8435" s="853">
        <v>328975.39165249444</v>
      </c>
    </row>
    <row r="8436" spans="2:2" ht="15.5" x14ac:dyDescent="0.35">
      <c r="B8436" s="853">
        <v>275892.75817480852</v>
      </c>
    </row>
    <row r="8437" spans="2:2" ht="15.5" x14ac:dyDescent="0.35">
      <c r="B8437" s="853">
        <v>232163.65417630528</v>
      </c>
    </row>
    <row r="8438" spans="2:2" ht="15.5" x14ac:dyDescent="0.35">
      <c r="B8438" s="853">
        <v>176833.27416620369</v>
      </c>
    </row>
    <row r="8439" spans="2:2" ht="15.5" x14ac:dyDescent="0.35">
      <c r="B8439" s="853">
        <v>276869.77414883079</v>
      </c>
    </row>
    <row r="8440" spans="2:2" ht="15.5" x14ac:dyDescent="0.35">
      <c r="B8440" s="853">
        <v>328866.92154118721</v>
      </c>
    </row>
    <row r="8441" spans="2:2" ht="15.5" x14ac:dyDescent="0.35">
      <c r="B8441" s="853">
        <v>224087.8661278057</v>
      </c>
    </row>
    <row r="8442" spans="2:2" ht="15.5" x14ac:dyDescent="0.35">
      <c r="B8442" s="853">
        <v>370541.5053525003</v>
      </c>
    </row>
    <row r="8443" spans="2:2" ht="15.5" x14ac:dyDescent="0.35">
      <c r="B8443" s="853">
        <v>284500.90101873479</v>
      </c>
    </row>
    <row r="8444" spans="2:2" ht="15.5" x14ac:dyDescent="0.35">
      <c r="B8444" s="853">
        <v>321999.98678410199</v>
      </c>
    </row>
    <row r="8445" spans="2:2" ht="15.5" x14ac:dyDescent="0.35">
      <c r="B8445" s="853">
        <v>264644.28825356916</v>
      </c>
    </row>
    <row r="8446" spans="2:2" ht="15.5" x14ac:dyDescent="0.35">
      <c r="B8446" s="853">
        <v>286948.24963635084</v>
      </c>
    </row>
    <row r="8447" spans="2:2" ht="15.5" x14ac:dyDescent="0.35">
      <c r="B8447" s="853">
        <v>364058.15243577765</v>
      </c>
    </row>
    <row r="8448" spans="2:2" ht="15.5" x14ac:dyDescent="0.35">
      <c r="B8448" s="853">
        <v>169673.66816796246</v>
      </c>
    </row>
    <row r="8449" spans="2:2" ht="15.5" x14ac:dyDescent="0.35">
      <c r="B8449" s="853">
        <v>377209.19297590194</v>
      </c>
    </row>
    <row r="8450" spans="2:2" ht="15.5" x14ac:dyDescent="0.35">
      <c r="B8450" s="853">
        <v>223788.12239921861</v>
      </c>
    </row>
    <row r="8451" spans="2:2" ht="15.5" x14ac:dyDescent="0.35">
      <c r="B8451" s="853">
        <v>329651.9108691375</v>
      </c>
    </row>
    <row r="8452" spans="2:2" ht="15.5" x14ac:dyDescent="0.35">
      <c r="B8452" s="853">
        <v>332245.84105438931</v>
      </c>
    </row>
    <row r="8453" spans="2:2" ht="15.5" x14ac:dyDescent="0.35">
      <c r="B8453" s="853">
        <v>245459.87101683693</v>
      </c>
    </row>
    <row r="8454" spans="2:2" ht="15.5" x14ac:dyDescent="0.35">
      <c r="B8454" s="853">
        <v>453794.12901822303</v>
      </c>
    </row>
    <row r="8455" spans="2:2" ht="15.5" x14ac:dyDescent="0.35">
      <c r="B8455" s="853">
        <v>191046.98395160958</v>
      </c>
    </row>
    <row r="8456" spans="2:2" ht="15.5" x14ac:dyDescent="0.35">
      <c r="B8456" s="853">
        <v>346853.99931164709</v>
      </c>
    </row>
    <row r="8457" spans="2:2" ht="15.5" x14ac:dyDescent="0.35">
      <c r="B8457" s="853">
        <v>281466.65284926537</v>
      </c>
    </row>
    <row r="8458" spans="2:2" ht="15.5" x14ac:dyDescent="0.35">
      <c r="B8458" s="853">
        <v>708053.7442057603</v>
      </c>
    </row>
    <row r="8459" spans="2:2" ht="15.5" x14ac:dyDescent="0.35">
      <c r="B8459" s="853">
        <v>364288.78592467657</v>
      </c>
    </row>
    <row r="8460" spans="2:2" ht="15.5" x14ac:dyDescent="0.35">
      <c r="B8460" s="853">
        <v>-51073.465733259502</v>
      </c>
    </row>
    <row r="8461" spans="2:2" ht="15.5" x14ac:dyDescent="0.35">
      <c r="B8461" s="853">
        <v>175036.73075326797</v>
      </c>
    </row>
    <row r="8462" spans="2:2" ht="15.5" x14ac:dyDescent="0.35">
      <c r="B8462" s="853">
        <v>120239.1988718786</v>
      </c>
    </row>
    <row r="8463" spans="2:2" ht="15.5" x14ac:dyDescent="0.35">
      <c r="B8463" s="853">
        <v>214372.51653542122</v>
      </c>
    </row>
    <row r="8464" spans="2:2" ht="15.5" x14ac:dyDescent="0.35">
      <c r="B8464" s="853">
        <v>445513.62702167348</v>
      </c>
    </row>
    <row r="8465" spans="2:2" ht="15.5" x14ac:dyDescent="0.35">
      <c r="B8465" s="853">
        <v>275499.09082594328</v>
      </c>
    </row>
    <row r="8466" spans="2:2" ht="15.5" x14ac:dyDescent="0.35">
      <c r="B8466" s="853">
        <v>174828.62753608142</v>
      </c>
    </row>
    <row r="8467" spans="2:2" ht="15.5" x14ac:dyDescent="0.35">
      <c r="B8467" s="853">
        <v>350556.86716143572</v>
      </c>
    </row>
    <row r="8468" spans="2:2" ht="15.5" x14ac:dyDescent="0.35">
      <c r="B8468" s="853">
        <v>325010.60203339002</v>
      </c>
    </row>
    <row r="8469" spans="2:2" ht="15.5" x14ac:dyDescent="0.35">
      <c r="B8469" s="853">
        <v>266726.54103921389</v>
      </c>
    </row>
    <row r="8470" spans="2:2" ht="15.5" x14ac:dyDescent="0.35">
      <c r="B8470" s="853">
        <v>471276.30603695649</v>
      </c>
    </row>
    <row r="8471" spans="2:2" ht="15.5" x14ac:dyDescent="0.35">
      <c r="B8471" s="853">
        <v>139603.80282725015</v>
      </c>
    </row>
    <row r="8472" spans="2:2" ht="15.5" x14ac:dyDescent="0.35">
      <c r="B8472" s="853">
        <v>114677.25922703929</v>
      </c>
    </row>
    <row r="8473" spans="2:2" ht="15.5" x14ac:dyDescent="0.35">
      <c r="B8473" s="853">
        <v>280719.04033243179</v>
      </c>
    </row>
    <row r="8474" spans="2:2" ht="15.5" x14ac:dyDescent="0.35">
      <c r="B8474" s="853">
        <v>666456.89198957977</v>
      </c>
    </row>
    <row r="8475" spans="2:2" ht="15.5" x14ac:dyDescent="0.35">
      <c r="B8475" s="853">
        <v>140717.93014837313</v>
      </c>
    </row>
    <row r="8476" spans="2:2" ht="15.5" x14ac:dyDescent="0.35">
      <c r="B8476" s="853">
        <v>443631.02213242941</v>
      </c>
    </row>
    <row r="8477" spans="2:2" ht="15.5" x14ac:dyDescent="0.35">
      <c r="B8477" s="853">
        <v>358371.19294352923</v>
      </c>
    </row>
    <row r="8478" spans="2:2" ht="15.5" x14ac:dyDescent="0.35">
      <c r="B8478" s="853">
        <v>112368.2638905752</v>
      </c>
    </row>
    <row r="8479" spans="2:2" ht="15.5" x14ac:dyDescent="0.35">
      <c r="B8479" s="853">
        <v>343678.03848848917</v>
      </c>
    </row>
    <row r="8480" spans="2:2" ht="15.5" x14ac:dyDescent="0.35">
      <c r="B8480" s="853">
        <v>274820.2693928575</v>
      </c>
    </row>
    <row r="8481" spans="2:2" ht="15.5" x14ac:dyDescent="0.35">
      <c r="B8481" s="853">
        <v>248156.66318918284</v>
      </c>
    </row>
    <row r="8482" spans="2:2" ht="15.5" x14ac:dyDescent="0.35">
      <c r="B8482" s="853">
        <v>105859.86648621362</v>
      </c>
    </row>
    <row r="8483" spans="2:2" ht="15.5" x14ac:dyDescent="0.35">
      <c r="B8483" s="853">
        <v>403492.00800748885</v>
      </c>
    </row>
    <row r="8484" spans="2:2" ht="15.5" x14ac:dyDescent="0.35">
      <c r="B8484" s="853">
        <v>391076.53215464414</v>
      </c>
    </row>
    <row r="8485" spans="2:2" ht="15.5" x14ac:dyDescent="0.35">
      <c r="B8485" s="853">
        <v>51431.234288556952</v>
      </c>
    </row>
    <row r="8486" spans="2:2" ht="15.5" x14ac:dyDescent="0.35">
      <c r="B8486" s="853">
        <v>107861.24170595783</v>
      </c>
    </row>
    <row r="8487" spans="2:2" ht="15.5" x14ac:dyDescent="0.35">
      <c r="B8487" s="853">
        <v>344368.83615433081</v>
      </c>
    </row>
    <row r="8488" spans="2:2" ht="15.5" x14ac:dyDescent="0.35">
      <c r="B8488" s="853">
        <v>346635.37454633816</v>
      </c>
    </row>
    <row r="8489" spans="2:2" ht="15.5" x14ac:dyDescent="0.35">
      <c r="B8489" s="853">
        <v>354512.0301567436</v>
      </c>
    </row>
    <row r="8490" spans="2:2" ht="15.5" x14ac:dyDescent="0.35">
      <c r="B8490" s="853">
        <v>235513.54303016598</v>
      </c>
    </row>
    <row r="8491" spans="2:2" ht="15.5" x14ac:dyDescent="0.35">
      <c r="B8491" s="853">
        <v>236315.50578367757</v>
      </c>
    </row>
    <row r="8492" spans="2:2" ht="15.5" x14ac:dyDescent="0.35">
      <c r="B8492" s="853">
        <v>181833.34105304372</v>
      </c>
    </row>
    <row r="8493" spans="2:2" ht="15.5" x14ac:dyDescent="0.35">
      <c r="B8493" s="853">
        <v>251940.02877814058</v>
      </c>
    </row>
    <row r="8494" spans="2:2" ht="15.5" x14ac:dyDescent="0.35">
      <c r="B8494" s="853">
        <v>221009.25969930438</v>
      </c>
    </row>
    <row r="8495" spans="2:2" ht="15.5" x14ac:dyDescent="0.35">
      <c r="B8495" s="853">
        <v>432355.19588600064</v>
      </c>
    </row>
    <row r="8496" spans="2:2" ht="15.5" x14ac:dyDescent="0.35">
      <c r="B8496" s="853">
        <v>148489.0755636582</v>
      </c>
    </row>
    <row r="8497" spans="2:2" ht="15.5" x14ac:dyDescent="0.35">
      <c r="B8497" s="853">
        <v>460063.36082126939</v>
      </c>
    </row>
    <row r="8498" spans="2:2" ht="15.5" x14ac:dyDescent="0.35">
      <c r="B8498" s="853">
        <v>188857.47384450381</v>
      </c>
    </row>
    <row r="8499" spans="2:2" ht="15.5" x14ac:dyDescent="0.35">
      <c r="B8499" s="853">
        <v>369126.42968615046</v>
      </c>
    </row>
    <row r="8500" spans="2:2" ht="15.5" x14ac:dyDescent="0.35">
      <c r="B8500" s="853">
        <v>265464.38727083895</v>
      </c>
    </row>
    <row r="8501" spans="2:2" ht="15.5" x14ac:dyDescent="0.35">
      <c r="B8501" s="853">
        <v>439643.86261933565</v>
      </c>
    </row>
    <row r="8502" spans="2:2" ht="15.5" x14ac:dyDescent="0.35">
      <c r="B8502" s="853">
        <v>355305.91067409277</v>
      </c>
    </row>
    <row r="8503" spans="2:2" ht="15.5" x14ac:dyDescent="0.35">
      <c r="B8503" s="853">
        <v>298750.12838451221</v>
      </c>
    </row>
    <row r="8504" spans="2:2" ht="15.5" x14ac:dyDescent="0.35">
      <c r="B8504" s="853">
        <v>258311.25838391058</v>
      </c>
    </row>
    <row r="8505" spans="2:2" ht="15.5" x14ac:dyDescent="0.35">
      <c r="B8505" s="853">
        <v>434222.08393882355</v>
      </c>
    </row>
    <row r="8506" spans="2:2" ht="15.5" x14ac:dyDescent="0.35">
      <c r="B8506" s="853">
        <v>573650.01241564797</v>
      </c>
    </row>
    <row r="8507" spans="2:2" ht="15.5" x14ac:dyDescent="0.35">
      <c r="B8507" s="853">
        <v>341653.65835192322</v>
      </c>
    </row>
    <row r="8508" spans="2:2" ht="15.5" x14ac:dyDescent="0.35">
      <c r="B8508" s="853">
        <v>157853.95956188481</v>
      </c>
    </row>
    <row r="8509" spans="2:2" ht="15.5" x14ac:dyDescent="0.35">
      <c r="B8509" s="853">
        <v>470907.1479842611</v>
      </c>
    </row>
    <row r="8510" spans="2:2" ht="15.5" x14ac:dyDescent="0.35">
      <c r="B8510" s="853">
        <v>478151.20705486421</v>
      </c>
    </row>
    <row r="8511" spans="2:2" ht="15.5" x14ac:dyDescent="0.35">
      <c r="B8511" s="853">
        <v>358539.11697797658</v>
      </c>
    </row>
    <row r="8512" spans="2:2" ht="15.5" x14ac:dyDescent="0.35">
      <c r="B8512" s="853">
        <v>289541.35134970373</v>
      </c>
    </row>
    <row r="8513" spans="2:2" ht="15.5" x14ac:dyDescent="0.35">
      <c r="B8513" s="853">
        <v>253984.11484466871</v>
      </c>
    </row>
    <row r="8514" spans="2:2" ht="15.5" x14ac:dyDescent="0.35">
      <c r="B8514" s="853">
        <v>393676.12772878783</v>
      </c>
    </row>
    <row r="8515" spans="2:2" ht="15.5" x14ac:dyDescent="0.35">
      <c r="B8515" s="853">
        <v>244180.60297922895</v>
      </c>
    </row>
    <row r="8516" spans="2:2" ht="15.5" x14ac:dyDescent="0.35">
      <c r="B8516" s="853">
        <v>216309.95905150331</v>
      </c>
    </row>
    <row r="8517" spans="2:2" ht="15.5" x14ac:dyDescent="0.35">
      <c r="B8517" s="853">
        <v>361096.31361463899</v>
      </c>
    </row>
    <row r="8518" spans="2:2" ht="15.5" x14ac:dyDescent="0.35">
      <c r="B8518" s="853">
        <v>455173.61808331223</v>
      </c>
    </row>
    <row r="8519" spans="2:2" ht="15.5" x14ac:dyDescent="0.35">
      <c r="B8519" s="853">
        <v>273779.81177419482</v>
      </c>
    </row>
    <row r="8520" spans="2:2" ht="15.5" x14ac:dyDescent="0.35">
      <c r="B8520" s="853">
        <v>540358.01805228891</v>
      </c>
    </row>
    <row r="8521" spans="2:2" ht="15.5" x14ac:dyDescent="0.35">
      <c r="B8521" s="853">
        <v>171676.42179998211</v>
      </c>
    </row>
    <row r="8522" spans="2:2" ht="15.5" x14ac:dyDescent="0.35">
      <c r="B8522" s="853">
        <v>193380.11291197917</v>
      </c>
    </row>
    <row r="8523" spans="2:2" ht="15.5" x14ac:dyDescent="0.35">
      <c r="B8523" s="853">
        <v>285505.60508391017</v>
      </c>
    </row>
    <row r="8524" spans="2:2" ht="15.5" x14ac:dyDescent="0.35">
      <c r="B8524" s="853">
        <v>161846.7697517871</v>
      </c>
    </row>
    <row r="8525" spans="2:2" ht="15.5" x14ac:dyDescent="0.35">
      <c r="B8525" s="853">
        <v>756929.27830384811</v>
      </c>
    </row>
    <row r="8526" spans="2:2" ht="15.5" x14ac:dyDescent="0.35">
      <c r="B8526" s="853">
        <v>109565.96699688103</v>
      </c>
    </row>
    <row r="8527" spans="2:2" ht="15.5" x14ac:dyDescent="0.35">
      <c r="B8527" s="853">
        <v>172267.42743658368</v>
      </c>
    </row>
    <row r="8528" spans="2:2" ht="15.5" x14ac:dyDescent="0.35">
      <c r="B8528" s="853">
        <v>3008.4402382190488</v>
      </c>
    </row>
    <row r="8529" spans="2:2" ht="15.5" x14ac:dyDescent="0.35">
      <c r="B8529" s="853">
        <v>297752.53842271841</v>
      </c>
    </row>
    <row r="8530" spans="2:2" ht="15.5" x14ac:dyDescent="0.35">
      <c r="B8530" s="853">
        <v>331609.39245712338</v>
      </c>
    </row>
    <row r="8531" spans="2:2" ht="15.5" x14ac:dyDescent="0.35">
      <c r="B8531" s="853">
        <v>320775.26146406896</v>
      </c>
    </row>
    <row r="8532" spans="2:2" ht="15.5" x14ac:dyDescent="0.35">
      <c r="B8532" s="853">
        <v>132053.89330633468</v>
      </c>
    </row>
    <row r="8533" spans="2:2" ht="15.5" x14ac:dyDescent="0.35">
      <c r="B8533" s="853">
        <v>479702.47156186792</v>
      </c>
    </row>
    <row r="8534" spans="2:2" ht="15.5" x14ac:dyDescent="0.35">
      <c r="B8534" s="853">
        <v>515894.8259094205</v>
      </c>
    </row>
    <row r="8535" spans="2:2" ht="15.5" x14ac:dyDescent="0.35">
      <c r="B8535" s="853">
        <v>483673.49410900252</v>
      </c>
    </row>
    <row r="8536" spans="2:2" ht="15.5" x14ac:dyDescent="0.35">
      <c r="B8536" s="853">
        <v>126099.44781207416</v>
      </c>
    </row>
    <row r="8537" spans="2:2" ht="15.5" x14ac:dyDescent="0.35">
      <c r="B8537" s="853">
        <v>95409.22022868527</v>
      </c>
    </row>
    <row r="8538" spans="2:2" ht="15.5" x14ac:dyDescent="0.35">
      <c r="B8538" s="853">
        <v>155584.43621295845</v>
      </c>
    </row>
    <row r="8539" spans="2:2" ht="15.5" x14ac:dyDescent="0.35">
      <c r="B8539" s="853">
        <v>702906.55171271134</v>
      </c>
    </row>
    <row r="8540" spans="2:2" ht="15.5" x14ac:dyDescent="0.35">
      <c r="B8540" s="853">
        <v>230928.61572015437</v>
      </c>
    </row>
    <row r="8541" spans="2:2" ht="15.5" x14ac:dyDescent="0.35">
      <c r="B8541" s="853">
        <v>229436.72734600422</v>
      </c>
    </row>
    <row r="8542" spans="2:2" ht="15.5" x14ac:dyDescent="0.35">
      <c r="B8542" s="853">
        <v>536426.3375501876</v>
      </c>
    </row>
    <row r="8543" spans="2:2" ht="15.5" x14ac:dyDescent="0.35">
      <c r="B8543" s="853">
        <v>35408.855547778672</v>
      </c>
    </row>
    <row r="8544" spans="2:2" ht="15.5" x14ac:dyDescent="0.35">
      <c r="B8544" s="853">
        <v>282643.74658061774</v>
      </c>
    </row>
    <row r="8545" spans="2:2" ht="15.5" x14ac:dyDescent="0.35">
      <c r="B8545" s="853">
        <v>236283.61929551291</v>
      </c>
    </row>
    <row r="8546" spans="2:2" ht="15.5" x14ac:dyDescent="0.35">
      <c r="B8546" s="853">
        <v>465445.72247335594</v>
      </c>
    </row>
    <row r="8547" spans="2:2" ht="15.5" x14ac:dyDescent="0.35">
      <c r="B8547" s="853">
        <v>-151889.35489689524</v>
      </c>
    </row>
    <row r="8548" spans="2:2" ht="15.5" x14ac:dyDescent="0.35">
      <c r="B8548" s="853">
        <v>-45533.349987905684</v>
      </c>
    </row>
    <row r="8549" spans="2:2" ht="15.5" x14ac:dyDescent="0.35">
      <c r="B8549" s="853">
        <v>231658.04884185654</v>
      </c>
    </row>
    <row r="8550" spans="2:2" ht="15.5" x14ac:dyDescent="0.35">
      <c r="B8550" s="853">
        <v>456706.58959768969</v>
      </c>
    </row>
    <row r="8551" spans="2:2" ht="15.5" x14ac:dyDescent="0.35">
      <c r="B8551" s="853">
        <v>454765.30207096378</v>
      </c>
    </row>
    <row r="8552" spans="2:2" ht="15.5" x14ac:dyDescent="0.35">
      <c r="B8552" s="853">
        <v>185688.03318923849</v>
      </c>
    </row>
    <row r="8553" spans="2:2" ht="15.5" x14ac:dyDescent="0.35">
      <c r="B8553" s="853">
        <v>105782.61488352461</v>
      </c>
    </row>
    <row r="8554" spans="2:2" ht="15.5" x14ac:dyDescent="0.35">
      <c r="B8554" s="853">
        <v>296207.66439938184</v>
      </c>
    </row>
    <row r="8555" spans="2:2" ht="15.5" x14ac:dyDescent="0.35">
      <c r="B8555" s="853">
        <v>164626.180324107</v>
      </c>
    </row>
    <row r="8556" spans="2:2" ht="15.5" x14ac:dyDescent="0.35">
      <c r="B8556" s="853">
        <v>531350.32137035509</v>
      </c>
    </row>
    <row r="8557" spans="2:2" ht="15.5" x14ac:dyDescent="0.35">
      <c r="B8557" s="853">
        <v>896.53442071100415</v>
      </c>
    </row>
    <row r="8558" spans="2:2" ht="15.5" x14ac:dyDescent="0.35">
      <c r="B8558" s="853">
        <v>41410.114697920748</v>
      </c>
    </row>
    <row r="8559" spans="2:2" ht="15.5" x14ac:dyDescent="0.35">
      <c r="B8559" s="853">
        <v>474187.32220876543</v>
      </c>
    </row>
    <row r="8560" spans="2:2" ht="15.5" x14ac:dyDescent="0.35">
      <c r="B8560" s="853">
        <v>339953.31941393198</v>
      </c>
    </row>
    <row r="8561" spans="2:2" ht="15.5" x14ac:dyDescent="0.35">
      <c r="B8561" s="853">
        <v>557933.16447447916</v>
      </c>
    </row>
    <row r="8562" spans="2:2" ht="15.5" x14ac:dyDescent="0.35">
      <c r="B8562" s="853">
        <v>191267.73896631118</v>
      </c>
    </row>
    <row r="8563" spans="2:2" ht="15.5" x14ac:dyDescent="0.35">
      <c r="B8563" s="853">
        <v>172854.86931815874</v>
      </c>
    </row>
    <row r="8564" spans="2:2" ht="15.5" x14ac:dyDescent="0.35">
      <c r="B8564" s="853">
        <v>262154.00333021214</v>
      </c>
    </row>
    <row r="8565" spans="2:2" ht="15.5" x14ac:dyDescent="0.35">
      <c r="B8565" s="853">
        <v>189560.90206110378</v>
      </c>
    </row>
    <row r="8566" spans="2:2" ht="15.5" x14ac:dyDescent="0.35">
      <c r="B8566" s="853">
        <v>232529.58546059887</v>
      </c>
    </row>
    <row r="8567" spans="2:2" ht="15.5" x14ac:dyDescent="0.35">
      <c r="B8567" s="853">
        <v>311999.93574296421</v>
      </c>
    </row>
    <row r="8568" spans="2:2" ht="15.5" x14ac:dyDescent="0.35">
      <c r="B8568" s="853">
        <v>484116.28510290716</v>
      </c>
    </row>
    <row r="8569" spans="2:2" ht="15.5" x14ac:dyDescent="0.35">
      <c r="B8569" s="853">
        <v>191429.9708407268</v>
      </c>
    </row>
    <row r="8570" spans="2:2" ht="15.5" x14ac:dyDescent="0.35">
      <c r="B8570" s="853">
        <v>67586.723480942936</v>
      </c>
    </row>
    <row r="8571" spans="2:2" ht="15.5" x14ac:dyDescent="0.35">
      <c r="B8571" s="853">
        <v>260481.57996399747</v>
      </c>
    </row>
    <row r="8572" spans="2:2" ht="15.5" x14ac:dyDescent="0.35">
      <c r="B8572" s="853">
        <v>504127.2493870795</v>
      </c>
    </row>
    <row r="8573" spans="2:2" ht="15.5" x14ac:dyDescent="0.35">
      <c r="B8573" s="853">
        <v>453077.07360817248</v>
      </c>
    </row>
    <row r="8574" spans="2:2" ht="15.5" x14ac:dyDescent="0.35">
      <c r="B8574" s="853">
        <v>286769.82014997245</v>
      </c>
    </row>
    <row r="8575" spans="2:2" ht="15.5" x14ac:dyDescent="0.35">
      <c r="B8575" s="853">
        <v>256417.32322276875</v>
      </c>
    </row>
    <row r="8576" spans="2:2" ht="15.5" x14ac:dyDescent="0.35">
      <c r="B8576" s="853">
        <v>203222.95850641964</v>
      </c>
    </row>
    <row r="8577" spans="2:2" ht="15.5" x14ac:dyDescent="0.35">
      <c r="B8577" s="853">
        <v>410815.6442235916</v>
      </c>
    </row>
    <row r="8578" spans="2:2" ht="15.5" x14ac:dyDescent="0.35">
      <c r="B8578" s="853">
        <v>286704.27658219764</v>
      </c>
    </row>
    <row r="8579" spans="2:2" ht="15.5" x14ac:dyDescent="0.35">
      <c r="B8579" s="853">
        <v>353387.21544358548</v>
      </c>
    </row>
    <row r="8580" spans="2:2" ht="15.5" x14ac:dyDescent="0.35">
      <c r="B8580" s="853">
        <v>279791.62470665004</v>
      </c>
    </row>
    <row r="8581" spans="2:2" ht="15.5" x14ac:dyDescent="0.35">
      <c r="B8581" s="853">
        <v>264684.14832535287</v>
      </c>
    </row>
    <row r="8582" spans="2:2" ht="15.5" x14ac:dyDescent="0.35">
      <c r="B8582" s="853">
        <v>185971.75253861712</v>
      </c>
    </row>
    <row r="8583" spans="2:2" ht="15.5" x14ac:dyDescent="0.35">
      <c r="B8583" s="853">
        <v>602633.95445474063</v>
      </c>
    </row>
    <row r="8584" spans="2:2" ht="15.5" x14ac:dyDescent="0.35">
      <c r="B8584" s="853">
        <v>223489.84126341375</v>
      </c>
    </row>
    <row r="8585" spans="2:2" ht="15.5" x14ac:dyDescent="0.35">
      <c r="B8585" s="853">
        <v>387991.64025662665</v>
      </c>
    </row>
    <row r="8586" spans="2:2" ht="15.5" x14ac:dyDescent="0.35">
      <c r="B8586" s="853">
        <v>506805.21798101638</v>
      </c>
    </row>
    <row r="8587" spans="2:2" ht="15.5" x14ac:dyDescent="0.35">
      <c r="B8587" s="853">
        <v>257583.74569440022</v>
      </c>
    </row>
    <row r="8588" spans="2:2" ht="15.5" x14ac:dyDescent="0.35">
      <c r="B8588" s="853">
        <v>328286.32910849934</v>
      </c>
    </row>
    <row r="8589" spans="2:2" ht="15.5" x14ac:dyDescent="0.35">
      <c r="B8589" s="853">
        <v>472766.19155366771</v>
      </c>
    </row>
    <row r="8590" spans="2:2" ht="15.5" x14ac:dyDescent="0.35">
      <c r="B8590" s="853">
        <v>209545.86244356097</v>
      </c>
    </row>
    <row r="8591" spans="2:2" ht="15.5" x14ac:dyDescent="0.35">
      <c r="B8591" s="853">
        <v>112802.70942759428</v>
      </c>
    </row>
    <row r="8592" spans="2:2" ht="15.5" x14ac:dyDescent="0.35">
      <c r="B8592" s="853">
        <v>393582.73036254541</v>
      </c>
    </row>
    <row r="8593" spans="2:2" ht="15.5" x14ac:dyDescent="0.35">
      <c r="B8593" s="853">
        <v>442041.68383416929</v>
      </c>
    </row>
    <row r="8594" spans="2:2" ht="15.5" x14ac:dyDescent="0.35">
      <c r="B8594" s="853">
        <v>484979.36795557122</v>
      </c>
    </row>
    <row r="8595" spans="2:2" ht="15.5" x14ac:dyDescent="0.35">
      <c r="B8595" s="853">
        <v>266807.49938888528</v>
      </c>
    </row>
    <row r="8596" spans="2:2" ht="15.5" x14ac:dyDescent="0.35">
      <c r="B8596" s="853">
        <v>279975.52727740037</v>
      </c>
    </row>
    <row r="8597" spans="2:2" ht="15.5" x14ac:dyDescent="0.35">
      <c r="B8597" s="853">
        <v>123476.0296737537</v>
      </c>
    </row>
    <row r="8598" spans="2:2" ht="15.5" x14ac:dyDescent="0.35">
      <c r="B8598" s="853">
        <v>586088.40755700506</v>
      </c>
    </row>
    <row r="8599" spans="2:2" ht="15.5" x14ac:dyDescent="0.35">
      <c r="B8599" s="853">
        <v>215457.17161966211</v>
      </c>
    </row>
    <row r="8600" spans="2:2" ht="15.5" x14ac:dyDescent="0.35">
      <c r="B8600" s="853">
        <v>248444.7344701424</v>
      </c>
    </row>
    <row r="8601" spans="2:2" ht="15.5" x14ac:dyDescent="0.35">
      <c r="B8601" s="853">
        <v>17267.011653435355</v>
      </c>
    </row>
    <row r="8602" spans="2:2" ht="15.5" x14ac:dyDescent="0.35">
      <c r="B8602" s="853">
        <v>424672.06326970668</v>
      </c>
    </row>
    <row r="8603" spans="2:2" ht="15.5" x14ac:dyDescent="0.35">
      <c r="B8603" s="853">
        <v>204503.8317435947</v>
      </c>
    </row>
    <row r="8604" spans="2:2" ht="15.5" x14ac:dyDescent="0.35">
      <c r="B8604" s="853">
        <v>84227.059982996987</v>
      </c>
    </row>
    <row r="8605" spans="2:2" ht="15.5" x14ac:dyDescent="0.35">
      <c r="B8605" s="853">
        <v>-4532.339920124361</v>
      </c>
    </row>
    <row r="8606" spans="2:2" ht="15.5" x14ac:dyDescent="0.35">
      <c r="B8606" s="853">
        <v>364124.58058539027</v>
      </c>
    </row>
    <row r="8607" spans="2:2" ht="15.5" x14ac:dyDescent="0.35">
      <c r="B8607" s="853">
        <v>187542.7728267338</v>
      </c>
    </row>
    <row r="8608" spans="2:2" ht="15.5" x14ac:dyDescent="0.35">
      <c r="B8608" s="853">
        <v>327376.36499058729</v>
      </c>
    </row>
    <row r="8609" spans="2:2" ht="15.5" x14ac:dyDescent="0.35">
      <c r="B8609" s="853">
        <v>210649.23098075888</v>
      </c>
    </row>
    <row r="8610" spans="2:2" ht="15.5" x14ac:dyDescent="0.35">
      <c r="B8610" s="853">
        <v>305195.07369908091</v>
      </c>
    </row>
    <row r="8611" spans="2:2" ht="15.5" x14ac:dyDescent="0.35">
      <c r="B8611" s="853">
        <v>424822.59733713395</v>
      </c>
    </row>
    <row r="8612" spans="2:2" ht="15.5" x14ac:dyDescent="0.35">
      <c r="B8612" s="853">
        <v>305095.283540537</v>
      </c>
    </row>
    <row r="8613" spans="2:2" ht="15.5" x14ac:dyDescent="0.35">
      <c r="B8613" s="853">
        <v>338617.65850793198</v>
      </c>
    </row>
    <row r="8614" spans="2:2" ht="15.5" x14ac:dyDescent="0.35">
      <c r="B8614" s="853">
        <v>251652.22133202382</v>
      </c>
    </row>
    <row r="8615" spans="2:2" ht="15.5" x14ac:dyDescent="0.35">
      <c r="B8615" s="853">
        <v>167700.55754288277</v>
      </c>
    </row>
    <row r="8616" spans="2:2" ht="15.5" x14ac:dyDescent="0.35">
      <c r="B8616" s="853">
        <v>197367.51301007607</v>
      </c>
    </row>
    <row r="8617" spans="2:2" ht="15.5" x14ac:dyDescent="0.35">
      <c r="B8617" s="853">
        <v>435359.39102273335</v>
      </c>
    </row>
    <row r="8618" spans="2:2" ht="15.5" x14ac:dyDescent="0.35">
      <c r="B8618" s="853">
        <v>308509.83599415934</v>
      </c>
    </row>
    <row r="8619" spans="2:2" ht="15.5" x14ac:dyDescent="0.35">
      <c r="B8619" s="853">
        <v>404355.29797462298</v>
      </c>
    </row>
    <row r="8620" spans="2:2" ht="15.5" x14ac:dyDescent="0.35">
      <c r="B8620" s="853">
        <v>410138.92054622108</v>
      </c>
    </row>
    <row r="8621" spans="2:2" ht="15.5" x14ac:dyDescent="0.35">
      <c r="B8621" s="853">
        <v>271418.463919278</v>
      </c>
    </row>
    <row r="8622" spans="2:2" ht="15.5" x14ac:dyDescent="0.35">
      <c r="B8622" s="853">
        <v>251111.59797285325</v>
      </c>
    </row>
    <row r="8623" spans="2:2" ht="15.5" x14ac:dyDescent="0.35">
      <c r="B8623" s="853">
        <v>551578.26458391792</v>
      </c>
    </row>
    <row r="8624" spans="2:2" ht="15.5" x14ac:dyDescent="0.35">
      <c r="B8624" s="853">
        <v>101052.95745333518</v>
      </c>
    </row>
    <row r="8625" spans="2:2" ht="15.5" x14ac:dyDescent="0.35">
      <c r="B8625" s="853">
        <v>478519.99739093246</v>
      </c>
    </row>
    <row r="8626" spans="2:2" ht="15.5" x14ac:dyDescent="0.35">
      <c r="B8626" s="853">
        <v>561197.29231859103</v>
      </c>
    </row>
    <row r="8627" spans="2:2" ht="15.5" x14ac:dyDescent="0.35">
      <c r="B8627" s="853">
        <v>252678.55614954376</v>
      </c>
    </row>
    <row r="8628" spans="2:2" ht="15.5" x14ac:dyDescent="0.35">
      <c r="B8628" s="853">
        <v>69198.932762607437</v>
      </c>
    </row>
    <row r="8629" spans="2:2" ht="15.5" x14ac:dyDescent="0.35">
      <c r="B8629" s="853">
        <v>341579.34281267482</v>
      </c>
    </row>
    <row r="8630" spans="2:2" ht="15.5" x14ac:dyDescent="0.35">
      <c r="B8630" s="853">
        <v>259902.62753699091</v>
      </c>
    </row>
    <row r="8631" spans="2:2" ht="15.5" x14ac:dyDescent="0.35">
      <c r="B8631" s="853">
        <v>284618.74662564835</v>
      </c>
    </row>
    <row r="8632" spans="2:2" ht="15.5" x14ac:dyDescent="0.35">
      <c r="B8632" s="853">
        <v>79365.08859709125</v>
      </c>
    </row>
    <row r="8633" spans="2:2" ht="15.5" x14ac:dyDescent="0.35">
      <c r="B8633" s="853">
        <v>372761.85974960087</v>
      </c>
    </row>
    <row r="8634" spans="2:2" ht="15.5" x14ac:dyDescent="0.35">
      <c r="B8634" s="853">
        <v>180735.53544925101</v>
      </c>
    </row>
    <row r="8635" spans="2:2" ht="15.5" x14ac:dyDescent="0.35">
      <c r="B8635" s="853">
        <v>150901.81214169355</v>
      </c>
    </row>
    <row r="8636" spans="2:2" ht="15.5" x14ac:dyDescent="0.35">
      <c r="B8636" s="853">
        <v>430538.32590990723</v>
      </c>
    </row>
    <row r="8637" spans="2:2" ht="15.5" x14ac:dyDescent="0.35">
      <c r="B8637" s="853">
        <v>208397.68086314132</v>
      </c>
    </row>
    <row r="8638" spans="2:2" ht="15.5" x14ac:dyDescent="0.35">
      <c r="B8638" s="853">
        <v>301666.61257581401</v>
      </c>
    </row>
    <row r="8639" spans="2:2" ht="15.5" x14ac:dyDescent="0.35">
      <c r="B8639" s="853">
        <v>98043.760206523031</v>
      </c>
    </row>
    <row r="8640" spans="2:2" ht="15.5" x14ac:dyDescent="0.35">
      <c r="B8640" s="853">
        <v>20895.35768341543</v>
      </c>
    </row>
    <row r="8641" spans="2:2" ht="15.5" x14ac:dyDescent="0.35">
      <c r="B8641" s="853">
        <v>413769.10512906098</v>
      </c>
    </row>
    <row r="8642" spans="2:2" ht="15.5" x14ac:dyDescent="0.35">
      <c r="B8642" s="853">
        <v>581589.83171534806</v>
      </c>
    </row>
    <row r="8643" spans="2:2" ht="15.5" x14ac:dyDescent="0.35">
      <c r="B8643" s="853">
        <v>599918.57062680274</v>
      </c>
    </row>
    <row r="8644" spans="2:2" ht="15.5" x14ac:dyDescent="0.35">
      <c r="B8644" s="853">
        <v>136716.91034506931</v>
      </c>
    </row>
    <row r="8645" spans="2:2" ht="15.5" x14ac:dyDescent="0.35">
      <c r="B8645" s="853">
        <v>395988.14982687228</v>
      </c>
    </row>
    <row r="8646" spans="2:2" ht="15.5" x14ac:dyDescent="0.35">
      <c r="B8646" s="853">
        <v>97697.425217893833</v>
      </c>
    </row>
    <row r="8647" spans="2:2" ht="15.5" x14ac:dyDescent="0.35">
      <c r="B8647" s="853">
        <v>515821.89298925601</v>
      </c>
    </row>
    <row r="8648" spans="2:2" ht="15.5" x14ac:dyDescent="0.35">
      <c r="B8648" s="853">
        <v>592989.00361648377</v>
      </c>
    </row>
    <row r="8649" spans="2:2" ht="15.5" x14ac:dyDescent="0.35">
      <c r="B8649" s="853">
        <v>188840.64755845125</v>
      </c>
    </row>
    <row r="8650" spans="2:2" ht="15.5" x14ac:dyDescent="0.35">
      <c r="B8650" s="853">
        <v>407249.88814362709</v>
      </c>
    </row>
    <row r="8651" spans="2:2" ht="15.5" x14ac:dyDescent="0.35">
      <c r="B8651" s="853">
        <v>490970.70473699796</v>
      </c>
    </row>
    <row r="8652" spans="2:2" ht="15.5" x14ac:dyDescent="0.35">
      <c r="B8652" s="853">
        <v>188514.20759882597</v>
      </c>
    </row>
    <row r="8653" spans="2:2" ht="15.5" x14ac:dyDescent="0.35">
      <c r="B8653" s="853">
        <v>290126.31636977504</v>
      </c>
    </row>
    <row r="8654" spans="2:2" ht="15.5" x14ac:dyDescent="0.35">
      <c r="B8654" s="853">
        <v>458360.70214022702</v>
      </c>
    </row>
    <row r="8655" spans="2:2" ht="15.5" x14ac:dyDescent="0.35">
      <c r="B8655" s="853">
        <v>144146.13927622116</v>
      </c>
    </row>
    <row r="8656" spans="2:2" ht="15.5" x14ac:dyDescent="0.35">
      <c r="B8656" s="853">
        <v>513708.16452806024</v>
      </c>
    </row>
    <row r="8657" spans="2:2" ht="15.5" x14ac:dyDescent="0.35">
      <c r="B8657" s="853">
        <v>230419.38291391218</v>
      </c>
    </row>
    <row r="8658" spans="2:2" ht="15.5" x14ac:dyDescent="0.35">
      <c r="B8658" s="853">
        <v>2247.1470236920622</v>
      </c>
    </row>
    <row r="8659" spans="2:2" ht="15.5" x14ac:dyDescent="0.35">
      <c r="B8659" s="853">
        <v>435870.15737219248</v>
      </c>
    </row>
    <row r="8660" spans="2:2" ht="15.5" x14ac:dyDescent="0.35">
      <c r="B8660" s="853">
        <v>318251.67986669648</v>
      </c>
    </row>
    <row r="8661" spans="2:2" ht="15.5" x14ac:dyDescent="0.35">
      <c r="B8661" s="853">
        <v>415641.10626307008</v>
      </c>
    </row>
    <row r="8662" spans="2:2" ht="15.5" x14ac:dyDescent="0.35">
      <c r="B8662" s="853">
        <v>365948.94918558537</v>
      </c>
    </row>
    <row r="8663" spans="2:2" ht="15.5" x14ac:dyDescent="0.35">
      <c r="B8663" s="853">
        <v>245607.31146997595</v>
      </c>
    </row>
    <row r="8664" spans="2:2" ht="15.5" x14ac:dyDescent="0.35">
      <c r="B8664" s="853">
        <v>639343.10037446418</v>
      </c>
    </row>
    <row r="8665" spans="2:2" ht="15.5" x14ac:dyDescent="0.35">
      <c r="B8665" s="853">
        <v>705904.27601199585</v>
      </c>
    </row>
    <row r="8666" spans="2:2" ht="15.5" x14ac:dyDescent="0.35">
      <c r="B8666" s="853">
        <v>292516.02370778576</v>
      </c>
    </row>
    <row r="8667" spans="2:2" ht="15.5" x14ac:dyDescent="0.35">
      <c r="B8667" s="853">
        <v>427308.51852366427</v>
      </c>
    </row>
    <row r="8668" spans="2:2" ht="15.5" x14ac:dyDescent="0.35">
      <c r="B8668" s="853">
        <v>188940.84990866866</v>
      </c>
    </row>
    <row r="8669" spans="2:2" ht="15.5" x14ac:dyDescent="0.35">
      <c r="B8669" s="853">
        <v>138473.44800835921</v>
      </c>
    </row>
    <row r="8670" spans="2:2" ht="15.5" x14ac:dyDescent="0.35">
      <c r="B8670" s="853">
        <v>303742.38018283475</v>
      </c>
    </row>
    <row r="8671" spans="2:2" ht="15.5" x14ac:dyDescent="0.35">
      <c r="B8671" s="853">
        <v>412110.1091782127</v>
      </c>
    </row>
    <row r="8672" spans="2:2" ht="15.5" x14ac:dyDescent="0.35">
      <c r="B8672" s="853">
        <v>111291.77056394218</v>
      </c>
    </row>
    <row r="8673" spans="2:2" ht="15.5" x14ac:dyDescent="0.35">
      <c r="B8673" s="853">
        <v>302886.1874097283</v>
      </c>
    </row>
    <row r="8674" spans="2:2" ht="15.5" x14ac:dyDescent="0.35">
      <c r="B8674" s="853">
        <v>216865.46551832845</v>
      </c>
    </row>
    <row r="8675" spans="2:2" ht="15.5" x14ac:dyDescent="0.35">
      <c r="B8675" s="853">
        <v>199562.33981117766</v>
      </c>
    </row>
    <row r="8676" spans="2:2" ht="15.5" x14ac:dyDescent="0.35">
      <c r="B8676" s="853">
        <v>613839.52007080789</v>
      </c>
    </row>
    <row r="8677" spans="2:2" ht="15.5" x14ac:dyDescent="0.35">
      <c r="B8677" s="853">
        <v>228068.30867734339</v>
      </c>
    </row>
    <row r="8678" spans="2:2" ht="15.5" x14ac:dyDescent="0.35">
      <c r="B8678" s="853">
        <v>256188.02235206621</v>
      </c>
    </row>
    <row r="8679" spans="2:2" ht="15.5" x14ac:dyDescent="0.35">
      <c r="B8679" s="853">
        <v>204142.81146493345</v>
      </c>
    </row>
    <row r="8680" spans="2:2" ht="15.5" x14ac:dyDescent="0.35">
      <c r="B8680" s="853">
        <v>272937.30244852905</v>
      </c>
    </row>
    <row r="8681" spans="2:2" ht="15.5" x14ac:dyDescent="0.35">
      <c r="B8681" s="853">
        <v>377315.6600357889</v>
      </c>
    </row>
    <row r="8682" spans="2:2" ht="15.5" x14ac:dyDescent="0.35">
      <c r="B8682" s="853">
        <v>403671.28761697147</v>
      </c>
    </row>
    <row r="8683" spans="2:2" ht="15.5" x14ac:dyDescent="0.35">
      <c r="B8683" s="853">
        <v>67991.993380131258</v>
      </c>
    </row>
    <row r="8684" spans="2:2" ht="15.5" x14ac:dyDescent="0.35">
      <c r="B8684" s="853">
        <v>308888.48740140221</v>
      </c>
    </row>
    <row r="8685" spans="2:2" ht="15.5" x14ac:dyDescent="0.35">
      <c r="B8685" s="853">
        <v>311918.25706459413</v>
      </c>
    </row>
    <row r="8686" spans="2:2" ht="15.5" x14ac:dyDescent="0.35">
      <c r="B8686" s="853">
        <v>252520.31813264682</v>
      </c>
    </row>
    <row r="8687" spans="2:2" ht="15.5" x14ac:dyDescent="0.35">
      <c r="B8687" s="853">
        <v>192784.7200408669</v>
      </c>
    </row>
    <row r="8688" spans="2:2" ht="15.5" x14ac:dyDescent="0.35">
      <c r="B8688" s="853">
        <v>529896.7201188074</v>
      </c>
    </row>
    <row r="8689" spans="2:2" ht="15.5" x14ac:dyDescent="0.35">
      <c r="B8689" s="853">
        <v>501795.4284249699</v>
      </c>
    </row>
    <row r="8690" spans="2:2" ht="15.5" x14ac:dyDescent="0.35">
      <c r="B8690" s="853">
        <v>477860.11704820371</v>
      </c>
    </row>
    <row r="8691" spans="2:2" ht="15.5" x14ac:dyDescent="0.35">
      <c r="B8691" s="853">
        <v>479878.39459649276</v>
      </c>
    </row>
    <row r="8692" spans="2:2" ht="15.5" x14ac:dyDescent="0.35">
      <c r="B8692" s="853">
        <v>104705.3767224975</v>
      </c>
    </row>
    <row r="8693" spans="2:2" ht="15.5" x14ac:dyDescent="0.35">
      <c r="B8693" s="853">
        <v>377734.5707226384</v>
      </c>
    </row>
    <row r="8694" spans="2:2" ht="15.5" x14ac:dyDescent="0.35">
      <c r="B8694" s="853">
        <v>467499.40324155468</v>
      </c>
    </row>
    <row r="8695" spans="2:2" ht="15.5" x14ac:dyDescent="0.35">
      <c r="B8695" s="853">
        <v>304247.53390690766</v>
      </c>
    </row>
    <row r="8696" spans="2:2" ht="15.5" x14ac:dyDescent="0.35">
      <c r="B8696" s="853">
        <v>266344.8995452043</v>
      </c>
    </row>
    <row r="8697" spans="2:2" ht="15.5" x14ac:dyDescent="0.35">
      <c r="B8697" s="853">
        <v>252239.79940976086</v>
      </c>
    </row>
    <row r="8698" spans="2:2" ht="15.5" x14ac:dyDescent="0.35">
      <c r="B8698" s="853">
        <v>377245.16325574421</v>
      </c>
    </row>
    <row r="8699" spans="2:2" ht="15.5" x14ac:dyDescent="0.35">
      <c r="B8699" s="853">
        <v>273197.62761667918</v>
      </c>
    </row>
    <row r="8700" spans="2:2" ht="15.5" x14ac:dyDescent="0.35">
      <c r="B8700" s="853">
        <v>67455.310422322902</v>
      </c>
    </row>
    <row r="8701" spans="2:2" ht="15.5" x14ac:dyDescent="0.35">
      <c r="B8701" s="853">
        <v>349288.56764010026</v>
      </c>
    </row>
    <row r="8702" spans="2:2" ht="15.5" x14ac:dyDescent="0.35">
      <c r="B8702" s="853">
        <v>320995.03489291831</v>
      </c>
    </row>
    <row r="8703" spans="2:2" ht="15.5" x14ac:dyDescent="0.35">
      <c r="B8703" s="853">
        <v>534515.99369187688</v>
      </c>
    </row>
    <row r="8704" spans="2:2" ht="15.5" x14ac:dyDescent="0.35">
      <c r="B8704" s="853">
        <v>83638.765392243949</v>
      </c>
    </row>
    <row r="8705" spans="2:2" ht="15.5" x14ac:dyDescent="0.35">
      <c r="B8705" s="853">
        <v>308020.19152100914</v>
      </c>
    </row>
    <row r="8706" spans="2:2" ht="15.5" x14ac:dyDescent="0.35">
      <c r="B8706" s="853">
        <v>473753.04232212808</v>
      </c>
    </row>
    <row r="8707" spans="2:2" ht="15.5" x14ac:dyDescent="0.35">
      <c r="B8707" s="853">
        <v>262836.65035774652</v>
      </c>
    </row>
    <row r="8708" spans="2:2" ht="15.5" x14ac:dyDescent="0.35">
      <c r="B8708" s="853">
        <v>350778.18982626294</v>
      </c>
    </row>
    <row r="8709" spans="2:2" ht="15.5" x14ac:dyDescent="0.35">
      <c r="B8709" s="853">
        <v>365893.34803500079</v>
      </c>
    </row>
    <row r="8710" spans="2:2" ht="15.5" x14ac:dyDescent="0.35">
      <c r="B8710" s="853">
        <v>338469.1229719512</v>
      </c>
    </row>
    <row r="8711" spans="2:2" ht="15.5" x14ac:dyDescent="0.35">
      <c r="B8711" s="853">
        <v>444539.81509408471</v>
      </c>
    </row>
    <row r="8712" spans="2:2" ht="15.5" x14ac:dyDescent="0.35">
      <c r="B8712" s="853">
        <v>267549.05301513372</v>
      </c>
    </row>
    <row r="8713" spans="2:2" ht="15.5" x14ac:dyDescent="0.35">
      <c r="B8713" s="853">
        <v>35374.912768782553</v>
      </c>
    </row>
    <row r="8714" spans="2:2" ht="15.5" x14ac:dyDescent="0.35">
      <c r="B8714" s="853">
        <v>587265.20351557189</v>
      </c>
    </row>
    <row r="8715" spans="2:2" ht="15.5" x14ac:dyDescent="0.35">
      <c r="B8715" s="853">
        <v>384047.25251103553</v>
      </c>
    </row>
    <row r="8716" spans="2:2" ht="15.5" x14ac:dyDescent="0.35">
      <c r="B8716" s="853">
        <v>168155.27283844867</v>
      </c>
    </row>
    <row r="8717" spans="2:2" ht="15.5" x14ac:dyDescent="0.35">
      <c r="B8717" s="853">
        <v>208027.92056726504</v>
      </c>
    </row>
    <row r="8718" spans="2:2" ht="15.5" x14ac:dyDescent="0.35">
      <c r="B8718" s="853">
        <v>462627.37599009427</v>
      </c>
    </row>
    <row r="8719" spans="2:2" ht="15.5" x14ac:dyDescent="0.35">
      <c r="B8719" s="853">
        <v>279773.82459920569</v>
      </c>
    </row>
    <row r="8720" spans="2:2" ht="15.5" x14ac:dyDescent="0.35">
      <c r="B8720" s="853">
        <v>382478.63275697234</v>
      </c>
    </row>
    <row r="8721" spans="2:2" ht="15.5" x14ac:dyDescent="0.35">
      <c r="B8721" s="853">
        <v>371634.2755896356</v>
      </c>
    </row>
    <row r="8722" spans="2:2" ht="15.5" x14ac:dyDescent="0.35">
      <c r="B8722" s="853">
        <v>208912.0712665029</v>
      </c>
    </row>
    <row r="8723" spans="2:2" ht="15.5" x14ac:dyDescent="0.35">
      <c r="B8723" s="853">
        <v>362196.9582967881</v>
      </c>
    </row>
    <row r="8724" spans="2:2" ht="15.5" x14ac:dyDescent="0.35">
      <c r="B8724" s="853">
        <v>338342.17432977853</v>
      </c>
    </row>
    <row r="8725" spans="2:2" ht="15.5" x14ac:dyDescent="0.35">
      <c r="B8725" s="853">
        <v>284373.7546260127</v>
      </c>
    </row>
    <row r="8726" spans="2:2" ht="15.5" x14ac:dyDescent="0.35">
      <c r="B8726" s="853">
        <v>115427.77714530587</v>
      </c>
    </row>
    <row r="8727" spans="2:2" ht="15.5" x14ac:dyDescent="0.35">
      <c r="B8727" s="853">
        <v>282839.95070520288</v>
      </c>
    </row>
    <row r="8728" spans="2:2" ht="15.5" x14ac:dyDescent="0.35">
      <c r="B8728" s="853">
        <v>364379.66117645701</v>
      </c>
    </row>
    <row r="8729" spans="2:2" ht="15.5" x14ac:dyDescent="0.35">
      <c r="B8729" s="853">
        <v>258388.2483941582</v>
      </c>
    </row>
    <row r="8730" spans="2:2" ht="15.5" x14ac:dyDescent="0.35">
      <c r="B8730" s="853">
        <v>303180.07574095728</v>
      </c>
    </row>
    <row r="8731" spans="2:2" ht="15.5" x14ac:dyDescent="0.35">
      <c r="B8731" s="853">
        <v>369590.6395736261</v>
      </c>
    </row>
    <row r="8732" spans="2:2" ht="15.5" x14ac:dyDescent="0.35">
      <c r="B8732" s="853">
        <v>171898.25047684525</v>
      </c>
    </row>
    <row r="8733" spans="2:2" ht="15.5" x14ac:dyDescent="0.35">
      <c r="B8733" s="853">
        <v>305048.05792715785</v>
      </c>
    </row>
    <row r="8734" spans="2:2" ht="15.5" x14ac:dyDescent="0.35">
      <c r="B8734" s="853">
        <v>329636.06557207525</v>
      </c>
    </row>
    <row r="8735" spans="2:2" ht="15.5" x14ac:dyDescent="0.35">
      <c r="B8735" s="853">
        <v>349345.16295156209</v>
      </c>
    </row>
    <row r="8736" spans="2:2" ht="15.5" x14ac:dyDescent="0.35">
      <c r="B8736" s="853">
        <v>374107.57146458334</v>
      </c>
    </row>
    <row r="8737" spans="2:2" ht="15.5" x14ac:dyDescent="0.35">
      <c r="B8737" s="853">
        <v>128527.45999313406</v>
      </c>
    </row>
    <row r="8738" spans="2:2" ht="15.5" x14ac:dyDescent="0.35">
      <c r="B8738" s="853">
        <v>480172.44336719584</v>
      </c>
    </row>
    <row r="8739" spans="2:2" ht="15.5" x14ac:dyDescent="0.35">
      <c r="B8739" s="853">
        <v>296423.02693953086</v>
      </c>
    </row>
    <row r="8740" spans="2:2" ht="15.5" x14ac:dyDescent="0.35">
      <c r="B8740" s="853">
        <v>384494.51468198869</v>
      </c>
    </row>
    <row r="8741" spans="2:2" ht="15.5" x14ac:dyDescent="0.35">
      <c r="B8741" s="853">
        <v>431679.03683459095</v>
      </c>
    </row>
    <row r="8742" spans="2:2" ht="15.5" x14ac:dyDescent="0.35">
      <c r="B8742" s="853">
        <v>343862.29522948404</v>
      </c>
    </row>
    <row r="8743" spans="2:2" ht="15.5" x14ac:dyDescent="0.35">
      <c r="B8743" s="853">
        <v>591129.85908377648</v>
      </c>
    </row>
    <row r="8744" spans="2:2" ht="15.5" x14ac:dyDescent="0.35">
      <c r="B8744" s="853">
        <v>351589.59283190058</v>
      </c>
    </row>
    <row r="8745" spans="2:2" ht="15.5" x14ac:dyDescent="0.35">
      <c r="B8745" s="853">
        <v>480324.61212254025</v>
      </c>
    </row>
    <row r="8746" spans="2:2" ht="15.5" x14ac:dyDescent="0.35">
      <c r="B8746" s="853">
        <v>222838.56355112797</v>
      </c>
    </row>
    <row r="8747" spans="2:2" ht="15.5" x14ac:dyDescent="0.35">
      <c r="B8747" s="853">
        <v>315061.69873745542</v>
      </c>
    </row>
    <row r="8748" spans="2:2" ht="15.5" x14ac:dyDescent="0.35">
      <c r="B8748" s="853">
        <v>274992.99232765409</v>
      </c>
    </row>
    <row r="8749" spans="2:2" ht="15.5" x14ac:dyDescent="0.35">
      <c r="B8749" s="853">
        <v>179544.95941084455</v>
      </c>
    </row>
    <row r="8750" spans="2:2" ht="15.5" x14ac:dyDescent="0.35">
      <c r="B8750" s="853">
        <v>-68374.640264512083</v>
      </c>
    </row>
    <row r="8751" spans="2:2" ht="15.5" x14ac:dyDescent="0.35">
      <c r="B8751" s="853">
        <v>370532.89547886996</v>
      </c>
    </row>
    <row r="8752" spans="2:2" ht="15.5" x14ac:dyDescent="0.35">
      <c r="B8752" s="853">
        <v>337913.28607254801</v>
      </c>
    </row>
    <row r="8753" spans="2:2" ht="15.5" x14ac:dyDescent="0.35">
      <c r="B8753" s="853">
        <v>132346.76105830012</v>
      </c>
    </row>
    <row r="8754" spans="2:2" ht="15.5" x14ac:dyDescent="0.35">
      <c r="B8754" s="853">
        <v>222922.95122797127</v>
      </c>
    </row>
    <row r="8755" spans="2:2" ht="15.5" x14ac:dyDescent="0.35">
      <c r="B8755" s="853">
        <v>287438.76844362094</v>
      </c>
    </row>
    <row r="8756" spans="2:2" ht="15.5" x14ac:dyDescent="0.35">
      <c r="B8756" s="853">
        <v>28811.011431481274</v>
      </c>
    </row>
    <row r="8757" spans="2:2" ht="15.5" x14ac:dyDescent="0.35">
      <c r="B8757" s="853">
        <v>312860.20418616186</v>
      </c>
    </row>
    <row r="8758" spans="2:2" ht="15.5" x14ac:dyDescent="0.35">
      <c r="B8758" s="853">
        <v>292706.93715545279</v>
      </c>
    </row>
    <row r="8759" spans="2:2" ht="15.5" x14ac:dyDescent="0.35">
      <c r="B8759" s="853">
        <v>356409.328312848</v>
      </c>
    </row>
    <row r="8760" spans="2:2" ht="15.5" x14ac:dyDescent="0.35">
      <c r="B8760" s="853">
        <v>348222.95295915316</v>
      </c>
    </row>
    <row r="8761" spans="2:2" ht="15.5" x14ac:dyDescent="0.35">
      <c r="B8761" s="853">
        <v>72481.433510827366</v>
      </c>
    </row>
    <row r="8762" spans="2:2" ht="15.5" x14ac:dyDescent="0.35">
      <c r="B8762" s="853">
        <v>216383.90214467139</v>
      </c>
    </row>
    <row r="8763" spans="2:2" ht="15.5" x14ac:dyDescent="0.35">
      <c r="B8763" s="853">
        <v>551044.30393388018</v>
      </c>
    </row>
    <row r="8764" spans="2:2" ht="15.5" x14ac:dyDescent="0.35">
      <c r="B8764" s="853">
        <v>622505.27936898707</v>
      </c>
    </row>
    <row r="8765" spans="2:2" ht="15.5" x14ac:dyDescent="0.35">
      <c r="B8765" s="853">
        <v>406704.84544151428</v>
      </c>
    </row>
    <row r="8766" spans="2:2" ht="15.5" x14ac:dyDescent="0.35">
      <c r="B8766" s="853">
        <v>158581.89867176313</v>
      </c>
    </row>
    <row r="8767" spans="2:2" ht="15.5" x14ac:dyDescent="0.35">
      <c r="B8767" s="853">
        <v>341490.66041543835</v>
      </c>
    </row>
    <row r="8768" spans="2:2" ht="15.5" x14ac:dyDescent="0.35">
      <c r="B8768" s="853">
        <v>195112.78729594598</v>
      </c>
    </row>
    <row r="8769" spans="2:2" ht="15.5" x14ac:dyDescent="0.35">
      <c r="B8769" s="853">
        <v>57193.452707956887</v>
      </c>
    </row>
    <row r="8770" spans="2:2" ht="15.5" x14ac:dyDescent="0.35">
      <c r="B8770" s="853">
        <v>198167.46463864134</v>
      </c>
    </row>
    <row r="8771" spans="2:2" ht="15.5" x14ac:dyDescent="0.35">
      <c r="B8771" s="853">
        <v>413366.85135638033</v>
      </c>
    </row>
    <row r="8772" spans="2:2" ht="15.5" x14ac:dyDescent="0.35">
      <c r="B8772" s="853">
        <v>126888.28692318327</v>
      </c>
    </row>
    <row r="8773" spans="2:2" ht="15.5" x14ac:dyDescent="0.35">
      <c r="B8773" s="853">
        <v>342098.28981313523</v>
      </c>
    </row>
    <row r="8774" spans="2:2" ht="15.5" x14ac:dyDescent="0.35">
      <c r="B8774" s="853">
        <v>316966.02069604833</v>
      </c>
    </row>
    <row r="8775" spans="2:2" ht="15.5" x14ac:dyDescent="0.35">
      <c r="B8775" s="853">
        <v>453637.98489759339</v>
      </c>
    </row>
    <row r="8776" spans="2:2" ht="15.5" x14ac:dyDescent="0.35">
      <c r="B8776" s="853">
        <v>384734.25257557008</v>
      </c>
    </row>
    <row r="8777" spans="2:2" ht="15.5" x14ac:dyDescent="0.35">
      <c r="B8777" s="853">
        <v>393505.796945195</v>
      </c>
    </row>
    <row r="8778" spans="2:2" ht="15.5" x14ac:dyDescent="0.35">
      <c r="B8778" s="853">
        <v>225654.25244959124</v>
      </c>
    </row>
    <row r="8779" spans="2:2" ht="15.5" x14ac:dyDescent="0.35">
      <c r="B8779" s="853">
        <v>516677.56916182232</v>
      </c>
    </row>
    <row r="8780" spans="2:2" ht="15.5" x14ac:dyDescent="0.35">
      <c r="B8780" s="853">
        <v>326633.11997185752</v>
      </c>
    </row>
    <row r="8781" spans="2:2" ht="15.5" x14ac:dyDescent="0.35">
      <c r="B8781" s="853">
        <v>375437.6991106855</v>
      </c>
    </row>
    <row r="8782" spans="2:2" ht="15.5" x14ac:dyDescent="0.35">
      <c r="B8782" s="853">
        <v>70363.365854887408</v>
      </c>
    </row>
    <row r="8783" spans="2:2" ht="15.5" x14ac:dyDescent="0.35">
      <c r="B8783" s="853">
        <v>338226.58666563913</v>
      </c>
    </row>
    <row r="8784" spans="2:2" ht="15.5" x14ac:dyDescent="0.35">
      <c r="B8784" s="853">
        <v>176500.0755537267</v>
      </c>
    </row>
    <row r="8785" spans="2:2" ht="15.5" x14ac:dyDescent="0.35">
      <c r="B8785" s="853">
        <v>630548.61696395918</v>
      </c>
    </row>
    <row r="8786" spans="2:2" ht="15.5" x14ac:dyDescent="0.35">
      <c r="B8786" s="853">
        <v>520296.52997382643</v>
      </c>
    </row>
    <row r="8787" spans="2:2" ht="15.5" x14ac:dyDescent="0.35">
      <c r="B8787" s="853">
        <v>263197.8042731068</v>
      </c>
    </row>
    <row r="8788" spans="2:2" ht="15.5" x14ac:dyDescent="0.35">
      <c r="B8788" s="853">
        <v>297566.94605486019</v>
      </c>
    </row>
    <row r="8789" spans="2:2" ht="15.5" x14ac:dyDescent="0.35">
      <c r="B8789" s="853">
        <v>267144.50712848891</v>
      </c>
    </row>
    <row r="8790" spans="2:2" ht="15.5" x14ac:dyDescent="0.35">
      <c r="B8790" s="853">
        <v>408278.66926130548</v>
      </c>
    </row>
    <row r="8791" spans="2:2" ht="15.5" x14ac:dyDescent="0.35">
      <c r="B8791" s="853">
        <v>218779.11351298809</v>
      </c>
    </row>
    <row r="8792" spans="2:2" ht="15.5" x14ac:dyDescent="0.35">
      <c r="B8792" s="853">
        <v>602061.44345048396</v>
      </c>
    </row>
    <row r="8793" spans="2:2" ht="15.5" x14ac:dyDescent="0.35">
      <c r="B8793" s="853">
        <v>338411.62892770034</v>
      </c>
    </row>
    <row r="8794" spans="2:2" ht="15.5" x14ac:dyDescent="0.35">
      <c r="B8794" s="853">
        <v>464705.68166965793</v>
      </c>
    </row>
    <row r="8795" spans="2:2" ht="15.5" x14ac:dyDescent="0.35">
      <c r="B8795" s="853">
        <v>475342.3666095332</v>
      </c>
    </row>
    <row r="8796" spans="2:2" ht="15.5" x14ac:dyDescent="0.35">
      <c r="B8796" s="853">
        <v>495206.81424763246</v>
      </c>
    </row>
    <row r="8797" spans="2:2" ht="15.5" x14ac:dyDescent="0.35">
      <c r="B8797" s="853">
        <v>224503.96145727011</v>
      </c>
    </row>
    <row r="8798" spans="2:2" ht="15.5" x14ac:dyDescent="0.35">
      <c r="B8798" s="853">
        <v>160568.35327925923</v>
      </c>
    </row>
    <row r="8799" spans="2:2" ht="15.5" x14ac:dyDescent="0.35">
      <c r="B8799" s="853">
        <v>287805.30923527706</v>
      </c>
    </row>
    <row r="8800" spans="2:2" ht="15.5" x14ac:dyDescent="0.35">
      <c r="B8800" s="853">
        <v>294686.79970094154</v>
      </c>
    </row>
    <row r="8801" spans="2:2" ht="15.5" x14ac:dyDescent="0.35">
      <c r="B8801" s="853">
        <v>325270.15254429617</v>
      </c>
    </row>
    <row r="8802" spans="2:2" ht="15.5" x14ac:dyDescent="0.35">
      <c r="B8802" s="853">
        <v>221109.42213068352</v>
      </c>
    </row>
    <row r="8803" spans="2:2" ht="15.5" x14ac:dyDescent="0.35">
      <c r="B8803" s="853">
        <v>747283.23813012126</v>
      </c>
    </row>
    <row r="8804" spans="2:2" ht="15.5" x14ac:dyDescent="0.35">
      <c r="B8804" s="853">
        <v>600643.38264465169</v>
      </c>
    </row>
    <row r="8805" spans="2:2" ht="15.5" x14ac:dyDescent="0.35">
      <c r="B8805" s="853">
        <v>156870.22508904769</v>
      </c>
    </row>
    <row r="8806" spans="2:2" ht="15.5" x14ac:dyDescent="0.35">
      <c r="B8806" s="853">
        <v>383748.52689138526</v>
      </c>
    </row>
    <row r="8807" spans="2:2" ht="15.5" x14ac:dyDescent="0.35">
      <c r="B8807" s="853">
        <v>270528.45370652474</v>
      </c>
    </row>
    <row r="8808" spans="2:2" ht="15.5" x14ac:dyDescent="0.35">
      <c r="B8808" s="853">
        <v>481018.23281601205</v>
      </c>
    </row>
    <row r="8809" spans="2:2" ht="15.5" x14ac:dyDescent="0.35">
      <c r="B8809" s="853">
        <v>238736.81646873234</v>
      </c>
    </row>
    <row r="8810" spans="2:2" ht="15.5" x14ac:dyDescent="0.35">
      <c r="B8810" s="853">
        <v>342789.33919956698</v>
      </c>
    </row>
    <row r="8811" spans="2:2" ht="15.5" x14ac:dyDescent="0.35">
      <c r="B8811" s="853">
        <v>36421.918555342083</v>
      </c>
    </row>
    <row r="8812" spans="2:2" ht="15.5" x14ac:dyDescent="0.35">
      <c r="B8812" s="853">
        <v>156494.81608271593</v>
      </c>
    </row>
    <row r="8813" spans="2:2" ht="15.5" x14ac:dyDescent="0.35">
      <c r="B8813" s="853">
        <v>560505.42516936641</v>
      </c>
    </row>
    <row r="8814" spans="2:2" ht="15.5" x14ac:dyDescent="0.35">
      <c r="B8814" s="853">
        <v>373044.40283101739</v>
      </c>
    </row>
    <row r="8815" spans="2:2" ht="15.5" x14ac:dyDescent="0.35">
      <c r="B8815" s="853">
        <v>301558.09234576428</v>
      </c>
    </row>
    <row r="8816" spans="2:2" ht="15.5" x14ac:dyDescent="0.35">
      <c r="B8816" s="853">
        <v>220229.02682531229</v>
      </c>
    </row>
    <row r="8817" spans="2:2" ht="15.5" x14ac:dyDescent="0.35">
      <c r="B8817" s="853">
        <v>423194.10485035711</v>
      </c>
    </row>
    <row r="8818" spans="2:2" ht="15.5" x14ac:dyDescent="0.35">
      <c r="B8818" s="853">
        <v>234450.98556891739</v>
      </c>
    </row>
    <row r="8819" spans="2:2" ht="15.5" x14ac:dyDescent="0.35">
      <c r="B8819" s="853">
        <v>347401.9561055628</v>
      </c>
    </row>
    <row r="8820" spans="2:2" ht="15.5" x14ac:dyDescent="0.35">
      <c r="B8820" s="853">
        <v>216099.14847973708</v>
      </c>
    </row>
    <row r="8821" spans="2:2" ht="15.5" x14ac:dyDescent="0.35">
      <c r="B8821" s="853">
        <v>262301.70080150355</v>
      </c>
    </row>
    <row r="8822" spans="2:2" ht="15.5" x14ac:dyDescent="0.35">
      <c r="B8822" s="853">
        <v>269675.48849690473</v>
      </c>
    </row>
    <row r="8823" spans="2:2" ht="15.5" x14ac:dyDescent="0.35">
      <c r="B8823" s="853">
        <v>405624.3218460296</v>
      </c>
    </row>
    <row r="8824" spans="2:2" ht="15.5" x14ac:dyDescent="0.35">
      <c r="B8824" s="853">
        <v>212324.83098281885</v>
      </c>
    </row>
    <row r="8825" spans="2:2" ht="15.5" x14ac:dyDescent="0.35">
      <c r="B8825" s="853">
        <v>688503.36194137041</v>
      </c>
    </row>
    <row r="8826" spans="2:2" ht="15.5" x14ac:dyDescent="0.35">
      <c r="B8826" s="853">
        <v>276164.38327759749</v>
      </c>
    </row>
    <row r="8827" spans="2:2" ht="15.5" x14ac:dyDescent="0.35">
      <c r="B8827" s="853">
        <v>290920.77418140147</v>
      </c>
    </row>
    <row r="8828" spans="2:2" ht="15.5" x14ac:dyDescent="0.35">
      <c r="B8828" s="853">
        <v>354798.07629609091</v>
      </c>
    </row>
    <row r="8829" spans="2:2" ht="15.5" x14ac:dyDescent="0.35">
      <c r="B8829" s="853">
        <v>148281.28715366221</v>
      </c>
    </row>
    <row r="8830" spans="2:2" ht="15.5" x14ac:dyDescent="0.35">
      <c r="B8830" s="853">
        <v>63709.845915382975</v>
      </c>
    </row>
    <row r="8831" spans="2:2" ht="15.5" x14ac:dyDescent="0.35">
      <c r="B8831" s="853">
        <v>295590.51820959221</v>
      </c>
    </row>
    <row r="8832" spans="2:2" ht="15.5" x14ac:dyDescent="0.35">
      <c r="B8832" s="853">
        <v>24557.647000181856</v>
      </c>
    </row>
    <row r="8833" spans="2:2" ht="15.5" x14ac:dyDescent="0.35">
      <c r="B8833" s="853">
        <v>395522.96315216081</v>
      </c>
    </row>
    <row r="8834" spans="2:2" ht="15.5" x14ac:dyDescent="0.35">
      <c r="B8834" s="853">
        <v>207742.54529701915</v>
      </c>
    </row>
    <row r="8835" spans="2:2" ht="15.5" x14ac:dyDescent="0.35">
      <c r="B8835" s="853">
        <v>475990.47773350991</v>
      </c>
    </row>
    <row r="8836" spans="2:2" ht="15.5" x14ac:dyDescent="0.35">
      <c r="B8836" s="853">
        <v>245157.62670974905</v>
      </c>
    </row>
    <row r="8837" spans="2:2" ht="15.5" x14ac:dyDescent="0.35">
      <c r="B8837" s="853">
        <v>242704.80379173899</v>
      </c>
    </row>
    <row r="8838" spans="2:2" ht="15.5" x14ac:dyDescent="0.35">
      <c r="B8838" s="853">
        <v>309515.46694782673</v>
      </c>
    </row>
    <row r="8839" spans="2:2" ht="15.5" x14ac:dyDescent="0.35">
      <c r="B8839" s="853">
        <v>440382.8959002195</v>
      </c>
    </row>
    <row r="8840" spans="2:2" ht="15.5" x14ac:dyDescent="0.35">
      <c r="B8840" s="853">
        <v>161243.87608149738</v>
      </c>
    </row>
    <row r="8841" spans="2:2" ht="15.5" x14ac:dyDescent="0.35">
      <c r="B8841" s="853">
        <v>244851.96580025254</v>
      </c>
    </row>
    <row r="8842" spans="2:2" ht="15.5" x14ac:dyDescent="0.35">
      <c r="B8842" s="853">
        <v>341789.5914705678</v>
      </c>
    </row>
    <row r="8843" spans="2:2" ht="15.5" x14ac:dyDescent="0.35">
      <c r="B8843" s="853">
        <v>230007.05787401955</v>
      </c>
    </row>
    <row r="8844" spans="2:2" ht="15.5" x14ac:dyDescent="0.35">
      <c r="B8844" s="853">
        <v>202892.46838843994</v>
      </c>
    </row>
    <row r="8845" spans="2:2" ht="15.5" x14ac:dyDescent="0.35">
      <c r="B8845" s="853">
        <v>407267.66503965273</v>
      </c>
    </row>
    <row r="8846" spans="2:2" ht="15.5" x14ac:dyDescent="0.35">
      <c r="B8846" s="853">
        <v>280595.3331519019</v>
      </c>
    </row>
    <row r="8847" spans="2:2" ht="15.5" x14ac:dyDescent="0.35">
      <c r="B8847" s="853">
        <v>318129.23510283761</v>
      </c>
    </row>
    <row r="8848" spans="2:2" ht="15.5" x14ac:dyDescent="0.35">
      <c r="B8848" s="853">
        <v>67689.168423743744</v>
      </c>
    </row>
    <row r="8849" spans="2:2" ht="15.5" x14ac:dyDescent="0.35">
      <c r="B8849" s="853">
        <v>180275.25631663823</v>
      </c>
    </row>
    <row r="8850" spans="2:2" ht="15.5" x14ac:dyDescent="0.35">
      <c r="B8850" s="853">
        <v>228196.82844082048</v>
      </c>
    </row>
    <row r="8851" spans="2:2" ht="15.5" x14ac:dyDescent="0.35">
      <c r="B8851" s="853">
        <v>499726.85023841576</v>
      </c>
    </row>
    <row r="8852" spans="2:2" ht="15.5" x14ac:dyDescent="0.35">
      <c r="B8852" s="853">
        <v>316337.8969167539</v>
      </c>
    </row>
    <row r="8853" spans="2:2" ht="15.5" x14ac:dyDescent="0.35">
      <c r="B8853" s="853">
        <v>249399.44313967141</v>
      </c>
    </row>
    <row r="8854" spans="2:2" ht="15.5" x14ac:dyDescent="0.35">
      <c r="B8854" s="853">
        <v>65322.298548300416</v>
      </c>
    </row>
    <row r="8855" spans="2:2" ht="15.5" x14ac:dyDescent="0.35">
      <c r="B8855" s="853">
        <v>316773.52589274605</v>
      </c>
    </row>
    <row r="8856" spans="2:2" ht="15.5" x14ac:dyDescent="0.35">
      <c r="B8856" s="853">
        <v>220879.80493433776</v>
      </c>
    </row>
    <row r="8857" spans="2:2" ht="15.5" x14ac:dyDescent="0.35">
      <c r="B8857" s="853">
        <v>491591.03678040346</v>
      </c>
    </row>
    <row r="8858" spans="2:2" ht="15.5" x14ac:dyDescent="0.35">
      <c r="B8858" s="853">
        <v>334262.56252474408</v>
      </c>
    </row>
    <row r="8859" spans="2:2" ht="15.5" x14ac:dyDescent="0.35">
      <c r="B8859" s="853">
        <v>352743.26838074363</v>
      </c>
    </row>
    <row r="8860" spans="2:2" ht="15.5" x14ac:dyDescent="0.35">
      <c r="B8860" s="853">
        <v>445273.11866985029</v>
      </c>
    </row>
    <row r="8861" spans="2:2" ht="15.5" x14ac:dyDescent="0.35">
      <c r="B8861" s="853">
        <v>157212.63546077369</v>
      </c>
    </row>
    <row r="8862" spans="2:2" ht="15.5" x14ac:dyDescent="0.35">
      <c r="B8862" s="853">
        <v>269595.2974953269</v>
      </c>
    </row>
    <row r="8863" spans="2:2" ht="15.5" x14ac:dyDescent="0.35">
      <c r="B8863" s="853">
        <v>240994.8269548456</v>
      </c>
    </row>
    <row r="8864" spans="2:2" ht="15.5" x14ac:dyDescent="0.35">
      <c r="B8864" s="853">
        <v>367307.45176238351</v>
      </c>
    </row>
    <row r="8865" spans="2:2" ht="15.5" x14ac:dyDescent="0.35">
      <c r="B8865" s="853">
        <v>158246.98420747853</v>
      </c>
    </row>
    <row r="8866" spans="2:2" ht="15.5" x14ac:dyDescent="0.35">
      <c r="B8866" s="853">
        <v>366376.63225737144</v>
      </c>
    </row>
    <row r="8867" spans="2:2" ht="15.5" x14ac:dyDescent="0.35">
      <c r="B8867" s="853">
        <v>413886.79313746572</v>
      </c>
    </row>
    <row r="8868" spans="2:2" ht="15.5" x14ac:dyDescent="0.35">
      <c r="B8868" s="853">
        <v>447879.40736046381</v>
      </c>
    </row>
    <row r="8869" spans="2:2" ht="15.5" x14ac:dyDescent="0.35">
      <c r="B8869" s="853">
        <v>259376.50660408207</v>
      </c>
    </row>
    <row r="8870" spans="2:2" ht="15.5" x14ac:dyDescent="0.35">
      <c r="B8870" s="853">
        <v>396663.09505310329</v>
      </c>
    </row>
    <row r="8871" spans="2:2" ht="15.5" x14ac:dyDescent="0.35">
      <c r="B8871" s="853">
        <v>168260.36940275159</v>
      </c>
    </row>
    <row r="8872" spans="2:2" ht="15.5" x14ac:dyDescent="0.35">
      <c r="B8872" s="853">
        <v>90666.922192598431</v>
      </c>
    </row>
    <row r="8873" spans="2:2" ht="15.5" x14ac:dyDescent="0.35">
      <c r="B8873" s="853">
        <v>299640.6612448481</v>
      </c>
    </row>
    <row r="8874" spans="2:2" ht="15.5" x14ac:dyDescent="0.35">
      <c r="B8874" s="853">
        <v>294589.56416224816</v>
      </c>
    </row>
    <row r="8875" spans="2:2" ht="15.5" x14ac:dyDescent="0.35">
      <c r="B8875" s="853">
        <v>401873.79614687647</v>
      </c>
    </row>
    <row r="8876" spans="2:2" ht="15.5" x14ac:dyDescent="0.35">
      <c r="B8876" s="853">
        <v>76127.396768308827</v>
      </c>
    </row>
    <row r="8877" spans="2:2" ht="15.5" x14ac:dyDescent="0.35">
      <c r="B8877" s="853">
        <v>528397.46101754659</v>
      </c>
    </row>
    <row r="8878" spans="2:2" ht="15.5" x14ac:dyDescent="0.35">
      <c r="B8878" s="853">
        <v>434179.32063302759</v>
      </c>
    </row>
    <row r="8879" spans="2:2" ht="15.5" x14ac:dyDescent="0.35">
      <c r="B8879" s="853">
        <v>421614.62477370695</v>
      </c>
    </row>
    <row r="8880" spans="2:2" ht="15.5" x14ac:dyDescent="0.35">
      <c r="B8880" s="853">
        <v>345402.09755290713</v>
      </c>
    </row>
    <row r="8881" spans="2:2" ht="15.5" x14ac:dyDescent="0.35">
      <c r="B8881" s="853">
        <v>538462.73302134289</v>
      </c>
    </row>
    <row r="8882" spans="2:2" ht="15.5" x14ac:dyDescent="0.35">
      <c r="B8882" s="853">
        <v>181391.22568497816</v>
      </c>
    </row>
    <row r="8883" spans="2:2" ht="15.5" x14ac:dyDescent="0.35">
      <c r="B8883" s="853">
        <v>491283.41369966348</v>
      </c>
    </row>
    <row r="8884" spans="2:2" ht="15.5" x14ac:dyDescent="0.35">
      <c r="B8884" s="853">
        <v>311354.69895917305</v>
      </c>
    </row>
    <row r="8885" spans="2:2" ht="15.5" x14ac:dyDescent="0.35">
      <c r="B8885" s="853">
        <v>462487.05484262138</v>
      </c>
    </row>
    <row r="8886" spans="2:2" ht="15.5" x14ac:dyDescent="0.35">
      <c r="B8886" s="853">
        <v>226497.5453693787</v>
      </c>
    </row>
    <row r="8887" spans="2:2" ht="15.5" x14ac:dyDescent="0.35">
      <c r="B8887" s="853">
        <v>1064.4056502283718</v>
      </c>
    </row>
    <row r="8888" spans="2:2" ht="15.5" x14ac:dyDescent="0.35">
      <c r="B8888" s="853">
        <v>200018.92311261408</v>
      </c>
    </row>
    <row r="8889" spans="2:2" ht="15.5" x14ac:dyDescent="0.35">
      <c r="B8889" s="853">
        <v>245803.11760291352</v>
      </c>
    </row>
    <row r="8890" spans="2:2" ht="15.5" x14ac:dyDescent="0.35">
      <c r="B8890" s="853">
        <v>-42505.314762162714</v>
      </c>
    </row>
    <row r="8891" spans="2:2" ht="15.5" x14ac:dyDescent="0.35">
      <c r="B8891" s="853">
        <v>91450.381575794352</v>
      </c>
    </row>
    <row r="8892" spans="2:2" ht="15.5" x14ac:dyDescent="0.35">
      <c r="B8892" s="853">
        <v>238990.36070028946</v>
      </c>
    </row>
    <row r="8893" spans="2:2" ht="15.5" x14ac:dyDescent="0.35">
      <c r="B8893" s="853">
        <v>475156.01281834691</v>
      </c>
    </row>
    <row r="8894" spans="2:2" ht="15.5" x14ac:dyDescent="0.35">
      <c r="B8894" s="853">
        <v>315209.01050957368</v>
      </c>
    </row>
    <row r="8895" spans="2:2" ht="15.5" x14ac:dyDescent="0.35">
      <c r="B8895" s="853">
        <v>653691.96283722983</v>
      </c>
    </row>
    <row r="8896" spans="2:2" ht="15.5" x14ac:dyDescent="0.35">
      <c r="B8896" s="853">
        <v>325507.88700803812</v>
      </c>
    </row>
    <row r="8897" spans="2:2" ht="15.5" x14ac:dyDescent="0.35">
      <c r="B8897" s="853">
        <v>647424.50301611528</v>
      </c>
    </row>
    <row r="8898" spans="2:2" ht="15.5" x14ac:dyDescent="0.35">
      <c r="B8898" s="853">
        <v>653087.86527434341</v>
      </c>
    </row>
    <row r="8899" spans="2:2" ht="15.5" x14ac:dyDescent="0.35">
      <c r="B8899" s="853">
        <v>183342.72497500895</v>
      </c>
    </row>
    <row r="8900" spans="2:2" ht="15.5" x14ac:dyDescent="0.35">
      <c r="B8900" s="853">
        <v>140775.86210696987</v>
      </c>
    </row>
    <row r="8901" spans="2:2" ht="15.5" x14ac:dyDescent="0.35">
      <c r="B8901" s="853">
        <v>380993.88037822657</v>
      </c>
    </row>
    <row r="8902" spans="2:2" ht="15.5" x14ac:dyDescent="0.35">
      <c r="B8902" s="853">
        <v>379005.30658888165</v>
      </c>
    </row>
    <row r="8903" spans="2:2" ht="15.5" x14ac:dyDescent="0.35">
      <c r="B8903" s="853">
        <v>281924.96721767791</v>
      </c>
    </row>
    <row r="8904" spans="2:2" ht="15.5" x14ac:dyDescent="0.35">
      <c r="B8904" s="853">
        <v>331753.29689036566</v>
      </c>
    </row>
    <row r="8905" spans="2:2" ht="15.5" x14ac:dyDescent="0.35">
      <c r="B8905" s="853">
        <v>381271.02672295971</v>
      </c>
    </row>
    <row r="8906" spans="2:2" ht="15.5" x14ac:dyDescent="0.35">
      <c r="B8906" s="853">
        <v>13853.387275392533</v>
      </c>
    </row>
    <row r="8907" spans="2:2" ht="15.5" x14ac:dyDescent="0.35">
      <c r="B8907" s="853">
        <v>672603.7826438722</v>
      </c>
    </row>
    <row r="8908" spans="2:2" ht="15.5" x14ac:dyDescent="0.35">
      <c r="B8908" s="853">
        <v>381524.58630131796</v>
      </c>
    </row>
    <row r="8909" spans="2:2" ht="15.5" x14ac:dyDescent="0.35">
      <c r="B8909" s="853">
        <v>186529.79742778162</v>
      </c>
    </row>
    <row r="8910" spans="2:2" ht="15.5" x14ac:dyDescent="0.35">
      <c r="B8910" s="853">
        <v>248768.57869927946</v>
      </c>
    </row>
    <row r="8911" spans="2:2" ht="15.5" x14ac:dyDescent="0.35">
      <c r="B8911" s="853">
        <v>105047.52057559525</v>
      </c>
    </row>
    <row r="8912" spans="2:2" ht="15.5" x14ac:dyDescent="0.35">
      <c r="B8912" s="853">
        <v>283396.22187232517</v>
      </c>
    </row>
    <row r="8913" spans="2:2" ht="15.5" x14ac:dyDescent="0.35">
      <c r="B8913" s="853">
        <v>383877.68483348051</v>
      </c>
    </row>
    <row r="8914" spans="2:2" ht="15.5" x14ac:dyDescent="0.35">
      <c r="B8914" s="853">
        <v>365400.56462716922</v>
      </c>
    </row>
    <row r="8915" spans="2:2" ht="15.5" x14ac:dyDescent="0.35">
      <c r="B8915" s="853">
        <v>127554.97386055169</v>
      </c>
    </row>
    <row r="8916" spans="2:2" ht="15.5" x14ac:dyDescent="0.35">
      <c r="B8916" s="853">
        <v>249737.88806801446</v>
      </c>
    </row>
    <row r="8917" spans="2:2" ht="15.5" x14ac:dyDescent="0.35">
      <c r="B8917" s="853">
        <v>486518.86811017967</v>
      </c>
    </row>
    <row r="8918" spans="2:2" ht="15.5" x14ac:dyDescent="0.35">
      <c r="B8918" s="853">
        <v>447873.01729849976</v>
      </c>
    </row>
    <row r="8919" spans="2:2" ht="15.5" x14ac:dyDescent="0.35">
      <c r="B8919" s="853">
        <v>400101.52640660969</v>
      </c>
    </row>
    <row r="8920" spans="2:2" ht="15.5" x14ac:dyDescent="0.35">
      <c r="B8920" s="853">
        <v>371748.06679027417</v>
      </c>
    </row>
    <row r="8921" spans="2:2" ht="15.5" x14ac:dyDescent="0.35">
      <c r="B8921" s="853">
        <v>387440.86811102869</v>
      </c>
    </row>
    <row r="8922" spans="2:2" ht="15.5" x14ac:dyDescent="0.35">
      <c r="B8922" s="853">
        <v>340730.81633582263</v>
      </c>
    </row>
    <row r="8923" spans="2:2" ht="15.5" x14ac:dyDescent="0.35">
      <c r="B8923" s="853">
        <v>314534.64330840291</v>
      </c>
    </row>
    <row r="8924" spans="2:2" ht="15.5" x14ac:dyDescent="0.35">
      <c r="B8924" s="853">
        <v>426674.89808616351</v>
      </c>
    </row>
    <row r="8925" spans="2:2" ht="15.5" x14ac:dyDescent="0.35">
      <c r="B8925" s="853">
        <v>133281.38723439499</v>
      </c>
    </row>
    <row r="8926" spans="2:2" ht="15.5" x14ac:dyDescent="0.35">
      <c r="B8926" s="853">
        <v>7982.6711552259758</v>
      </c>
    </row>
    <row r="8927" spans="2:2" ht="15.5" x14ac:dyDescent="0.35">
      <c r="B8927" s="853">
        <v>135513.5829187232</v>
      </c>
    </row>
    <row r="8928" spans="2:2" ht="15.5" x14ac:dyDescent="0.35">
      <c r="B8928" s="853">
        <v>256064.79670073118</v>
      </c>
    </row>
    <row r="8929" spans="2:2" ht="15.5" x14ac:dyDescent="0.35">
      <c r="B8929" s="853">
        <v>225865.31207466245</v>
      </c>
    </row>
    <row r="8930" spans="2:2" ht="15.5" x14ac:dyDescent="0.35">
      <c r="B8930" s="853">
        <v>173686.85189644378</v>
      </c>
    </row>
    <row r="8931" spans="2:2" ht="15.5" x14ac:dyDescent="0.35">
      <c r="B8931" s="853">
        <v>611276.63896095846</v>
      </c>
    </row>
    <row r="8932" spans="2:2" ht="15.5" x14ac:dyDescent="0.35">
      <c r="B8932" s="853">
        <v>371352.88703031366</v>
      </c>
    </row>
    <row r="8933" spans="2:2" ht="15.5" x14ac:dyDescent="0.35">
      <c r="B8933" s="853">
        <v>322878.38743093878</v>
      </c>
    </row>
    <row r="8934" spans="2:2" ht="15.5" x14ac:dyDescent="0.35">
      <c r="B8934" s="853">
        <v>205629.44289525654</v>
      </c>
    </row>
    <row r="8935" spans="2:2" ht="15.5" x14ac:dyDescent="0.35">
      <c r="B8935" s="853">
        <v>221710.59797639766</v>
      </c>
    </row>
    <row r="8936" spans="2:2" ht="15.5" x14ac:dyDescent="0.35">
      <c r="B8936" s="853">
        <v>249694.76989650031</v>
      </c>
    </row>
    <row r="8937" spans="2:2" ht="15.5" x14ac:dyDescent="0.35">
      <c r="B8937" s="853">
        <v>276506.49013494514</v>
      </c>
    </row>
    <row r="8938" spans="2:2" ht="15.5" x14ac:dyDescent="0.35">
      <c r="B8938" s="853">
        <v>201525.67319558561</v>
      </c>
    </row>
    <row r="8939" spans="2:2" ht="15.5" x14ac:dyDescent="0.35">
      <c r="B8939" s="853">
        <v>239657.98888246564</v>
      </c>
    </row>
    <row r="8940" spans="2:2" ht="15.5" x14ac:dyDescent="0.35">
      <c r="B8940" s="853">
        <v>423212.34129884734</v>
      </c>
    </row>
    <row r="8941" spans="2:2" ht="15.5" x14ac:dyDescent="0.35">
      <c r="B8941" s="853">
        <v>140552.72904861212</v>
      </c>
    </row>
    <row r="8942" spans="2:2" ht="15.5" x14ac:dyDescent="0.35">
      <c r="B8942" s="853">
        <v>516715.99254970194</v>
      </c>
    </row>
    <row r="8943" spans="2:2" ht="15.5" x14ac:dyDescent="0.35">
      <c r="B8943" s="853">
        <v>361509.801764654</v>
      </c>
    </row>
    <row r="8944" spans="2:2" ht="15.5" x14ac:dyDescent="0.35">
      <c r="B8944" s="853">
        <v>332328.86442951037</v>
      </c>
    </row>
    <row r="8945" spans="2:2" ht="15.5" x14ac:dyDescent="0.35">
      <c r="B8945" s="853">
        <v>377112.32577936992</v>
      </c>
    </row>
    <row r="8946" spans="2:2" ht="15.5" x14ac:dyDescent="0.35">
      <c r="B8946" s="853">
        <v>264386.37654808955</v>
      </c>
    </row>
    <row r="8947" spans="2:2" ht="15.5" x14ac:dyDescent="0.35">
      <c r="B8947" s="853">
        <v>534283.00337733969</v>
      </c>
    </row>
    <row r="8948" spans="2:2" ht="15.5" x14ac:dyDescent="0.35">
      <c r="B8948" s="853">
        <v>430627.99636705493</v>
      </c>
    </row>
    <row r="8949" spans="2:2" ht="15.5" x14ac:dyDescent="0.35">
      <c r="B8949" s="853">
        <v>176529.03225422339</v>
      </c>
    </row>
    <row r="8950" spans="2:2" ht="15.5" x14ac:dyDescent="0.35">
      <c r="B8950" s="853">
        <v>293605.37659737957</v>
      </c>
    </row>
    <row r="8951" spans="2:2" ht="15.5" x14ac:dyDescent="0.35">
      <c r="B8951" s="853">
        <v>244609.19624757551</v>
      </c>
    </row>
    <row r="8952" spans="2:2" ht="15.5" x14ac:dyDescent="0.35">
      <c r="B8952" s="853">
        <v>379368.62195679877</v>
      </c>
    </row>
    <row r="8953" spans="2:2" ht="15.5" x14ac:dyDescent="0.35">
      <c r="B8953" s="853">
        <v>334489.61570838152</v>
      </c>
    </row>
    <row r="8954" spans="2:2" ht="15.5" x14ac:dyDescent="0.35">
      <c r="B8954" s="853">
        <v>531417.70028833288</v>
      </c>
    </row>
    <row r="8955" spans="2:2" ht="15.5" x14ac:dyDescent="0.35">
      <c r="B8955" s="853">
        <v>351492.53294245759</v>
      </c>
    </row>
    <row r="8956" spans="2:2" ht="15.5" x14ac:dyDescent="0.35">
      <c r="B8956" s="853">
        <v>336625.58275821386</v>
      </c>
    </row>
    <row r="8957" spans="2:2" ht="15.5" x14ac:dyDescent="0.35">
      <c r="B8957" s="853">
        <v>385246.3973837386</v>
      </c>
    </row>
    <row r="8958" spans="2:2" ht="15.5" x14ac:dyDescent="0.35">
      <c r="B8958" s="853">
        <v>275060.42088653729</v>
      </c>
    </row>
    <row r="8959" spans="2:2" ht="15.5" x14ac:dyDescent="0.35">
      <c r="B8959" s="853">
        <v>3812.9381437095285</v>
      </c>
    </row>
    <row r="8960" spans="2:2" ht="15.5" x14ac:dyDescent="0.35">
      <c r="B8960" s="853">
        <v>352061.29357719905</v>
      </c>
    </row>
    <row r="8961" spans="2:2" ht="15.5" x14ac:dyDescent="0.35">
      <c r="B8961" s="853">
        <v>321761.33866072138</v>
      </c>
    </row>
    <row r="8962" spans="2:2" ht="15.5" x14ac:dyDescent="0.35">
      <c r="B8962" s="853">
        <v>365225.43113138177</v>
      </c>
    </row>
    <row r="8963" spans="2:2" ht="15.5" x14ac:dyDescent="0.35">
      <c r="B8963" s="853">
        <v>135925.42784018649</v>
      </c>
    </row>
    <row r="8964" spans="2:2" ht="15.5" x14ac:dyDescent="0.35">
      <c r="B8964" s="853">
        <v>403964.05900046491</v>
      </c>
    </row>
    <row r="8965" spans="2:2" ht="15.5" x14ac:dyDescent="0.35">
      <c r="B8965" s="853">
        <v>452001.78688504064</v>
      </c>
    </row>
    <row r="8966" spans="2:2" ht="15.5" x14ac:dyDescent="0.35">
      <c r="B8966" s="853">
        <v>350032.88552560774</v>
      </c>
    </row>
    <row r="8967" spans="2:2" ht="15.5" x14ac:dyDescent="0.35">
      <c r="B8967" s="853">
        <v>336762.43661179743</v>
      </c>
    </row>
    <row r="8968" spans="2:2" ht="15.5" x14ac:dyDescent="0.35">
      <c r="B8968" s="853">
        <v>179843.66016192667</v>
      </c>
    </row>
    <row r="8969" spans="2:2" ht="15.5" x14ac:dyDescent="0.35">
      <c r="B8969" s="853">
        <v>421680.28499846836</v>
      </c>
    </row>
    <row r="8970" spans="2:2" ht="15.5" x14ac:dyDescent="0.35">
      <c r="B8970" s="853">
        <v>365120.0419500916</v>
      </c>
    </row>
    <row r="8971" spans="2:2" ht="15.5" x14ac:dyDescent="0.35">
      <c r="B8971" s="853">
        <v>225729.60923092731</v>
      </c>
    </row>
    <row r="8972" spans="2:2" ht="15.5" x14ac:dyDescent="0.35">
      <c r="B8972" s="853">
        <v>399430.31709876133</v>
      </c>
    </row>
    <row r="8973" spans="2:2" ht="15.5" x14ac:dyDescent="0.35">
      <c r="B8973" s="853">
        <v>424538.563833653</v>
      </c>
    </row>
    <row r="8974" spans="2:2" ht="15.5" x14ac:dyDescent="0.35">
      <c r="B8974" s="853">
        <v>482401.8640508703</v>
      </c>
    </row>
    <row r="8975" spans="2:2" ht="15.5" x14ac:dyDescent="0.35">
      <c r="B8975" s="853">
        <v>243609.33107245041</v>
      </c>
    </row>
    <row r="8976" spans="2:2" ht="15.5" x14ac:dyDescent="0.35">
      <c r="B8976" s="853">
        <v>41314.683986441669</v>
      </c>
    </row>
    <row r="8977" spans="2:2" ht="15.5" x14ac:dyDescent="0.35">
      <c r="B8977" s="853">
        <v>279048.11414789734</v>
      </c>
    </row>
    <row r="8978" spans="2:2" ht="15.5" x14ac:dyDescent="0.35">
      <c r="B8978" s="853">
        <v>-169565.83802532914</v>
      </c>
    </row>
    <row r="8979" spans="2:2" ht="15.5" x14ac:dyDescent="0.35">
      <c r="B8979" s="853">
        <v>230521.52318983356</v>
      </c>
    </row>
    <row r="8980" spans="2:2" ht="15.5" x14ac:dyDescent="0.35">
      <c r="B8980" s="853">
        <v>578412.73763197928</v>
      </c>
    </row>
    <row r="8981" spans="2:2" ht="15.5" x14ac:dyDescent="0.35">
      <c r="B8981" s="853">
        <v>540353.98631269252</v>
      </c>
    </row>
    <row r="8982" spans="2:2" ht="15.5" x14ac:dyDescent="0.35">
      <c r="B8982" s="853">
        <v>297013.51234219875</v>
      </c>
    </row>
    <row r="8983" spans="2:2" ht="15.5" x14ac:dyDescent="0.35">
      <c r="B8983" s="853">
        <v>194511.11478502373</v>
      </c>
    </row>
    <row r="8984" spans="2:2" ht="15.5" x14ac:dyDescent="0.35">
      <c r="B8984" s="853">
        <v>199495.36016300548</v>
      </c>
    </row>
    <row r="8985" spans="2:2" ht="15.5" x14ac:dyDescent="0.35">
      <c r="B8985" s="853">
        <v>2876.5825724952583</v>
      </c>
    </row>
    <row r="8986" spans="2:2" ht="15.5" x14ac:dyDescent="0.35">
      <c r="B8986" s="853">
        <v>218713.56563985773</v>
      </c>
    </row>
    <row r="8987" spans="2:2" ht="15.5" x14ac:dyDescent="0.35">
      <c r="B8987" s="853">
        <v>163537.09247615139</v>
      </c>
    </row>
    <row r="8988" spans="2:2" ht="15.5" x14ac:dyDescent="0.35">
      <c r="B8988" s="853">
        <v>396015.99944700615</v>
      </c>
    </row>
    <row r="8989" spans="2:2" ht="15.5" x14ac:dyDescent="0.35">
      <c r="B8989" s="853">
        <v>378965.78019048058</v>
      </c>
    </row>
    <row r="8990" spans="2:2" ht="15.5" x14ac:dyDescent="0.35">
      <c r="B8990" s="853">
        <v>251542.50641812148</v>
      </c>
    </row>
    <row r="8991" spans="2:2" ht="15.5" x14ac:dyDescent="0.35">
      <c r="B8991" s="853">
        <v>399489.48041370825</v>
      </c>
    </row>
    <row r="8992" spans="2:2" ht="15.5" x14ac:dyDescent="0.35">
      <c r="B8992" s="853">
        <v>199281.72817261252</v>
      </c>
    </row>
    <row r="8993" spans="2:2" ht="15.5" x14ac:dyDescent="0.35">
      <c r="B8993" s="853">
        <v>572132.06862084381</v>
      </c>
    </row>
    <row r="8994" spans="2:2" ht="15.5" x14ac:dyDescent="0.35">
      <c r="B8994" s="853">
        <v>11209.342392750679</v>
      </c>
    </row>
    <row r="8995" spans="2:2" ht="15.5" x14ac:dyDescent="0.35">
      <c r="B8995" s="853">
        <v>223266.12867698257</v>
      </c>
    </row>
    <row r="8996" spans="2:2" ht="15.5" x14ac:dyDescent="0.35">
      <c r="B8996" s="853">
        <v>328798.57049308682</v>
      </c>
    </row>
    <row r="8997" spans="2:2" ht="15.5" x14ac:dyDescent="0.35">
      <c r="B8997" s="853">
        <v>208401.30233550316</v>
      </c>
    </row>
    <row r="8998" spans="2:2" ht="15.5" x14ac:dyDescent="0.35">
      <c r="B8998" s="853">
        <v>22083.411686483734</v>
      </c>
    </row>
    <row r="8999" spans="2:2" ht="15.5" x14ac:dyDescent="0.35">
      <c r="B8999" s="853">
        <v>125282.36222321253</v>
      </c>
    </row>
    <row r="9000" spans="2:2" ht="15.5" x14ac:dyDescent="0.35">
      <c r="B9000" s="853">
        <v>270015.95767569693</v>
      </c>
    </row>
    <row r="9001" spans="2:2" ht="15.5" x14ac:dyDescent="0.35">
      <c r="B9001" s="853">
        <v>328758.45306929981</v>
      </c>
    </row>
    <row r="9002" spans="2:2" ht="15.5" x14ac:dyDescent="0.35">
      <c r="B9002" s="853">
        <v>254789.05355061567</v>
      </c>
    </row>
    <row r="9003" spans="2:2" ht="15.5" x14ac:dyDescent="0.35">
      <c r="B9003" s="853">
        <v>567861.69627368834</v>
      </c>
    </row>
    <row r="9004" spans="2:2" ht="15.5" x14ac:dyDescent="0.35">
      <c r="B9004" s="853">
        <v>353061.42691975919</v>
      </c>
    </row>
    <row r="9005" spans="2:2" ht="15.5" x14ac:dyDescent="0.35">
      <c r="B9005" s="853">
        <v>102549.51460956469</v>
      </c>
    </row>
    <row r="9006" spans="2:2" ht="15.5" x14ac:dyDescent="0.35">
      <c r="B9006" s="853">
        <v>451190.62620578654</v>
      </c>
    </row>
    <row r="9007" spans="2:2" ht="15.5" x14ac:dyDescent="0.35">
      <c r="B9007" s="853">
        <v>-10293.823596186325</v>
      </c>
    </row>
    <row r="9008" spans="2:2" ht="15.5" x14ac:dyDescent="0.35">
      <c r="B9008" s="853">
        <v>449154.20366953424</v>
      </c>
    </row>
    <row r="9009" spans="2:2" ht="15.5" x14ac:dyDescent="0.35">
      <c r="B9009" s="853">
        <v>-1208.6468197333743</v>
      </c>
    </row>
    <row r="9010" spans="2:2" ht="15.5" x14ac:dyDescent="0.35">
      <c r="B9010" s="853">
        <v>338085.61877204094</v>
      </c>
    </row>
    <row r="9011" spans="2:2" ht="15.5" x14ac:dyDescent="0.35">
      <c r="B9011" s="853">
        <v>289789.06300415215</v>
      </c>
    </row>
    <row r="9012" spans="2:2" ht="15.5" x14ac:dyDescent="0.35">
      <c r="B9012" s="853">
        <v>562354.30205765844</v>
      </c>
    </row>
    <row r="9013" spans="2:2" ht="15.5" x14ac:dyDescent="0.35">
      <c r="B9013" s="853">
        <v>378454.04200465576</v>
      </c>
    </row>
    <row r="9014" spans="2:2" ht="15.5" x14ac:dyDescent="0.35">
      <c r="B9014" s="853">
        <v>334406.10765785718</v>
      </c>
    </row>
    <row r="9015" spans="2:2" ht="15.5" x14ac:dyDescent="0.35">
      <c r="B9015" s="853">
        <v>188100.03680510071</v>
      </c>
    </row>
    <row r="9016" spans="2:2" ht="15.5" x14ac:dyDescent="0.35">
      <c r="B9016" s="853">
        <v>402788.15325037134</v>
      </c>
    </row>
    <row r="9017" spans="2:2" ht="15.5" x14ac:dyDescent="0.35">
      <c r="B9017" s="853">
        <v>312458.85073521308</v>
      </c>
    </row>
    <row r="9018" spans="2:2" ht="15.5" x14ac:dyDescent="0.35">
      <c r="B9018" s="853">
        <v>342157.57698291494</v>
      </c>
    </row>
    <row r="9019" spans="2:2" ht="15.5" x14ac:dyDescent="0.35">
      <c r="B9019" s="853">
        <v>371172.55548580893</v>
      </c>
    </row>
    <row r="9020" spans="2:2" ht="15.5" x14ac:dyDescent="0.35">
      <c r="B9020" s="853">
        <v>406053.38930212392</v>
      </c>
    </row>
    <row r="9021" spans="2:2" ht="15.5" x14ac:dyDescent="0.35">
      <c r="B9021" s="853">
        <v>388779.72771915968</v>
      </c>
    </row>
    <row r="9022" spans="2:2" ht="15.5" x14ac:dyDescent="0.35">
      <c r="B9022" s="853">
        <v>263258.31796855963</v>
      </c>
    </row>
    <row r="9023" spans="2:2" ht="15.5" x14ac:dyDescent="0.35">
      <c r="B9023" s="853">
        <v>294479.08382184088</v>
      </c>
    </row>
    <row r="9024" spans="2:2" ht="15.5" x14ac:dyDescent="0.35">
      <c r="B9024" s="853">
        <v>71371.547695868052</v>
      </c>
    </row>
    <row r="9025" spans="2:2" ht="15.5" x14ac:dyDescent="0.35">
      <c r="B9025" s="853">
        <v>194051.49825684325</v>
      </c>
    </row>
    <row r="9026" spans="2:2" ht="15.5" x14ac:dyDescent="0.35">
      <c r="B9026" s="853">
        <v>156107.7663533148</v>
      </c>
    </row>
    <row r="9027" spans="2:2" ht="15.5" x14ac:dyDescent="0.35">
      <c r="B9027" s="853">
        <v>303731.62439458643</v>
      </c>
    </row>
    <row r="9028" spans="2:2" ht="15.5" x14ac:dyDescent="0.35">
      <c r="B9028" s="853">
        <v>402419.353131307</v>
      </c>
    </row>
    <row r="9029" spans="2:2" ht="15.5" x14ac:dyDescent="0.35">
      <c r="B9029" s="853">
        <v>405041.82762866264</v>
      </c>
    </row>
    <row r="9030" spans="2:2" ht="15.5" x14ac:dyDescent="0.35">
      <c r="B9030" s="853">
        <v>295113.17521839379</v>
      </c>
    </row>
    <row r="9031" spans="2:2" ht="15.5" x14ac:dyDescent="0.35">
      <c r="B9031" s="853">
        <v>392344.83395119081</v>
      </c>
    </row>
    <row r="9032" spans="2:2" ht="15.5" x14ac:dyDescent="0.35">
      <c r="B9032" s="853">
        <v>205265.70462146524</v>
      </c>
    </row>
    <row r="9033" spans="2:2" ht="15.5" x14ac:dyDescent="0.35">
      <c r="B9033" s="853">
        <v>479151.19821317843</v>
      </c>
    </row>
    <row r="9034" spans="2:2" ht="15.5" x14ac:dyDescent="0.35">
      <c r="B9034" s="853">
        <v>313697.86992328241</v>
      </c>
    </row>
    <row r="9035" spans="2:2" ht="15.5" x14ac:dyDescent="0.35">
      <c r="B9035" s="853">
        <v>314795.91917117266</v>
      </c>
    </row>
    <row r="9036" spans="2:2" ht="15.5" x14ac:dyDescent="0.35">
      <c r="B9036" s="853">
        <v>304768.00598586537</v>
      </c>
    </row>
    <row r="9037" spans="2:2" ht="15.5" x14ac:dyDescent="0.35">
      <c r="B9037" s="853">
        <v>372716.90665133187</v>
      </c>
    </row>
    <row r="9038" spans="2:2" ht="15.5" x14ac:dyDescent="0.35">
      <c r="B9038" s="853">
        <v>383545.77951980405</v>
      </c>
    </row>
    <row r="9039" spans="2:2" ht="15.5" x14ac:dyDescent="0.35">
      <c r="B9039" s="853">
        <v>437178.53575982456</v>
      </c>
    </row>
    <row r="9040" spans="2:2" ht="15.5" x14ac:dyDescent="0.35">
      <c r="B9040" s="853">
        <v>22610.071878156486</v>
      </c>
    </row>
    <row r="9041" spans="2:2" ht="15.5" x14ac:dyDescent="0.35">
      <c r="B9041" s="853">
        <v>306888.48947337363</v>
      </c>
    </row>
    <row r="9042" spans="2:2" ht="15.5" x14ac:dyDescent="0.35">
      <c r="B9042" s="853">
        <v>177033.50296806431</v>
      </c>
    </row>
    <row r="9043" spans="2:2" ht="15.5" x14ac:dyDescent="0.35">
      <c r="B9043" s="853">
        <v>74426.221456127969</v>
      </c>
    </row>
    <row r="9044" spans="2:2" ht="15.5" x14ac:dyDescent="0.35">
      <c r="B9044" s="853">
        <v>402945.90104717988</v>
      </c>
    </row>
    <row r="9045" spans="2:2" ht="15.5" x14ac:dyDescent="0.35">
      <c r="B9045" s="853">
        <v>335250.20201785804</v>
      </c>
    </row>
    <row r="9046" spans="2:2" ht="15.5" x14ac:dyDescent="0.35">
      <c r="B9046" s="853">
        <v>339003.49295612687</v>
      </c>
    </row>
    <row r="9047" spans="2:2" ht="15.5" x14ac:dyDescent="0.35">
      <c r="B9047" s="853">
        <v>203563.53846553262</v>
      </c>
    </row>
    <row r="9048" spans="2:2" ht="15.5" x14ac:dyDescent="0.35">
      <c r="B9048" s="853">
        <v>192083.18518570755</v>
      </c>
    </row>
    <row r="9049" spans="2:2" ht="15.5" x14ac:dyDescent="0.35">
      <c r="B9049" s="853">
        <v>228381.34297360334</v>
      </c>
    </row>
    <row r="9050" spans="2:2" ht="15.5" x14ac:dyDescent="0.35">
      <c r="B9050" s="853">
        <v>248724.92838742622</v>
      </c>
    </row>
    <row r="9051" spans="2:2" ht="15.5" x14ac:dyDescent="0.35">
      <c r="B9051" s="853">
        <v>191301.83385034016</v>
      </c>
    </row>
    <row r="9052" spans="2:2" ht="15.5" x14ac:dyDescent="0.35">
      <c r="B9052" s="853">
        <v>215063.67374409508</v>
      </c>
    </row>
    <row r="9053" spans="2:2" ht="15.5" x14ac:dyDescent="0.35">
      <c r="B9053" s="853">
        <v>362225.80190887029</v>
      </c>
    </row>
    <row r="9054" spans="2:2" ht="15.5" x14ac:dyDescent="0.35">
      <c r="B9054" s="853">
        <v>166614.02476589443</v>
      </c>
    </row>
    <row r="9055" spans="2:2" ht="15.5" x14ac:dyDescent="0.35">
      <c r="B9055" s="853">
        <v>376756.70395184477</v>
      </c>
    </row>
    <row r="9056" spans="2:2" ht="15.5" x14ac:dyDescent="0.35">
      <c r="B9056" s="853">
        <v>598758.19739592087</v>
      </c>
    </row>
    <row r="9057" spans="2:2" ht="15.5" x14ac:dyDescent="0.35">
      <c r="B9057" s="853">
        <v>242734.09632481827</v>
      </c>
    </row>
    <row r="9058" spans="2:2" ht="15.5" x14ac:dyDescent="0.35">
      <c r="B9058" s="853">
        <v>273544.58497976186</v>
      </c>
    </row>
    <row r="9059" spans="2:2" ht="15.5" x14ac:dyDescent="0.35">
      <c r="B9059" s="853">
        <v>296366.53092610434</v>
      </c>
    </row>
    <row r="9060" spans="2:2" ht="15.5" x14ac:dyDescent="0.35">
      <c r="B9060" s="853">
        <v>225212.85191554701</v>
      </c>
    </row>
    <row r="9061" spans="2:2" ht="15.5" x14ac:dyDescent="0.35">
      <c r="B9061" s="853">
        <v>243094.26435048546</v>
      </c>
    </row>
    <row r="9062" spans="2:2" ht="15.5" x14ac:dyDescent="0.35">
      <c r="B9062" s="853">
        <v>180654.234299262</v>
      </c>
    </row>
    <row r="9063" spans="2:2" ht="15.5" x14ac:dyDescent="0.35">
      <c r="B9063" s="853">
        <v>250437.16404920645</v>
      </c>
    </row>
    <row r="9064" spans="2:2" ht="15.5" x14ac:dyDescent="0.35">
      <c r="B9064" s="853">
        <v>231299.24664779592</v>
      </c>
    </row>
    <row r="9065" spans="2:2" ht="15.5" x14ac:dyDescent="0.35">
      <c r="B9065" s="853">
        <v>240681.15927085691</v>
      </c>
    </row>
    <row r="9066" spans="2:2" ht="15.5" x14ac:dyDescent="0.35">
      <c r="B9066" s="853">
        <v>242418.02990435241</v>
      </c>
    </row>
    <row r="9067" spans="2:2" ht="15.5" x14ac:dyDescent="0.35">
      <c r="B9067" s="853">
        <v>627700.16937741882</v>
      </c>
    </row>
    <row r="9068" spans="2:2" ht="15.5" x14ac:dyDescent="0.35">
      <c r="B9068" s="853">
        <v>285684.11300336785</v>
      </c>
    </row>
    <row r="9069" spans="2:2" ht="15.5" x14ac:dyDescent="0.35">
      <c r="B9069" s="853">
        <v>238563.53964033152</v>
      </c>
    </row>
    <row r="9070" spans="2:2" ht="15.5" x14ac:dyDescent="0.35">
      <c r="B9070" s="853">
        <v>395192.74879240862</v>
      </c>
    </row>
    <row r="9071" spans="2:2" ht="15.5" x14ac:dyDescent="0.35">
      <c r="B9071" s="853">
        <v>233890.77656250104</v>
      </c>
    </row>
    <row r="9072" spans="2:2" ht="15.5" x14ac:dyDescent="0.35">
      <c r="B9072" s="853">
        <v>56739.113188108931</v>
      </c>
    </row>
    <row r="9073" spans="2:2" ht="15.5" x14ac:dyDescent="0.35">
      <c r="B9073" s="853">
        <v>212291.6628921004</v>
      </c>
    </row>
    <row r="9074" spans="2:2" ht="15.5" x14ac:dyDescent="0.35">
      <c r="B9074" s="853">
        <v>420262.33445780101</v>
      </c>
    </row>
    <row r="9075" spans="2:2" ht="15.5" x14ac:dyDescent="0.35">
      <c r="B9075" s="853">
        <v>370299.30453653354</v>
      </c>
    </row>
    <row r="9076" spans="2:2" ht="15.5" x14ac:dyDescent="0.35">
      <c r="B9076" s="853">
        <v>388077.419713068</v>
      </c>
    </row>
    <row r="9077" spans="2:2" ht="15.5" x14ac:dyDescent="0.35">
      <c r="B9077" s="853">
        <v>500626.43858365953</v>
      </c>
    </row>
    <row r="9078" spans="2:2" ht="15.5" x14ac:dyDescent="0.35">
      <c r="B9078" s="853">
        <v>281038.77271133236</v>
      </c>
    </row>
    <row r="9079" spans="2:2" ht="15.5" x14ac:dyDescent="0.35">
      <c r="B9079" s="853">
        <v>167133.38501011723</v>
      </c>
    </row>
    <row r="9080" spans="2:2" ht="15.5" x14ac:dyDescent="0.35">
      <c r="B9080" s="853">
        <v>467476.69469867618</v>
      </c>
    </row>
    <row r="9081" spans="2:2" ht="15.5" x14ac:dyDescent="0.35">
      <c r="B9081" s="853">
        <v>272614.3153136007</v>
      </c>
    </row>
    <row r="9082" spans="2:2" ht="15.5" x14ac:dyDescent="0.35">
      <c r="B9082" s="853">
        <v>239729.02902309451</v>
      </c>
    </row>
    <row r="9083" spans="2:2" ht="15.5" x14ac:dyDescent="0.35">
      <c r="B9083" s="853">
        <v>157663.07435352306</v>
      </c>
    </row>
    <row r="9084" spans="2:2" ht="15.5" x14ac:dyDescent="0.35">
      <c r="B9084" s="853">
        <v>103143.04782252214</v>
      </c>
    </row>
    <row r="9085" spans="2:2" ht="15.5" x14ac:dyDescent="0.35">
      <c r="B9085" s="853">
        <v>260185.45910738519</v>
      </c>
    </row>
    <row r="9086" spans="2:2" ht="15.5" x14ac:dyDescent="0.35">
      <c r="B9086" s="853">
        <v>620525.21056292718</v>
      </c>
    </row>
    <row r="9087" spans="2:2" ht="15.5" x14ac:dyDescent="0.35">
      <c r="B9087" s="853">
        <v>463072.57002189662</v>
      </c>
    </row>
    <row r="9088" spans="2:2" ht="15.5" x14ac:dyDescent="0.35">
      <c r="B9088" s="853">
        <v>291658.09555202018</v>
      </c>
    </row>
    <row r="9089" spans="2:2" ht="15.5" x14ac:dyDescent="0.35">
      <c r="B9089" s="853">
        <v>391286.89289777499</v>
      </c>
    </row>
    <row r="9090" spans="2:2" ht="15.5" x14ac:dyDescent="0.35">
      <c r="B9090" s="853">
        <v>451476.0788427121</v>
      </c>
    </row>
    <row r="9091" spans="2:2" ht="15.5" x14ac:dyDescent="0.35">
      <c r="B9091" s="853">
        <v>588360.27314494562</v>
      </c>
    </row>
    <row r="9092" spans="2:2" ht="15.5" x14ac:dyDescent="0.35">
      <c r="B9092" s="853">
        <v>202648.81312148605</v>
      </c>
    </row>
    <row r="9093" spans="2:2" ht="15.5" x14ac:dyDescent="0.35">
      <c r="B9093" s="853">
        <v>354486.27832859964</v>
      </c>
    </row>
    <row r="9094" spans="2:2" ht="15.5" x14ac:dyDescent="0.35">
      <c r="B9094" s="853">
        <v>413857.66024468245</v>
      </c>
    </row>
    <row r="9095" spans="2:2" ht="15.5" x14ac:dyDescent="0.35">
      <c r="B9095" s="853">
        <v>401682.31368352188</v>
      </c>
    </row>
    <row r="9096" spans="2:2" ht="15.5" x14ac:dyDescent="0.35">
      <c r="B9096" s="853">
        <v>380887.55778789485</v>
      </c>
    </row>
    <row r="9097" spans="2:2" ht="15.5" x14ac:dyDescent="0.35">
      <c r="B9097" s="853">
        <v>379666.81967859395</v>
      </c>
    </row>
    <row r="9098" spans="2:2" ht="15.5" x14ac:dyDescent="0.35">
      <c r="B9098" s="853">
        <v>339987.66629430349</v>
      </c>
    </row>
    <row r="9099" spans="2:2" ht="15.5" x14ac:dyDescent="0.35">
      <c r="B9099" s="853">
        <v>291422.27310518728</v>
      </c>
    </row>
    <row r="9100" spans="2:2" ht="15.5" x14ac:dyDescent="0.35">
      <c r="B9100" s="853">
        <v>493786.65351634909</v>
      </c>
    </row>
    <row r="9101" spans="2:2" ht="15.5" x14ac:dyDescent="0.35">
      <c r="B9101" s="853">
        <v>415489.70277987065</v>
      </c>
    </row>
    <row r="9102" spans="2:2" ht="15.5" x14ac:dyDescent="0.35">
      <c r="B9102" s="853">
        <v>481120.90905245848</v>
      </c>
    </row>
    <row r="9103" spans="2:2" ht="15.5" x14ac:dyDescent="0.35">
      <c r="B9103" s="853">
        <v>264872.54363454058</v>
      </c>
    </row>
    <row r="9104" spans="2:2" ht="15.5" x14ac:dyDescent="0.35">
      <c r="B9104" s="853">
        <v>345945.47254720289</v>
      </c>
    </row>
    <row r="9105" spans="2:2" ht="15.5" x14ac:dyDescent="0.35">
      <c r="B9105" s="853">
        <v>270104.14004758827</v>
      </c>
    </row>
    <row r="9106" spans="2:2" ht="15.5" x14ac:dyDescent="0.35">
      <c r="B9106" s="853">
        <v>132143.47443916113</v>
      </c>
    </row>
    <row r="9107" spans="2:2" ht="15.5" x14ac:dyDescent="0.35">
      <c r="B9107" s="853">
        <v>286524.12724159576</v>
      </c>
    </row>
    <row r="9108" spans="2:2" ht="15.5" x14ac:dyDescent="0.35">
      <c r="B9108" s="853">
        <v>409402.9032305794</v>
      </c>
    </row>
    <row r="9109" spans="2:2" ht="15.5" x14ac:dyDescent="0.35">
      <c r="B9109" s="853">
        <v>594524.83028728515</v>
      </c>
    </row>
    <row r="9110" spans="2:2" ht="15.5" x14ac:dyDescent="0.35">
      <c r="B9110" s="853">
        <v>329898.22150689457</v>
      </c>
    </row>
    <row r="9111" spans="2:2" ht="15.5" x14ac:dyDescent="0.35">
      <c r="B9111" s="853">
        <v>363313.12941362092</v>
      </c>
    </row>
    <row r="9112" spans="2:2" ht="15.5" x14ac:dyDescent="0.35">
      <c r="B9112" s="853">
        <v>169747.87816608651</v>
      </c>
    </row>
    <row r="9113" spans="2:2" ht="15.5" x14ac:dyDescent="0.35">
      <c r="B9113" s="853">
        <v>290654.65278333996</v>
      </c>
    </row>
    <row r="9114" spans="2:2" ht="15.5" x14ac:dyDescent="0.35">
      <c r="B9114" s="853">
        <v>216898.85521236679</v>
      </c>
    </row>
    <row r="9115" spans="2:2" ht="15.5" x14ac:dyDescent="0.35">
      <c r="B9115" s="853">
        <v>407514.32364833693</v>
      </c>
    </row>
    <row r="9116" spans="2:2" ht="15.5" x14ac:dyDescent="0.35">
      <c r="B9116" s="853">
        <v>262089.6303299508</v>
      </c>
    </row>
    <row r="9117" spans="2:2" ht="15.5" x14ac:dyDescent="0.35">
      <c r="B9117" s="853">
        <v>193265.03545862332</v>
      </c>
    </row>
    <row r="9118" spans="2:2" ht="15.5" x14ac:dyDescent="0.35">
      <c r="B9118" s="853">
        <v>262536.2356218918</v>
      </c>
    </row>
    <row r="9119" spans="2:2" ht="15.5" x14ac:dyDescent="0.35">
      <c r="B9119" s="853">
        <v>302199.0263960872</v>
      </c>
    </row>
    <row r="9120" spans="2:2" ht="15.5" x14ac:dyDescent="0.35">
      <c r="B9120" s="853">
        <v>89207.901783346417</v>
      </c>
    </row>
    <row r="9121" spans="2:2" ht="15.5" x14ac:dyDescent="0.35">
      <c r="B9121" s="853">
        <v>315485.08769335179</v>
      </c>
    </row>
    <row r="9122" spans="2:2" ht="15.5" x14ac:dyDescent="0.35">
      <c r="B9122" s="853">
        <v>215330.98899265856</v>
      </c>
    </row>
    <row r="9123" spans="2:2" ht="15.5" x14ac:dyDescent="0.35">
      <c r="B9123" s="853">
        <v>283630.35953287245</v>
      </c>
    </row>
    <row r="9124" spans="2:2" ht="15.5" x14ac:dyDescent="0.35">
      <c r="B9124" s="853">
        <v>225351.7021426819</v>
      </c>
    </row>
    <row r="9125" spans="2:2" ht="15.5" x14ac:dyDescent="0.35">
      <c r="B9125" s="853">
        <v>421966.66904311068</v>
      </c>
    </row>
    <row r="9126" spans="2:2" ht="15.5" x14ac:dyDescent="0.35">
      <c r="B9126" s="853">
        <v>220590.4499964758</v>
      </c>
    </row>
    <row r="9127" spans="2:2" ht="15.5" x14ac:dyDescent="0.35">
      <c r="B9127" s="853">
        <v>374122.81202502403</v>
      </c>
    </row>
    <row r="9128" spans="2:2" ht="15.5" x14ac:dyDescent="0.35">
      <c r="B9128" s="853">
        <v>527805.22604820202</v>
      </c>
    </row>
    <row r="9129" spans="2:2" ht="15.5" x14ac:dyDescent="0.35">
      <c r="B9129" s="853">
        <v>180860.69570153812</v>
      </c>
    </row>
    <row r="9130" spans="2:2" ht="15.5" x14ac:dyDescent="0.35">
      <c r="B9130" s="853">
        <v>221003.68406973348</v>
      </c>
    </row>
    <row r="9131" spans="2:2" ht="15.5" x14ac:dyDescent="0.35">
      <c r="B9131" s="853">
        <v>611339.38650524302</v>
      </c>
    </row>
    <row r="9132" spans="2:2" ht="15.5" x14ac:dyDescent="0.35">
      <c r="B9132" s="853">
        <v>157849.51166832555</v>
      </c>
    </row>
    <row r="9133" spans="2:2" ht="15.5" x14ac:dyDescent="0.35">
      <c r="B9133" s="853">
        <v>300321.1132418426</v>
      </c>
    </row>
    <row r="9134" spans="2:2" ht="15.5" x14ac:dyDescent="0.35">
      <c r="B9134" s="853">
        <v>122134.03203490496</v>
      </c>
    </row>
    <row r="9135" spans="2:2" ht="15.5" x14ac:dyDescent="0.35">
      <c r="B9135" s="853">
        <v>415207.02169780718</v>
      </c>
    </row>
    <row r="9136" spans="2:2" ht="15.5" x14ac:dyDescent="0.35">
      <c r="B9136" s="853">
        <v>398881.48008241376</v>
      </c>
    </row>
    <row r="9137" spans="2:2" ht="15.5" x14ac:dyDescent="0.35">
      <c r="B9137" s="853">
        <v>452717.4124737645</v>
      </c>
    </row>
    <row r="9138" spans="2:2" ht="15.5" x14ac:dyDescent="0.35">
      <c r="B9138" s="853">
        <v>189263.88738897996</v>
      </c>
    </row>
    <row r="9139" spans="2:2" ht="15.5" x14ac:dyDescent="0.35">
      <c r="B9139" s="853">
        <v>249830.69721584502</v>
      </c>
    </row>
    <row r="9140" spans="2:2" ht="15.5" x14ac:dyDescent="0.35">
      <c r="B9140" s="853">
        <v>385869.83802801796</v>
      </c>
    </row>
    <row r="9141" spans="2:2" ht="15.5" x14ac:dyDescent="0.35">
      <c r="B9141" s="853">
        <v>293203.54695415939</v>
      </c>
    </row>
    <row r="9142" spans="2:2" ht="15.5" x14ac:dyDescent="0.35">
      <c r="B9142" s="853">
        <v>-65714.99354497937</v>
      </c>
    </row>
    <row r="9143" spans="2:2" ht="15.5" x14ac:dyDescent="0.35">
      <c r="B9143" s="853">
        <v>469467.11436151573</v>
      </c>
    </row>
    <row r="9144" spans="2:2" ht="15.5" x14ac:dyDescent="0.35">
      <c r="B9144" s="853">
        <v>328504.98648188106</v>
      </c>
    </row>
    <row r="9145" spans="2:2" ht="15.5" x14ac:dyDescent="0.35">
      <c r="B9145" s="853">
        <v>306168.70122686483</v>
      </c>
    </row>
    <row r="9146" spans="2:2" ht="15.5" x14ac:dyDescent="0.35">
      <c r="B9146" s="853">
        <v>-18785.03403120668</v>
      </c>
    </row>
    <row r="9147" spans="2:2" ht="15.5" x14ac:dyDescent="0.35">
      <c r="B9147" s="853">
        <v>573219.08097337047</v>
      </c>
    </row>
    <row r="9148" spans="2:2" ht="15.5" x14ac:dyDescent="0.35">
      <c r="B9148" s="853">
        <v>154775.18210683472</v>
      </c>
    </row>
    <row r="9149" spans="2:2" ht="15.5" x14ac:dyDescent="0.35">
      <c r="B9149" s="853">
        <v>429929.97021478449</v>
      </c>
    </row>
    <row r="9150" spans="2:2" ht="15.5" x14ac:dyDescent="0.35">
      <c r="B9150" s="853">
        <v>346719.66231044772</v>
      </c>
    </row>
    <row r="9151" spans="2:2" ht="15.5" x14ac:dyDescent="0.35">
      <c r="B9151" s="853">
        <v>536571.67362861091</v>
      </c>
    </row>
    <row r="9152" spans="2:2" ht="15.5" x14ac:dyDescent="0.35">
      <c r="B9152" s="853">
        <v>318182.23640280514</v>
      </c>
    </row>
    <row r="9153" spans="2:2" ht="15.5" x14ac:dyDescent="0.35">
      <c r="B9153" s="853">
        <v>393787.52150431403</v>
      </c>
    </row>
    <row r="9154" spans="2:2" ht="15.5" x14ac:dyDescent="0.35">
      <c r="B9154" s="853">
        <v>540519.92042000429</v>
      </c>
    </row>
    <row r="9155" spans="2:2" ht="15.5" x14ac:dyDescent="0.35">
      <c r="B9155" s="853">
        <v>118789.58836047645</v>
      </c>
    </row>
    <row r="9156" spans="2:2" ht="15.5" x14ac:dyDescent="0.35">
      <c r="B9156" s="853">
        <v>206540.03150773505</v>
      </c>
    </row>
    <row r="9157" spans="2:2" ht="15.5" x14ac:dyDescent="0.35">
      <c r="B9157" s="853">
        <v>333487.85216461931</v>
      </c>
    </row>
    <row r="9158" spans="2:2" ht="15.5" x14ac:dyDescent="0.35">
      <c r="B9158" s="853">
        <v>422334.59357260633</v>
      </c>
    </row>
    <row r="9159" spans="2:2" ht="15.5" x14ac:dyDescent="0.35">
      <c r="B9159" s="853">
        <v>184110.37609635567</v>
      </c>
    </row>
    <row r="9160" spans="2:2" ht="15.5" x14ac:dyDescent="0.35">
      <c r="B9160" s="853">
        <v>453244.19364094839</v>
      </c>
    </row>
    <row r="9161" spans="2:2" ht="15.5" x14ac:dyDescent="0.35">
      <c r="B9161" s="853">
        <v>237368.48079563104</v>
      </c>
    </row>
    <row r="9162" spans="2:2" ht="15.5" x14ac:dyDescent="0.35">
      <c r="B9162" s="853">
        <v>315889.89477173798</v>
      </c>
    </row>
    <row r="9163" spans="2:2" ht="15.5" x14ac:dyDescent="0.35">
      <c r="B9163" s="853">
        <v>365012.50545536197</v>
      </c>
    </row>
    <row r="9164" spans="2:2" ht="15.5" x14ac:dyDescent="0.35">
      <c r="B9164" s="853">
        <v>288068.7315362544</v>
      </c>
    </row>
    <row r="9165" spans="2:2" ht="15.5" x14ac:dyDescent="0.35">
      <c r="B9165" s="853">
        <v>291368.93759146391</v>
      </c>
    </row>
    <row r="9166" spans="2:2" ht="15.5" x14ac:dyDescent="0.35">
      <c r="B9166" s="853">
        <v>496434.26368633111</v>
      </c>
    </row>
    <row r="9167" spans="2:2" ht="15.5" x14ac:dyDescent="0.35">
      <c r="B9167" s="853">
        <v>405835.3500699717</v>
      </c>
    </row>
    <row r="9168" spans="2:2" ht="15.5" x14ac:dyDescent="0.35">
      <c r="B9168" s="853">
        <v>262879.41313517437</v>
      </c>
    </row>
    <row r="9169" spans="2:2" ht="15.5" x14ac:dyDescent="0.35">
      <c r="B9169" s="853">
        <v>371959.95134933176</v>
      </c>
    </row>
    <row r="9170" spans="2:2" ht="15.5" x14ac:dyDescent="0.35">
      <c r="B9170" s="853">
        <v>-40660.067355251835</v>
      </c>
    </row>
    <row r="9171" spans="2:2" ht="15.5" x14ac:dyDescent="0.35">
      <c r="B9171" s="853">
        <v>407969.66383770655</v>
      </c>
    </row>
    <row r="9172" spans="2:2" ht="15.5" x14ac:dyDescent="0.35">
      <c r="B9172" s="853">
        <v>547308.61599795043</v>
      </c>
    </row>
    <row r="9173" spans="2:2" ht="15.5" x14ac:dyDescent="0.35">
      <c r="B9173" s="853">
        <v>240578.27955092589</v>
      </c>
    </row>
    <row r="9174" spans="2:2" ht="15.5" x14ac:dyDescent="0.35">
      <c r="B9174" s="853">
        <v>298816.98330880736</v>
      </c>
    </row>
    <row r="9175" spans="2:2" ht="15.5" x14ac:dyDescent="0.35">
      <c r="B9175" s="853">
        <v>340636.58889342792</v>
      </c>
    </row>
    <row r="9176" spans="2:2" ht="15.5" x14ac:dyDescent="0.35">
      <c r="B9176" s="853">
        <v>482452.25734187686</v>
      </c>
    </row>
    <row r="9177" spans="2:2" ht="15.5" x14ac:dyDescent="0.35">
      <c r="B9177" s="853">
        <v>273166.2221506841</v>
      </c>
    </row>
    <row r="9178" spans="2:2" ht="15.5" x14ac:dyDescent="0.35">
      <c r="B9178" s="853">
        <v>309986.14850015898</v>
      </c>
    </row>
    <row r="9179" spans="2:2" ht="15.5" x14ac:dyDescent="0.35">
      <c r="B9179" s="853">
        <v>147349.2499366499</v>
      </c>
    </row>
    <row r="9180" spans="2:2" ht="15.5" x14ac:dyDescent="0.35">
      <c r="B9180" s="853">
        <v>271286.10323531798</v>
      </c>
    </row>
    <row r="9181" spans="2:2" ht="15.5" x14ac:dyDescent="0.35">
      <c r="B9181" s="853">
        <v>290184.61698714027</v>
      </c>
    </row>
    <row r="9182" spans="2:2" ht="15.5" x14ac:dyDescent="0.35">
      <c r="B9182" s="853">
        <v>180715.44630315647</v>
      </c>
    </row>
    <row r="9183" spans="2:2" ht="15.5" x14ac:dyDescent="0.35">
      <c r="B9183" s="853">
        <v>267383.93052635441</v>
      </c>
    </row>
    <row r="9184" spans="2:2" ht="15.5" x14ac:dyDescent="0.35">
      <c r="B9184" s="853">
        <v>272398.49540382408</v>
      </c>
    </row>
    <row r="9185" spans="2:2" ht="15.5" x14ac:dyDescent="0.35">
      <c r="B9185" s="853">
        <v>169167.56924093468</v>
      </c>
    </row>
    <row r="9186" spans="2:2" ht="15.5" x14ac:dyDescent="0.35">
      <c r="B9186" s="853">
        <v>461826.84196264017</v>
      </c>
    </row>
    <row r="9187" spans="2:2" ht="15.5" x14ac:dyDescent="0.35">
      <c r="B9187" s="853">
        <v>332049.45922172681</v>
      </c>
    </row>
    <row r="9188" spans="2:2" ht="15.5" x14ac:dyDescent="0.35">
      <c r="B9188" s="853">
        <v>70745.549336970464</v>
      </c>
    </row>
    <row r="9189" spans="2:2" ht="15.5" x14ac:dyDescent="0.35">
      <c r="B9189" s="853">
        <v>487744.30104138015</v>
      </c>
    </row>
    <row r="9190" spans="2:2" ht="15.5" x14ac:dyDescent="0.35">
      <c r="B9190" s="853">
        <v>306391.56241833145</v>
      </c>
    </row>
    <row r="9191" spans="2:2" ht="15.5" x14ac:dyDescent="0.35">
      <c r="B9191" s="853">
        <v>327228.63742610038</v>
      </c>
    </row>
    <row r="9192" spans="2:2" ht="15.5" x14ac:dyDescent="0.35">
      <c r="B9192" s="853">
        <v>457744.18332308088</v>
      </c>
    </row>
    <row r="9193" spans="2:2" ht="15.5" x14ac:dyDescent="0.35">
      <c r="B9193" s="853">
        <v>314255.99210393423</v>
      </c>
    </row>
    <row r="9194" spans="2:2" ht="15.5" x14ac:dyDescent="0.35">
      <c r="B9194" s="853">
        <v>89772.85498818419</v>
      </c>
    </row>
    <row r="9195" spans="2:2" ht="15.5" x14ac:dyDescent="0.35">
      <c r="B9195" s="853">
        <v>146476.47725117029</v>
      </c>
    </row>
    <row r="9196" spans="2:2" ht="15.5" x14ac:dyDescent="0.35">
      <c r="B9196" s="853">
        <v>398505.26793813723</v>
      </c>
    </row>
    <row r="9197" spans="2:2" ht="15.5" x14ac:dyDescent="0.35">
      <c r="B9197" s="853">
        <v>155477.78127913852</v>
      </c>
    </row>
    <row r="9198" spans="2:2" ht="15.5" x14ac:dyDescent="0.35">
      <c r="B9198" s="853">
        <v>290762.15629063139</v>
      </c>
    </row>
    <row r="9199" spans="2:2" ht="15.5" x14ac:dyDescent="0.35">
      <c r="B9199" s="853">
        <v>232504.05560239407</v>
      </c>
    </row>
    <row r="9200" spans="2:2" ht="15.5" x14ac:dyDescent="0.35">
      <c r="B9200" s="853">
        <v>355705.40020551352</v>
      </c>
    </row>
    <row r="9201" spans="2:2" ht="15.5" x14ac:dyDescent="0.35">
      <c r="B9201" s="853">
        <v>198836.72108457077</v>
      </c>
    </row>
    <row r="9202" spans="2:2" ht="15.5" x14ac:dyDescent="0.35">
      <c r="B9202" s="853">
        <v>148660.42478633689</v>
      </c>
    </row>
    <row r="9203" spans="2:2" ht="15.5" x14ac:dyDescent="0.35">
      <c r="B9203" s="853">
        <v>374660.94210143911</v>
      </c>
    </row>
    <row r="9204" spans="2:2" ht="15.5" x14ac:dyDescent="0.35">
      <c r="B9204" s="853">
        <v>323645.92635049077</v>
      </c>
    </row>
    <row r="9205" spans="2:2" ht="15.5" x14ac:dyDescent="0.35">
      <c r="B9205" s="853">
        <v>106581.86404458563</v>
      </c>
    </row>
    <row r="9206" spans="2:2" ht="15.5" x14ac:dyDescent="0.35">
      <c r="B9206" s="853">
        <v>161404.28588387583</v>
      </c>
    </row>
    <row r="9207" spans="2:2" ht="15.5" x14ac:dyDescent="0.35">
      <c r="B9207" s="853">
        <v>441605.89067400614</v>
      </c>
    </row>
    <row r="9208" spans="2:2" ht="15.5" x14ac:dyDescent="0.35">
      <c r="B9208" s="853">
        <v>361256.67658659071</v>
      </c>
    </row>
    <row r="9209" spans="2:2" ht="15.5" x14ac:dyDescent="0.35">
      <c r="B9209" s="853">
        <v>327283.64979600388</v>
      </c>
    </row>
    <row r="9210" spans="2:2" ht="15.5" x14ac:dyDescent="0.35">
      <c r="B9210" s="853">
        <v>407209.93086343573</v>
      </c>
    </row>
    <row r="9211" spans="2:2" ht="15.5" x14ac:dyDescent="0.35">
      <c r="B9211" s="853">
        <v>367193.7027514588</v>
      </c>
    </row>
    <row r="9212" spans="2:2" ht="15.5" x14ac:dyDescent="0.35">
      <c r="B9212" s="853">
        <v>191110.93683607166</v>
      </c>
    </row>
    <row r="9213" spans="2:2" ht="15.5" x14ac:dyDescent="0.35">
      <c r="B9213" s="853">
        <v>541950.72268838063</v>
      </c>
    </row>
    <row r="9214" spans="2:2" ht="15.5" x14ac:dyDescent="0.35">
      <c r="B9214" s="853">
        <v>346987.2660590983</v>
      </c>
    </row>
    <row r="9215" spans="2:2" ht="15.5" x14ac:dyDescent="0.35">
      <c r="B9215" s="853">
        <v>247515.93472070288</v>
      </c>
    </row>
    <row r="9216" spans="2:2" ht="15.5" x14ac:dyDescent="0.35">
      <c r="B9216" s="853">
        <v>448937.77313373331</v>
      </c>
    </row>
    <row r="9217" spans="2:2" ht="15.5" x14ac:dyDescent="0.35">
      <c r="B9217" s="853">
        <v>518228.76344808901</v>
      </c>
    </row>
    <row r="9218" spans="2:2" ht="15.5" x14ac:dyDescent="0.35">
      <c r="B9218" s="853">
        <v>-30359.782839864816</v>
      </c>
    </row>
    <row r="9219" spans="2:2" ht="15.5" x14ac:dyDescent="0.35">
      <c r="B9219" s="853">
        <v>416218.1170158711</v>
      </c>
    </row>
    <row r="9220" spans="2:2" ht="15.5" x14ac:dyDescent="0.35">
      <c r="B9220" s="853">
        <v>180098.63633161632</v>
      </c>
    </row>
    <row r="9221" spans="2:2" ht="15.5" x14ac:dyDescent="0.35">
      <c r="B9221" s="853">
        <v>184321.77747610334</v>
      </c>
    </row>
    <row r="9222" spans="2:2" ht="15.5" x14ac:dyDescent="0.35">
      <c r="B9222" s="853">
        <v>292883.46434906643</v>
      </c>
    </row>
    <row r="9223" spans="2:2" ht="15.5" x14ac:dyDescent="0.35">
      <c r="B9223" s="853">
        <v>334106.74785897072</v>
      </c>
    </row>
    <row r="9224" spans="2:2" ht="15.5" x14ac:dyDescent="0.35">
      <c r="B9224" s="853">
        <v>564671.58660476911</v>
      </c>
    </row>
    <row r="9225" spans="2:2" ht="15.5" x14ac:dyDescent="0.35">
      <c r="B9225" s="853">
        <v>333849.12932197365</v>
      </c>
    </row>
    <row r="9226" spans="2:2" ht="15.5" x14ac:dyDescent="0.35">
      <c r="B9226" s="853">
        <v>398535.90029903222</v>
      </c>
    </row>
    <row r="9227" spans="2:2" ht="15.5" x14ac:dyDescent="0.35">
      <c r="B9227" s="853">
        <v>395524.68941111997</v>
      </c>
    </row>
    <row r="9228" spans="2:2" ht="15.5" x14ac:dyDescent="0.35">
      <c r="B9228" s="853">
        <v>293576.48155399697</v>
      </c>
    </row>
    <row r="9229" spans="2:2" ht="15.5" x14ac:dyDescent="0.35">
      <c r="B9229" s="853">
        <v>136930.59041354663</v>
      </c>
    </row>
    <row r="9230" spans="2:2" ht="15.5" x14ac:dyDescent="0.35">
      <c r="B9230" s="853">
        <v>333060.38390511845</v>
      </c>
    </row>
    <row r="9231" spans="2:2" ht="15.5" x14ac:dyDescent="0.35">
      <c r="B9231" s="853">
        <v>190061.86600303656</v>
      </c>
    </row>
    <row r="9232" spans="2:2" ht="15.5" x14ac:dyDescent="0.35">
      <c r="B9232" s="853">
        <v>268743.10252287658</v>
      </c>
    </row>
    <row r="9233" spans="2:2" ht="15.5" x14ac:dyDescent="0.35">
      <c r="B9233" s="853">
        <v>230606.17082378891</v>
      </c>
    </row>
    <row r="9234" spans="2:2" ht="15.5" x14ac:dyDescent="0.35">
      <c r="B9234" s="853">
        <v>350825.30346534081</v>
      </c>
    </row>
    <row r="9235" spans="2:2" ht="15.5" x14ac:dyDescent="0.35">
      <c r="B9235" s="853">
        <v>141534.74157662533</v>
      </c>
    </row>
    <row r="9236" spans="2:2" ht="15.5" x14ac:dyDescent="0.35">
      <c r="B9236" s="853">
        <v>191006.13554865509</v>
      </c>
    </row>
    <row r="9237" spans="2:2" ht="15.5" x14ac:dyDescent="0.35">
      <c r="B9237" s="853">
        <v>303231.99032456271</v>
      </c>
    </row>
    <row r="9238" spans="2:2" ht="15.5" x14ac:dyDescent="0.35">
      <c r="B9238" s="853">
        <v>264535.05778835737</v>
      </c>
    </row>
    <row r="9239" spans="2:2" ht="15.5" x14ac:dyDescent="0.35">
      <c r="B9239" s="853">
        <v>183470.69383257846</v>
      </c>
    </row>
    <row r="9240" spans="2:2" ht="15.5" x14ac:dyDescent="0.35">
      <c r="B9240" s="853">
        <v>309802.44213485491</v>
      </c>
    </row>
    <row r="9241" spans="2:2" ht="15.5" x14ac:dyDescent="0.35">
      <c r="B9241" s="853">
        <v>210585.97437143698</v>
      </c>
    </row>
    <row r="9242" spans="2:2" ht="15.5" x14ac:dyDescent="0.35">
      <c r="B9242" s="853">
        <v>221496.46500193569</v>
      </c>
    </row>
    <row r="9243" spans="2:2" ht="15.5" x14ac:dyDescent="0.35">
      <c r="B9243" s="853">
        <v>646898.64706596022</v>
      </c>
    </row>
    <row r="9244" spans="2:2" ht="15.5" x14ac:dyDescent="0.35">
      <c r="B9244" s="853">
        <v>413187.21171615267</v>
      </c>
    </row>
    <row r="9245" spans="2:2" ht="15.5" x14ac:dyDescent="0.35">
      <c r="B9245" s="853">
        <v>189385.64085479925</v>
      </c>
    </row>
    <row r="9246" spans="2:2" ht="15.5" x14ac:dyDescent="0.35">
      <c r="B9246" s="853">
        <v>78891.757060665244</v>
      </c>
    </row>
    <row r="9247" spans="2:2" ht="15.5" x14ac:dyDescent="0.35">
      <c r="B9247" s="853">
        <v>241230.94373840358</v>
      </c>
    </row>
    <row r="9248" spans="2:2" ht="15.5" x14ac:dyDescent="0.35">
      <c r="B9248" s="853">
        <v>401085.56223106111</v>
      </c>
    </row>
    <row r="9249" spans="2:2" ht="15.5" x14ac:dyDescent="0.35">
      <c r="B9249" s="853">
        <v>253758.33973243888</v>
      </c>
    </row>
    <row r="9250" spans="2:2" ht="15.5" x14ac:dyDescent="0.35">
      <c r="B9250" s="853">
        <v>84632.979157214591</v>
      </c>
    </row>
    <row r="9251" spans="2:2" ht="15.5" x14ac:dyDescent="0.35">
      <c r="B9251" s="853">
        <v>277621.83503654157</v>
      </c>
    </row>
    <row r="9252" spans="2:2" ht="15.5" x14ac:dyDescent="0.35">
      <c r="B9252" s="853">
        <v>280763.85759417788</v>
      </c>
    </row>
    <row r="9253" spans="2:2" ht="15.5" x14ac:dyDescent="0.35">
      <c r="B9253" s="853">
        <v>167731.99398072509</v>
      </c>
    </row>
    <row r="9254" spans="2:2" ht="15.5" x14ac:dyDescent="0.35">
      <c r="B9254" s="853">
        <v>236799.41132627209</v>
      </c>
    </row>
    <row r="9255" spans="2:2" ht="15.5" x14ac:dyDescent="0.35">
      <c r="B9255" s="853">
        <v>279428.9337478269</v>
      </c>
    </row>
    <row r="9256" spans="2:2" ht="15.5" x14ac:dyDescent="0.35">
      <c r="B9256" s="853">
        <v>537367.54032146069</v>
      </c>
    </row>
    <row r="9257" spans="2:2" ht="15.5" x14ac:dyDescent="0.35">
      <c r="B9257" s="853">
        <v>111999.11866412041</v>
      </c>
    </row>
    <row r="9258" spans="2:2" ht="15.5" x14ac:dyDescent="0.35">
      <c r="B9258" s="853">
        <v>-38265.308604559861</v>
      </c>
    </row>
    <row r="9259" spans="2:2" ht="15.5" x14ac:dyDescent="0.35">
      <c r="B9259" s="853">
        <v>739363.1690405315</v>
      </c>
    </row>
    <row r="9260" spans="2:2" ht="15.5" x14ac:dyDescent="0.35">
      <c r="B9260" s="853">
        <v>396452.27395165223</v>
      </c>
    </row>
    <row r="9261" spans="2:2" ht="15.5" x14ac:dyDescent="0.35">
      <c r="B9261" s="853">
        <v>350208.19774593541</v>
      </c>
    </row>
    <row r="9262" spans="2:2" ht="15.5" x14ac:dyDescent="0.35">
      <c r="B9262" s="853">
        <v>334227.90869801579</v>
      </c>
    </row>
    <row r="9263" spans="2:2" ht="15.5" x14ac:dyDescent="0.35">
      <c r="B9263" s="853">
        <v>700833.2398697125</v>
      </c>
    </row>
    <row r="9264" spans="2:2" ht="15.5" x14ac:dyDescent="0.35">
      <c r="B9264" s="853">
        <v>677710.59245163819</v>
      </c>
    </row>
    <row r="9265" spans="2:2" ht="15.5" x14ac:dyDescent="0.35">
      <c r="B9265" s="853">
        <v>242104.50339938528</v>
      </c>
    </row>
    <row r="9266" spans="2:2" ht="15.5" x14ac:dyDescent="0.35">
      <c r="B9266" s="853">
        <v>321805.70906951133</v>
      </c>
    </row>
    <row r="9267" spans="2:2" ht="15.5" x14ac:dyDescent="0.35">
      <c r="B9267" s="853">
        <v>188683.32062423319</v>
      </c>
    </row>
    <row r="9268" spans="2:2" ht="15.5" x14ac:dyDescent="0.35">
      <c r="B9268" s="853">
        <v>445379.29233386397</v>
      </c>
    </row>
    <row r="9269" spans="2:2" ht="15.5" x14ac:dyDescent="0.35">
      <c r="B9269" s="853">
        <v>604906.4639106578</v>
      </c>
    </row>
    <row r="9270" spans="2:2" ht="15.5" x14ac:dyDescent="0.35">
      <c r="B9270" s="853">
        <v>263747.05280389183</v>
      </c>
    </row>
    <row r="9271" spans="2:2" ht="15.5" x14ac:dyDescent="0.35">
      <c r="B9271" s="853">
        <v>269650.48664114659</v>
      </c>
    </row>
    <row r="9272" spans="2:2" ht="15.5" x14ac:dyDescent="0.35">
      <c r="B9272" s="853">
        <v>247658.41791921845</v>
      </c>
    </row>
    <row r="9273" spans="2:2" ht="15.5" x14ac:dyDescent="0.35">
      <c r="B9273" s="853">
        <v>296137.15783177863</v>
      </c>
    </row>
    <row r="9274" spans="2:2" ht="15.5" x14ac:dyDescent="0.35">
      <c r="B9274" s="853">
        <v>587079.7350201353</v>
      </c>
    </row>
    <row r="9275" spans="2:2" ht="15.5" x14ac:dyDescent="0.35">
      <c r="B9275" s="853">
        <v>342759.32132264867</v>
      </c>
    </row>
    <row r="9276" spans="2:2" ht="15.5" x14ac:dyDescent="0.35">
      <c r="B9276" s="853">
        <v>271322.86400323024</v>
      </c>
    </row>
    <row r="9277" spans="2:2" ht="15.5" x14ac:dyDescent="0.35">
      <c r="B9277" s="853">
        <v>382265.05633087677</v>
      </c>
    </row>
    <row r="9278" spans="2:2" ht="15.5" x14ac:dyDescent="0.35">
      <c r="B9278" s="853">
        <v>339995.38934083766</v>
      </c>
    </row>
    <row r="9279" spans="2:2" ht="15.5" x14ac:dyDescent="0.35">
      <c r="B9279" s="853">
        <v>397195.74082466681</v>
      </c>
    </row>
    <row r="9280" spans="2:2" ht="15.5" x14ac:dyDescent="0.35">
      <c r="B9280" s="853">
        <v>219671.52691956141</v>
      </c>
    </row>
    <row r="9281" spans="2:2" ht="15.5" x14ac:dyDescent="0.35">
      <c r="B9281" s="853">
        <v>496606.11116334877</v>
      </c>
    </row>
    <row r="9282" spans="2:2" ht="15.5" x14ac:dyDescent="0.35">
      <c r="B9282" s="853">
        <v>82596.375600978441</v>
      </c>
    </row>
    <row r="9283" spans="2:2" ht="15.5" x14ac:dyDescent="0.35">
      <c r="B9283" s="853">
        <v>111121.16750528633</v>
      </c>
    </row>
    <row r="9284" spans="2:2" ht="15.5" x14ac:dyDescent="0.35">
      <c r="B9284" s="853">
        <v>478447.41922893713</v>
      </c>
    </row>
    <row r="9285" spans="2:2" ht="15.5" x14ac:dyDescent="0.35">
      <c r="B9285" s="853">
        <v>135011.54375026689</v>
      </c>
    </row>
    <row r="9286" spans="2:2" ht="15.5" x14ac:dyDescent="0.35">
      <c r="B9286" s="853">
        <v>196613.20616727648</v>
      </c>
    </row>
    <row r="9287" spans="2:2" ht="15.5" x14ac:dyDescent="0.35">
      <c r="B9287" s="853">
        <v>278932.45948612841</v>
      </c>
    </row>
    <row r="9288" spans="2:2" ht="15.5" x14ac:dyDescent="0.35">
      <c r="B9288" s="853">
        <v>208547.44107718603</v>
      </c>
    </row>
    <row r="9289" spans="2:2" ht="15.5" x14ac:dyDescent="0.35">
      <c r="B9289" s="853">
        <v>270617.05296776339</v>
      </c>
    </row>
    <row r="9290" spans="2:2" ht="15.5" x14ac:dyDescent="0.35">
      <c r="B9290" s="853">
        <v>350958.92735539598</v>
      </c>
    </row>
    <row r="9291" spans="2:2" ht="15.5" x14ac:dyDescent="0.35">
      <c r="B9291" s="853">
        <v>333011.30838557042</v>
      </c>
    </row>
    <row r="9292" spans="2:2" ht="15.5" x14ac:dyDescent="0.35">
      <c r="B9292" s="853">
        <v>497447.37484790967</v>
      </c>
    </row>
    <row r="9293" spans="2:2" ht="15.5" x14ac:dyDescent="0.35">
      <c r="B9293" s="853">
        <v>657145.61900075618</v>
      </c>
    </row>
    <row r="9294" spans="2:2" ht="15.5" x14ac:dyDescent="0.35">
      <c r="B9294" s="853">
        <v>395240.58638959256</v>
      </c>
    </row>
    <row r="9295" spans="2:2" ht="15.5" x14ac:dyDescent="0.35">
      <c r="B9295" s="853">
        <v>297991.81822587963</v>
      </c>
    </row>
    <row r="9296" spans="2:2" ht="15.5" x14ac:dyDescent="0.35">
      <c r="B9296" s="853">
        <v>-133217.6784989459</v>
      </c>
    </row>
    <row r="9297" spans="2:2" ht="15.5" x14ac:dyDescent="0.35">
      <c r="B9297" s="853">
        <v>239759.70921107571</v>
      </c>
    </row>
    <row r="9298" spans="2:2" ht="15.5" x14ac:dyDescent="0.35">
      <c r="B9298" s="853">
        <v>277057.45084061479</v>
      </c>
    </row>
    <row r="9299" spans="2:2" ht="15.5" x14ac:dyDescent="0.35">
      <c r="B9299" s="853">
        <v>505317.26751392538</v>
      </c>
    </row>
    <row r="9300" spans="2:2" ht="15.5" x14ac:dyDescent="0.35">
      <c r="B9300" s="853">
        <v>151288.56213105525</v>
      </c>
    </row>
    <row r="9301" spans="2:2" ht="15.5" x14ac:dyDescent="0.35">
      <c r="B9301" s="853">
        <v>267940.21882954123</v>
      </c>
    </row>
    <row r="9302" spans="2:2" ht="15.5" x14ac:dyDescent="0.35">
      <c r="B9302" s="853">
        <v>314805.61673457263</v>
      </c>
    </row>
    <row r="9303" spans="2:2" ht="15.5" x14ac:dyDescent="0.35">
      <c r="B9303" s="853">
        <v>198587.05739731024</v>
      </c>
    </row>
    <row r="9304" spans="2:2" ht="15.5" x14ac:dyDescent="0.35">
      <c r="B9304" s="853">
        <v>640163.6567801662</v>
      </c>
    </row>
    <row r="9305" spans="2:2" ht="15.5" x14ac:dyDescent="0.35">
      <c r="B9305" s="853">
        <v>225457.92000160812</v>
      </c>
    </row>
    <row r="9306" spans="2:2" ht="15.5" x14ac:dyDescent="0.35">
      <c r="B9306" s="853">
        <v>170889.71307644423</v>
      </c>
    </row>
    <row r="9307" spans="2:2" ht="15.5" x14ac:dyDescent="0.35">
      <c r="B9307" s="853">
        <v>361005.59674681915</v>
      </c>
    </row>
    <row r="9308" spans="2:2" ht="15.5" x14ac:dyDescent="0.35">
      <c r="B9308" s="853">
        <v>510917.17559720686</v>
      </c>
    </row>
    <row r="9309" spans="2:2" ht="15.5" x14ac:dyDescent="0.35">
      <c r="B9309" s="853">
        <v>505598.58545480098</v>
      </c>
    </row>
    <row r="9310" spans="2:2" ht="15.5" x14ac:dyDescent="0.35">
      <c r="B9310" s="853">
        <v>171462.02399322906</v>
      </c>
    </row>
    <row r="9311" spans="2:2" ht="15.5" x14ac:dyDescent="0.35">
      <c r="B9311" s="853">
        <v>553200.34646119631</v>
      </c>
    </row>
    <row r="9312" spans="2:2" ht="15.5" x14ac:dyDescent="0.35">
      <c r="B9312" s="853">
        <v>158652.47661869449</v>
      </c>
    </row>
    <row r="9313" spans="2:2" ht="15.5" x14ac:dyDescent="0.35">
      <c r="B9313" s="853">
        <v>341887.64110375213</v>
      </c>
    </row>
    <row r="9314" spans="2:2" ht="15.5" x14ac:dyDescent="0.35">
      <c r="B9314" s="853">
        <v>25942.676780889207</v>
      </c>
    </row>
    <row r="9315" spans="2:2" ht="15.5" x14ac:dyDescent="0.35">
      <c r="B9315" s="853">
        <v>59258.445007235678</v>
      </c>
    </row>
    <row r="9316" spans="2:2" ht="15.5" x14ac:dyDescent="0.35">
      <c r="B9316" s="853">
        <v>363431.08886379178</v>
      </c>
    </row>
    <row r="9317" spans="2:2" ht="15.5" x14ac:dyDescent="0.35">
      <c r="B9317" s="853">
        <v>399183.48750354093</v>
      </c>
    </row>
    <row r="9318" spans="2:2" ht="15.5" x14ac:dyDescent="0.35">
      <c r="B9318" s="853">
        <v>428823.96675807278</v>
      </c>
    </row>
    <row r="9319" spans="2:2" ht="15.5" x14ac:dyDescent="0.35">
      <c r="B9319" s="853">
        <v>157567.908779791</v>
      </c>
    </row>
    <row r="9320" spans="2:2" ht="15.5" x14ac:dyDescent="0.35">
      <c r="B9320" s="853">
        <v>103908.48931569236</v>
      </c>
    </row>
    <row r="9321" spans="2:2" ht="15.5" x14ac:dyDescent="0.35">
      <c r="B9321" s="853">
        <v>231132.96412323724</v>
      </c>
    </row>
    <row r="9322" spans="2:2" ht="15.5" x14ac:dyDescent="0.35">
      <c r="B9322" s="853">
        <v>324693.39929058898</v>
      </c>
    </row>
    <row r="9323" spans="2:2" ht="15.5" x14ac:dyDescent="0.35">
      <c r="B9323" s="853">
        <v>195604.67234576051</v>
      </c>
    </row>
    <row r="9324" spans="2:2" ht="15.5" x14ac:dyDescent="0.35">
      <c r="B9324" s="853">
        <v>237665.38411865581</v>
      </c>
    </row>
    <row r="9325" spans="2:2" ht="15.5" x14ac:dyDescent="0.35">
      <c r="B9325" s="853">
        <v>260079.59474081904</v>
      </c>
    </row>
    <row r="9326" spans="2:2" ht="15.5" x14ac:dyDescent="0.35">
      <c r="B9326" s="853">
        <v>617098.99823473941</v>
      </c>
    </row>
    <row r="9327" spans="2:2" ht="15.5" x14ac:dyDescent="0.35">
      <c r="B9327" s="853">
        <v>410576.97793624608</v>
      </c>
    </row>
    <row r="9328" spans="2:2" ht="15.5" x14ac:dyDescent="0.35">
      <c r="B9328" s="853">
        <v>238307.79651183315</v>
      </c>
    </row>
    <row r="9329" spans="2:2" ht="15.5" x14ac:dyDescent="0.35">
      <c r="B9329" s="853">
        <v>178026.90982121765</v>
      </c>
    </row>
    <row r="9330" spans="2:2" ht="15.5" x14ac:dyDescent="0.35">
      <c r="B9330" s="853">
        <v>433314.00219628913</v>
      </c>
    </row>
    <row r="9331" spans="2:2" ht="15.5" x14ac:dyDescent="0.35">
      <c r="B9331" s="853">
        <v>556320.72993834107</v>
      </c>
    </row>
    <row r="9332" spans="2:2" ht="15.5" x14ac:dyDescent="0.35">
      <c r="B9332" s="853">
        <v>335935.43110159738</v>
      </c>
    </row>
    <row r="9333" spans="2:2" ht="15.5" x14ac:dyDescent="0.35">
      <c r="B9333" s="853">
        <v>249111.0322214211</v>
      </c>
    </row>
    <row r="9334" spans="2:2" ht="15.5" x14ac:dyDescent="0.35">
      <c r="B9334" s="853">
        <v>395670.55508511595</v>
      </c>
    </row>
    <row r="9335" spans="2:2" ht="15.5" x14ac:dyDescent="0.35">
      <c r="B9335" s="853">
        <v>70859.744930856134</v>
      </c>
    </row>
    <row r="9336" spans="2:2" ht="15.5" x14ac:dyDescent="0.35">
      <c r="B9336" s="853">
        <v>202705.79107553081</v>
      </c>
    </row>
    <row r="9337" spans="2:2" ht="15.5" x14ac:dyDescent="0.35">
      <c r="B9337" s="853">
        <v>-27346.302570261993</v>
      </c>
    </row>
    <row r="9338" spans="2:2" ht="15.5" x14ac:dyDescent="0.35">
      <c r="B9338" s="853">
        <v>454739.46989460115</v>
      </c>
    </row>
    <row r="9339" spans="2:2" ht="15.5" x14ac:dyDescent="0.35">
      <c r="B9339" s="853">
        <v>383021.22891114565</v>
      </c>
    </row>
    <row r="9340" spans="2:2" ht="15.5" x14ac:dyDescent="0.35">
      <c r="B9340" s="853">
        <v>304096.99908989406</v>
      </c>
    </row>
    <row r="9341" spans="2:2" ht="15.5" x14ac:dyDescent="0.35">
      <c r="B9341" s="853">
        <v>297797.43972596235</v>
      </c>
    </row>
    <row r="9342" spans="2:2" ht="15.5" x14ac:dyDescent="0.35">
      <c r="B9342" s="853">
        <v>330461.08406356414</v>
      </c>
    </row>
    <row r="9343" spans="2:2" ht="15.5" x14ac:dyDescent="0.35">
      <c r="B9343" s="853">
        <v>541041.38513439219</v>
      </c>
    </row>
    <row r="9344" spans="2:2" ht="15.5" x14ac:dyDescent="0.35">
      <c r="B9344" s="853">
        <v>237933.43668015802</v>
      </c>
    </row>
    <row r="9345" spans="2:2" ht="15.5" x14ac:dyDescent="0.35">
      <c r="B9345" s="853">
        <v>486156.54115567059</v>
      </c>
    </row>
    <row r="9346" spans="2:2" ht="15.5" x14ac:dyDescent="0.35">
      <c r="B9346" s="853">
        <v>474373.59728219669</v>
      </c>
    </row>
    <row r="9347" spans="2:2" ht="15.5" x14ac:dyDescent="0.35">
      <c r="B9347" s="853">
        <v>313157.02994430315</v>
      </c>
    </row>
    <row r="9348" spans="2:2" ht="15.5" x14ac:dyDescent="0.35">
      <c r="B9348" s="853">
        <v>507824.74508655799</v>
      </c>
    </row>
    <row r="9349" spans="2:2" ht="15.5" x14ac:dyDescent="0.35">
      <c r="B9349" s="853">
        <v>278170.51072913047</v>
      </c>
    </row>
    <row r="9350" spans="2:2" ht="15.5" x14ac:dyDescent="0.35">
      <c r="B9350" s="853">
        <v>316163.51090953505</v>
      </c>
    </row>
    <row r="9351" spans="2:2" ht="15.5" x14ac:dyDescent="0.35">
      <c r="B9351" s="853">
        <v>163695.22768412216</v>
      </c>
    </row>
    <row r="9352" spans="2:2" ht="15.5" x14ac:dyDescent="0.35">
      <c r="B9352" s="853">
        <v>-4863.7965301466984</v>
      </c>
    </row>
    <row r="9353" spans="2:2" ht="15.5" x14ac:dyDescent="0.35">
      <c r="B9353" s="853">
        <v>433585.83199392277</v>
      </c>
    </row>
    <row r="9354" spans="2:2" ht="15.5" x14ac:dyDescent="0.35">
      <c r="B9354" s="853">
        <v>93980.559275193606</v>
      </c>
    </row>
    <row r="9355" spans="2:2" ht="15.5" x14ac:dyDescent="0.35">
      <c r="B9355" s="853">
        <v>259217.77407532174</v>
      </c>
    </row>
    <row r="9356" spans="2:2" ht="15.5" x14ac:dyDescent="0.35">
      <c r="B9356" s="853">
        <v>312606.66962182632</v>
      </c>
    </row>
    <row r="9357" spans="2:2" ht="15.5" x14ac:dyDescent="0.35">
      <c r="B9357" s="853">
        <v>208578.94599133782</v>
      </c>
    </row>
    <row r="9358" spans="2:2" ht="15.5" x14ac:dyDescent="0.35">
      <c r="B9358" s="853">
        <v>405830.22362944717</v>
      </c>
    </row>
    <row r="9359" spans="2:2" ht="15.5" x14ac:dyDescent="0.35">
      <c r="B9359" s="853">
        <v>662630.87087286985</v>
      </c>
    </row>
    <row r="9360" spans="2:2" ht="15.5" x14ac:dyDescent="0.35">
      <c r="B9360" s="853">
        <v>250456.52473964632</v>
      </c>
    </row>
    <row r="9361" spans="2:2" ht="15.5" x14ac:dyDescent="0.35">
      <c r="B9361" s="853">
        <v>384392.22095929645</v>
      </c>
    </row>
    <row r="9362" spans="2:2" ht="15.5" x14ac:dyDescent="0.35">
      <c r="B9362" s="853">
        <v>260023.82441181503</v>
      </c>
    </row>
    <row r="9363" spans="2:2" ht="15.5" x14ac:dyDescent="0.35">
      <c r="B9363" s="853">
        <v>99396.517149686406</v>
      </c>
    </row>
    <row r="9364" spans="2:2" ht="15.5" x14ac:dyDescent="0.35">
      <c r="B9364" s="853">
        <v>204181.20469474059</v>
      </c>
    </row>
    <row r="9365" spans="2:2" ht="15.5" x14ac:dyDescent="0.35">
      <c r="B9365" s="853">
        <v>263124.80293227668</v>
      </c>
    </row>
    <row r="9366" spans="2:2" ht="15.5" x14ac:dyDescent="0.35">
      <c r="B9366" s="853">
        <v>361891.7115133953</v>
      </c>
    </row>
    <row r="9367" spans="2:2" ht="15.5" x14ac:dyDescent="0.35">
      <c r="B9367" s="853">
        <v>441124.07239571365</v>
      </c>
    </row>
    <row r="9368" spans="2:2" ht="15.5" x14ac:dyDescent="0.35">
      <c r="B9368" s="853">
        <v>406458.40200252237</v>
      </c>
    </row>
    <row r="9369" spans="2:2" ht="15.5" x14ac:dyDescent="0.35">
      <c r="B9369" s="853">
        <v>194316.03380491372</v>
      </c>
    </row>
    <row r="9370" spans="2:2" ht="15.5" x14ac:dyDescent="0.35">
      <c r="B9370" s="853">
        <v>157224.06500366906</v>
      </c>
    </row>
    <row r="9371" spans="2:2" ht="15.5" x14ac:dyDescent="0.35">
      <c r="B9371" s="853">
        <v>262781.09694252803</v>
      </c>
    </row>
    <row r="9372" spans="2:2" ht="15.5" x14ac:dyDescent="0.35">
      <c r="B9372" s="853">
        <v>453380.78345729574</v>
      </c>
    </row>
    <row r="9373" spans="2:2" ht="15.5" x14ac:dyDescent="0.35">
      <c r="B9373" s="853">
        <v>532216.46957474353</v>
      </c>
    </row>
    <row r="9374" spans="2:2" ht="15.5" x14ac:dyDescent="0.35">
      <c r="B9374" s="853">
        <v>240649.2253473032</v>
      </c>
    </row>
    <row r="9375" spans="2:2" ht="15.5" x14ac:dyDescent="0.35">
      <c r="B9375" s="853">
        <v>347567.46807132394</v>
      </c>
    </row>
    <row r="9376" spans="2:2" ht="15.5" x14ac:dyDescent="0.35">
      <c r="B9376" s="853">
        <v>43460.761096613671</v>
      </c>
    </row>
    <row r="9377" spans="2:2" ht="15.5" x14ac:dyDescent="0.35">
      <c r="B9377" s="853">
        <v>351176.79914477246</v>
      </c>
    </row>
    <row r="9378" spans="2:2" ht="15.5" x14ac:dyDescent="0.35">
      <c r="B9378" s="853">
        <v>180836.00916384507</v>
      </c>
    </row>
    <row r="9379" spans="2:2" ht="15.5" x14ac:dyDescent="0.35">
      <c r="B9379" s="853">
        <v>90324.551167019235</v>
      </c>
    </row>
    <row r="9380" spans="2:2" ht="15.5" x14ac:dyDescent="0.35">
      <c r="B9380" s="853">
        <v>452563.72597115766</v>
      </c>
    </row>
    <row r="9381" spans="2:2" ht="15.5" x14ac:dyDescent="0.35">
      <c r="B9381" s="853">
        <v>301379.09714149626</v>
      </c>
    </row>
    <row r="9382" spans="2:2" ht="15.5" x14ac:dyDescent="0.35">
      <c r="B9382" s="853">
        <v>202994.26554995487</v>
      </c>
    </row>
    <row r="9383" spans="2:2" ht="15.5" x14ac:dyDescent="0.35">
      <c r="B9383" s="853">
        <v>459712.05199705821</v>
      </c>
    </row>
    <row r="9384" spans="2:2" ht="15.5" x14ac:dyDescent="0.35">
      <c r="B9384" s="853">
        <v>270271.85537116975</v>
      </c>
    </row>
    <row r="9385" spans="2:2" ht="15.5" x14ac:dyDescent="0.35">
      <c r="B9385" s="853">
        <v>389896.47073364444</v>
      </c>
    </row>
    <row r="9386" spans="2:2" ht="15.5" x14ac:dyDescent="0.35">
      <c r="B9386" s="853">
        <v>572325.90205435047</v>
      </c>
    </row>
    <row r="9387" spans="2:2" ht="15.5" x14ac:dyDescent="0.35">
      <c r="B9387" s="853">
        <v>237336.44588246843</v>
      </c>
    </row>
    <row r="9388" spans="2:2" ht="15.5" x14ac:dyDescent="0.35">
      <c r="B9388" s="853">
        <v>238343.90677332162</v>
      </c>
    </row>
    <row r="9389" spans="2:2" ht="15.5" x14ac:dyDescent="0.35">
      <c r="B9389" s="853">
        <v>293622.15036744263</v>
      </c>
    </row>
    <row r="9390" spans="2:2" ht="15.5" x14ac:dyDescent="0.35">
      <c r="B9390" s="853">
        <v>480505.45635602484</v>
      </c>
    </row>
    <row r="9391" spans="2:2" ht="15.5" x14ac:dyDescent="0.35">
      <c r="B9391" s="853">
        <v>48625.681979617635</v>
      </c>
    </row>
    <row r="9392" spans="2:2" ht="15.5" x14ac:dyDescent="0.35">
      <c r="B9392" s="853">
        <v>395926.655997389</v>
      </c>
    </row>
    <row r="9393" spans="2:2" ht="15.5" x14ac:dyDescent="0.35">
      <c r="B9393" s="853">
        <v>84951.296845579214</v>
      </c>
    </row>
    <row r="9394" spans="2:2" ht="15.5" x14ac:dyDescent="0.35">
      <c r="B9394" s="853">
        <v>379137.76788739784</v>
      </c>
    </row>
    <row r="9395" spans="2:2" ht="15.5" x14ac:dyDescent="0.35">
      <c r="B9395" s="853">
        <v>251175.76355443205</v>
      </c>
    </row>
    <row r="9396" spans="2:2" ht="15.5" x14ac:dyDescent="0.35">
      <c r="B9396" s="853">
        <v>386464.04705074074</v>
      </c>
    </row>
    <row r="9397" spans="2:2" ht="15.5" x14ac:dyDescent="0.35">
      <c r="B9397" s="853">
        <v>367998.49787602224</v>
      </c>
    </row>
    <row r="9398" spans="2:2" ht="15.5" x14ac:dyDescent="0.35">
      <c r="B9398" s="853">
        <v>321416.73736673943</v>
      </c>
    </row>
    <row r="9399" spans="2:2" ht="15.5" x14ac:dyDescent="0.35">
      <c r="B9399" s="853">
        <v>150792.98028794449</v>
      </c>
    </row>
    <row r="9400" spans="2:2" ht="15.5" x14ac:dyDescent="0.35">
      <c r="B9400" s="853">
        <v>258584.08409434065</v>
      </c>
    </row>
    <row r="9401" spans="2:2" ht="15.5" x14ac:dyDescent="0.35">
      <c r="B9401" s="853">
        <v>375134.12940733472</v>
      </c>
    </row>
    <row r="9402" spans="2:2" ht="15.5" x14ac:dyDescent="0.35">
      <c r="B9402" s="853">
        <v>228369.630660222</v>
      </c>
    </row>
    <row r="9403" spans="2:2" ht="15.5" x14ac:dyDescent="0.35">
      <c r="B9403" s="853">
        <v>404559.49000389926</v>
      </c>
    </row>
    <row r="9404" spans="2:2" ht="15.5" x14ac:dyDescent="0.35">
      <c r="B9404" s="853">
        <v>49242.572814997475</v>
      </c>
    </row>
    <row r="9405" spans="2:2" ht="15.5" x14ac:dyDescent="0.35">
      <c r="B9405" s="853">
        <v>576899.74400965194</v>
      </c>
    </row>
    <row r="9406" spans="2:2" ht="15.5" x14ac:dyDescent="0.35">
      <c r="B9406" s="853">
        <v>357003.73350889841</v>
      </c>
    </row>
    <row r="9407" spans="2:2" ht="15.5" x14ac:dyDescent="0.35">
      <c r="B9407" s="853">
        <v>136776.51898227201</v>
      </c>
    </row>
    <row r="9408" spans="2:2" ht="15.5" x14ac:dyDescent="0.35">
      <c r="B9408" s="853">
        <v>20050.498474714484</v>
      </c>
    </row>
    <row r="9409" spans="2:2" ht="15.5" x14ac:dyDescent="0.35">
      <c r="B9409" s="853">
        <v>521989.42764830805</v>
      </c>
    </row>
    <row r="9410" spans="2:2" ht="15.5" x14ac:dyDescent="0.35">
      <c r="B9410" s="853">
        <v>201418.06901708042</v>
      </c>
    </row>
    <row r="9411" spans="2:2" ht="15.5" x14ac:dyDescent="0.35">
      <c r="B9411" s="853">
        <v>398759.05318091839</v>
      </c>
    </row>
    <row r="9412" spans="2:2" ht="15.5" x14ac:dyDescent="0.35">
      <c r="B9412" s="853">
        <v>465511.52027794311</v>
      </c>
    </row>
    <row r="9413" spans="2:2" ht="15.5" x14ac:dyDescent="0.35">
      <c r="B9413" s="853">
        <v>324369.91425931989</v>
      </c>
    </row>
    <row r="9414" spans="2:2" ht="15.5" x14ac:dyDescent="0.35">
      <c r="B9414" s="853">
        <v>260050.49974980732</v>
      </c>
    </row>
    <row r="9415" spans="2:2" ht="15.5" x14ac:dyDescent="0.35">
      <c r="B9415" s="853">
        <v>325554.41335074761</v>
      </c>
    </row>
    <row r="9416" spans="2:2" ht="15.5" x14ac:dyDescent="0.35">
      <c r="B9416" s="853">
        <v>595175.75785245036</v>
      </c>
    </row>
    <row r="9417" spans="2:2" ht="15.5" x14ac:dyDescent="0.35">
      <c r="B9417" s="853">
        <v>488424.8001210189</v>
      </c>
    </row>
    <row r="9418" spans="2:2" ht="15.5" x14ac:dyDescent="0.35">
      <c r="B9418" s="853">
        <v>284247.84630333364</v>
      </c>
    </row>
    <row r="9419" spans="2:2" ht="15.5" x14ac:dyDescent="0.35">
      <c r="B9419" s="853">
        <v>101420.68823609204</v>
      </c>
    </row>
    <row r="9420" spans="2:2" ht="15.5" x14ac:dyDescent="0.35">
      <c r="B9420" s="853">
        <v>404793.33333000744</v>
      </c>
    </row>
    <row r="9421" spans="2:2" ht="15.5" x14ac:dyDescent="0.35">
      <c r="B9421" s="853">
        <v>499890.38843984465</v>
      </c>
    </row>
    <row r="9422" spans="2:2" ht="15.5" x14ac:dyDescent="0.35">
      <c r="B9422" s="853">
        <v>519371.94795825833</v>
      </c>
    </row>
    <row r="9423" spans="2:2" ht="15.5" x14ac:dyDescent="0.35">
      <c r="B9423" s="853">
        <v>615053.2103245894</v>
      </c>
    </row>
    <row r="9424" spans="2:2" ht="15.5" x14ac:dyDescent="0.35">
      <c r="B9424" s="853">
        <v>226106.86732138848</v>
      </c>
    </row>
    <row r="9425" spans="2:2" ht="15.5" x14ac:dyDescent="0.35">
      <c r="B9425" s="853">
        <v>124815.12409126939</v>
      </c>
    </row>
    <row r="9426" spans="2:2" ht="15.5" x14ac:dyDescent="0.35">
      <c r="B9426" s="853">
        <v>336145.34278424119</v>
      </c>
    </row>
    <row r="9427" spans="2:2" ht="15.5" x14ac:dyDescent="0.35">
      <c r="B9427" s="853">
        <v>173365.11408005827</v>
      </c>
    </row>
    <row r="9428" spans="2:2" ht="15.5" x14ac:dyDescent="0.35">
      <c r="B9428" s="853">
        <v>481662.21059309819</v>
      </c>
    </row>
    <row r="9429" spans="2:2" ht="15.5" x14ac:dyDescent="0.35">
      <c r="B9429" s="853">
        <v>225899.90217666278</v>
      </c>
    </row>
    <row r="9430" spans="2:2" ht="15.5" x14ac:dyDescent="0.35">
      <c r="B9430" s="853">
        <v>286329.78022817546</v>
      </c>
    </row>
    <row r="9431" spans="2:2" ht="15.5" x14ac:dyDescent="0.35">
      <c r="B9431" s="853">
        <v>244096.05332389817</v>
      </c>
    </row>
    <row r="9432" spans="2:2" ht="15.5" x14ac:dyDescent="0.35">
      <c r="B9432" s="853">
        <v>484171.17686168785</v>
      </c>
    </row>
    <row r="9433" spans="2:2" ht="15.5" x14ac:dyDescent="0.35">
      <c r="B9433" s="853">
        <v>196790.82497414199</v>
      </c>
    </row>
    <row r="9434" spans="2:2" ht="15.5" x14ac:dyDescent="0.35">
      <c r="B9434" s="853">
        <v>572356.20676738559</v>
      </c>
    </row>
    <row r="9435" spans="2:2" ht="15.5" x14ac:dyDescent="0.35">
      <c r="B9435" s="853">
        <v>695057.65114291455</v>
      </c>
    </row>
    <row r="9436" spans="2:2" ht="15.5" x14ac:dyDescent="0.35">
      <c r="B9436" s="853">
        <v>41397.369637780634</v>
      </c>
    </row>
    <row r="9437" spans="2:2" ht="15.5" x14ac:dyDescent="0.35">
      <c r="B9437" s="853">
        <v>385549.89984637767</v>
      </c>
    </row>
    <row r="9438" spans="2:2" ht="15.5" x14ac:dyDescent="0.35">
      <c r="B9438" s="853">
        <v>159073.17850779186</v>
      </c>
    </row>
    <row r="9439" spans="2:2" ht="15.5" x14ac:dyDescent="0.35">
      <c r="B9439" s="853">
        <v>223395.37541073625</v>
      </c>
    </row>
    <row r="9440" spans="2:2" ht="15.5" x14ac:dyDescent="0.35">
      <c r="B9440" s="853">
        <v>662160.77681287355</v>
      </c>
    </row>
    <row r="9441" spans="2:2" ht="15.5" x14ac:dyDescent="0.35">
      <c r="B9441" s="853">
        <v>325404.42427123012</v>
      </c>
    </row>
    <row r="9442" spans="2:2" ht="15.5" x14ac:dyDescent="0.35">
      <c r="B9442" s="853">
        <v>274373.02568235906</v>
      </c>
    </row>
    <row r="9443" spans="2:2" ht="15.5" x14ac:dyDescent="0.35">
      <c r="B9443" s="853">
        <v>542642.55482601968</v>
      </c>
    </row>
    <row r="9444" spans="2:2" ht="15.5" x14ac:dyDescent="0.35">
      <c r="B9444" s="853">
        <v>290417.40768019221</v>
      </c>
    </row>
    <row r="9445" spans="2:2" ht="15.5" x14ac:dyDescent="0.35">
      <c r="B9445" s="853">
        <v>260258.32216954415</v>
      </c>
    </row>
    <row r="9446" spans="2:2" ht="15.5" x14ac:dyDescent="0.35">
      <c r="B9446" s="853">
        <v>128526.20070302</v>
      </c>
    </row>
    <row r="9447" spans="2:2" ht="15.5" x14ac:dyDescent="0.35">
      <c r="B9447" s="853">
        <v>319312.51411506202</v>
      </c>
    </row>
    <row r="9448" spans="2:2" ht="15.5" x14ac:dyDescent="0.35">
      <c r="B9448" s="853">
        <v>159515.36226594722</v>
      </c>
    </row>
    <row r="9449" spans="2:2" ht="15.5" x14ac:dyDescent="0.35">
      <c r="B9449" s="853">
        <v>418714.35789952468</v>
      </c>
    </row>
    <row r="9450" spans="2:2" ht="15.5" x14ac:dyDescent="0.35">
      <c r="B9450" s="853">
        <v>263530.17707703286</v>
      </c>
    </row>
    <row r="9451" spans="2:2" ht="15.5" x14ac:dyDescent="0.35">
      <c r="B9451" s="853">
        <v>607901.43951872515</v>
      </c>
    </row>
    <row r="9452" spans="2:2" ht="15.5" x14ac:dyDescent="0.35">
      <c r="B9452" s="853">
        <v>251551.90683472785</v>
      </c>
    </row>
    <row r="9453" spans="2:2" ht="15.5" x14ac:dyDescent="0.35">
      <c r="B9453" s="853">
        <v>293269.60685584409</v>
      </c>
    </row>
    <row r="9454" spans="2:2" ht="15.5" x14ac:dyDescent="0.35">
      <c r="B9454" s="853">
        <v>186242.48612935704</v>
      </c>
    </row>
    <row r="9455" spans="2:2" ht="15.5" x14ac:dyDescent="0.35">
      <c r="B9455" s="853">
        <v>208565.61440134971</v>
      </c>
    </row>
    <row r="9456" spans="2:2" ht="15.5" x14ac:dyDescent="0.35">
      <c r="B9456" s="853">
        <v>439003.77808696299</v>
      </c>
    </row>
    <row r="9457" spans="2:2" ht="15.5" x14ac:dyDescent="0.35">
      <c r="B9457" s="853">
        <v>441701.43679293134</v>
      </c>
    </row>
    <row r="9458" spans="2:2" ht="15.5" x14ac:dyDescent="0.35">
      <c r="B9458" s="853">
        <v>514379.21951185586</v>
      </c>
    </row>
    <row r="9459" spans="2:2" ht="15.5" x14ac:dyDescent="0.35">
      <c r="B9459" s="853">
        <v>402242.73790157161</v>
      </c>
    </row>
    <row r="9460" spans="2:2" ht="15.5" x14ac:dyDescent="0.35">
      <c r="B9460" s="853">
        <v>213255.06119739622</v>
      </c>
    </row>
    <row r="9461" spans="2:2" ht="15.5" x14ac:dyDescent="0.35">
      <c r="B9461" s="853">
        <v>287369.95165401691</v>
      </c>
    </row>
    <row r="9462" spans="2:2" ht="15.5" x14ac:dyDescent="0.35">
      <c r="B9462" s="853">
        <v>301443.80511301034</v>
      </c>
    </row>
    <row r="9463" spans="2:2" ht="15.5" x14ac:dyDescent="0.35">
      <c r="B9463" s="853">
        <v>171478.82116327237</v>
      </c>
    </row>
    <row r="9464" spans="2:2" ht="15.5" x14ac:dyDescent="0.35">
      <c r="B9464" s="853">
        <v>105537.37373706701</v>
      </c>
    </row>
    <row r="9465" spans="2:2" ht="15.5" x14ac:dyDescent="0.35">
      <c r="B9465" s="853">
        <v>330120.59784644411</v>
      </c>
    </row>
    <row r="9466" spans="2:2" ht="15.5" x14ac:dyDescent="0.35">
      <c r="B9466" s="853">
        <v>52171.567161960425</v>
      </c>
    </row>
    <row r="9467" spans="2:2" ht="15.5" x14ac:dyDescent="0.35">
      <c r="B9467" s="853">
        <v>275722.75378139969</v>
      </c>
    </row>
    <row r="9468" spans="2:2" ht="15.5" x14ac:dyDescent="0.35">
      <c r="B9468" s="853">
        <v>331487.66997685831</v>
      </c>
    </row>
    <row r="9469" spans="2:2" ht="15.5" x14ac:dyDescent="0.35">
      <c r="B9469" s="853">
        <v>142853.55265368067</v>
      </c>
    </row>
    <row r="9470" spans="2:2" ht="15.5" x14ac:dyDescent="0.35">
      <c r="B9470" s="853">
        <v>77672.004672918571</v>
      </c>
    </row>
    <row r="9471" spans="2:2" ht="15.5" x14ac:dyDescent="0.35">
      <c r="B9471" s="853">
        <v>182248.95680553964</v>
      </c>
    </row>
    <row r="9472" spans="2:2" ht="15.5" x14ac:dyDescent="0.35">
      <c r="B9472" s="853">
        <v>88115.384886095373</v>
      </c>
    </row>
    <row r="9473" spans="2:2" ht="15.5" x14ac:dyDescent="0.35">
      <c r="B9473" s="853">
        <v>233129.27999983038</v>
      </c>
    </row>
    <row r="9474" spans="2:2" ht="15.5" x14ac:dyDescent="0.35">
      <c r="B9474" s="853">
        <v>-1614.7471812279675</v>
      </c>
    </row>
    <row r="9475" spans="2:2" ht="15.5" x14ac:dyDescent="0.35">
      <c r="B9475" s="853">
        <v>264407.83836723783</v>
      </c>
    </row>
    <row r="9476" spans="2:2" ht="15.5" x14ac:dyDescent="0.35">
      <c r="B9476" s="853">
        <v>217817.06743691495</v>
      </c>
    </row>
    <row r="9477" spans="2:2" ht="15.5" x14ac:dyDescent="0.35">
      <c r="B9477" s="853">
        <v>331894.96185388882</v>
      </c>
    </row>
    <row r="9478" spans="2:2" ht="15.5" x14ac:dyDescent="0.35">
      <c r="B9478" s="853">
        <v>248367.83492650351</v>
      </c>
    </row>
    <row r="9479" spans="2:2" ht="15.5" x14ac:dyDescent="0.35">
      <c r="B9479" s="853">
        <v>242685.62702595012</v>
      </c>
    </row>
    <row r="9480" spans="2:2" ht="15.5" x14ac:dyDescent="0.35">
      <c r="B9480" s="853">
        <v>267314.77653487818</v>
      </c>
    </row>
    <row r="9481" spans="2:2" ht="15.5" x14ac:dyDescent="0.35">
      <c r="B9481" s="853">
        <v>353285.08528152999</v>
      </c>
    </row>
    <row r="9482" spans="2:2" ht="15.5" x14ac:dyDescent="0.35">
      <c r="B9482" s="853">
        <v>515668.47013363958</v>
      </c>
    </row>
    <row r="9483" spans="2:2" ht="15.5" x14ac:dyDescent="0.35">
      <c r="B9483" s="853">
        <v>378126.27118472644</v>
      </c>
    </row>
    <row r="9484" spans="2:2" ht="15.5" x14ac:dyDescent="0.35">
      <c r="B9484" s="853">
        <v>386012.73410844814</v>
      </c>
    </row>
    <row r="9485" spans="2:2" ht="15.5" x14ac:dyDescent="0.35">
      <c r="B9485" s="853">
        <v>446951.95639339765</v>
      </c>
    </row>
    <row r="9486" spans="2:2" ht="15.5" x14ac:dyDescent="0.35">
      <c r="B9486" s="853">
        <v>322590.80788209266</v>
      </c>
    </row>
    <row r="9487" spans="2:2" ht="15.5" x14ac:dyDescent="0.35">
      <c r="B9487" s="853">
        <v>461285.61957043648</v>
      </c>
    </row>
    <row r="9488" spans="2:2" ht="15.5" x14ac:dyDescent="0.35">
      <c r="B9488" s="853">
        <v>220726.63128925118</v>
      </c>
    </row>
    <row r="9489" spans="2:2" ht="15.5" x14ac:dyDescent="0.35">
      <c r="B9489" s="853">
        <v>267628.85757186904</v>
      </c>
    </row>
    <row r="9490" spans="2:2" ht="15.5" x14ac:dyDescent="0.35">
      <c r="B9490" s="853">
        <v>281116.18039320613</v>
      </c>
    </row>
    <row r="9491" spans="2:2" ht="15.5" x14ac:dyDescent="0.35">
      <c r="B9491" s="853">
        <v>365179.77162433602</v>
      </c>
    </row>
    <row r="9492" spans="2:2" ht="15.5" x14ac:dyDescent="0.35">
      <c r="B9492" s="853">
        <v>188712.78178651296</v>
      </c>
    </row>
    <row r="9493" spans="2:2" ht="15.5" x14ac:dyDescent="0.35">
      <c r="B9493" s="853">
        <v>127597.4770618238</v>
      </c>
    </row>
    <row r="9494" spans="2:2" ht="15.5" x14ac:dyDescent="0.35">
      <c r="B9494" s="853">
        <v>269802.62520402542</v>
      </c>
    </row>
    <row r="9495" spans="2:2" ht="15.5" x14ac:dyDescent="0.35">
      <c r="B9495" s="853">
        <v>364568.83764457895</v>
      </c>
    </row>
    <row r="9496" spans="2:2" ht="15.5" x14ac:dyDescent="0.35">
      <c r="B9496" s="853">
        <v>348917.32654659776</v>
      </c>
    </row>
    <row r="9497" spans="2:2" ht="15.5" x14ac:dyDescent="0.35">
      <c r="B9497" s="853">
        <v>363404.57166812115</v>
      </c>
    </row>
    <row r="9498" spans="2:2" ht="15.5" x14ac:dyDescent="0.35">
      <c r="B9498" s="853">
        <v>341879.14491513348</v>
      </c>
    </row>
    <row r="9499" spans="2:2" ht="15.5" x14ac:dyDescent="0.35">
      <c r="B9499" s="853">
        <v>368193.60402118595</v>
      </c>
    </row>
    <row r="9500" spans="2:2" ht="15.5" x14ac:dyDescent="0.35">
      <c r="B9500" s="853">
        <v>192088.20332304607</v>
      </c>
    </row>
    <row r="9501" spans="2:2" ht="15.5" x14ac:dyDescent="0.35">
      <c r="B9501" s="853">
        <v>207095.3547051301</v>
      </c>
    </row>
    <row r="9502" spans="2:2" ht="15.5" x14ac:dyDescent="0.35">
      <c r="B9502" s="853">
        <v>387167.36778334482</v>
      </c>
    </row>
    <row r="9503" spans="2:2" ht="15.5" x14ac:dyDescent="0.35">
      <c r="B9503" s="853">
        <v>203163.87728867723</v>
      </c>
    </row>
    <row r="9504" spans="2:2" ht="15.5" x14ac:dyDescent="0.35">
      <c r="B9504" s="853">
        <v>383234.82127448823</v>
      </c>
    </row>
    <row r="9505" spans="2:2" ht="15.5" x14ac:dyDescent="0.35">
      <c r="B9505" s="853">
        <v>131622.35357803098</v>
      </c>
    </row>
    <row r="9506" spans="2:2" ht="15.5" x14ac:dyDescent="0.35">
      <c r="B9506" s="853">
        <v>378193.84758424445</v>
      </c>
    </row>
    <row r="9507" spans="2:2" ht="15.5" x14ac:dyDescent="0.35">
      <c r="B9507" s="853">
        <v>252040.09483877438</v>
      </c>
    </row>
    <row r="9508" spans="2:2" ht="15.5" x14ac:dyDescent="0.35">
      <c r="B9508" s="853">
        <v>339550.77797015454</v>
      </c>
    </row>
    <row r="9509" spans="2:2" ht="15.5" x14ac:dyDescent="0.35">
      <c r="B9509" s="853">
        <v>362170.69001804997</v>
      </c>
    </row>
    <row r="9510" spans="2:2" ht="15.5" x14ac:dyDescent="0.35">
      <c r="B9510" s="853">
        <v>209459.89115021619</v>
      </c>
    </row>
    <row r="9511" spans="2:2" ht="15.5" x14ac:dyDescent="0.35">
      <c r="B9511" s="853">
        <v>391992.46742451732</v>
      </c>
    </row>
    <row r="9512" spans="2:2" ht="15.5" x14ac:dyDescent="0.35">
      <c r="B9512" s="853">
        <v>96552.286097537362</v>
      </c>
    </row>
    <row r="9513" spans="2:2" ht="15.5" x14ac:dyDescent="0.35">
      <c r="B9513" s="853">
        <v>56849.883325700263</v>
      </c>
    </row>
    <row r="9514" spans="2:2" ht="15.5" x14ac:dyDescent="0.35">
      <c r="B9514" s="853">
        <v>265203.14155980485</v>
      </c>
    </row>
    <row r="9515" spans="2:2" ht="15.5" x14ac:dyDescent="0.35">
      <c r="B9515" s="853">
        <v>245961.30420587317</v>
      </c>
    </row>
    <row r="9516" spans="2:2" ht="15.5" x14ac:dyDescent="0.35">
      <c r="B9516" s="853">
        <v>517814.06079251849</v>
      </c>
    </row>
    <row r="9517" spans="2:2" ht="15.5" x14ac:dyDescent="0.35">
      <c r="B9517" s="853">
        <v>364262.06710859202</v>
      </c>
    </row>
    <row r="9518" spans="2:2" ht="15.5" x14ac:dyDescent="0.35">
      <c r="B9518" s="853">
        <v>394566.46338834433</v>
      </c>
    </row>
    <row r="9519" spans="2:2" ht="15.5" x14ac:dyDescent="0.35">
      <c r="B9519" s="853">
        <v>684742.53597378673</v>
      </c>
    </row>
    <row r="9520" spans="2:2" ht="15.5" x14ac:dyDescent="0.35">
      <c r="B9520" s="853">
        <v>359065.39368098875</v>
      </c>
    </row>
    <row r="9521" spans="2:2" ht="15.5" x14ac:dyDescent="0.35">
      <c r="B9521" s="853">
        <v>183490.46107293334</v>
      </c>
    </row>
    <row r="9522" spans="2:2" ht="15.5" x14ac:dyDescent="0.35">
      <c r="B9522" s="853">
        <v>250660.46993955944</v>
      </c>
    </row>
    <row r="9523" spans="2:2" ht="15.5" x14ac:dyDescent="0.35">
      <c r="B9523" s="853">
        <v>377935.0199568831</v>
      </c>
    </row>
    <row r="9524" spans="2:2" ht="15.5" x14ac:dyDescent="0.35">
      <c r="B9524" s="853">
        <v>321033.49812639039</v>
      </c>
    </row>
    <row r="9525" spans="2:2" ht="15.5" x14ac:dyDescent="0.35">
      <c r="B9525" s="853">
        <v>315487.85571825836</v>
      </c>
    </row>
    <row r="9526" spans="2:2" ht="15.5" x14ac:dyDescent="0.35">
      <c r="B9526" s="853">
        <v>281484.38880869374</v>
      </c>
    </row>
    <row r="9527" spans="2:2" ht="15.5" x14ac:dyDescent="0.35">
      <c r="B9527" s="853">
        <v>311533.41678893112</v>
      </c>
    </row>
    <row r="9528" spans="2:2" ht="15.5" x14ac:dyDescent="0.35">
      <c r="B9528" s="853">
        <v>196855.6108408384</v>
      </c>
    </row>
    <row r="9529" spans="2:2" ht="15.5" x14ac:dyDescent="0.35">
      <c r="B9529" s="853">
        <v>463231.71102938906</v>
      </c>
    </row>
    <row r="9530" spans="2:2" ht="15.5" x14ac:dyDescent="0.35">
      <c r="B9530" s="853">
        <v>459567.59708592726</v>
      </c>
    </row>
    <row r="9531" spans="2:2" ht="15.5" x14ac:dyDescent="0.35">
      <c r="B9531" s="853">
        <v>467985.81949581398</v>
      </c>
    </row>
    <row r="9532" spans="2:2" ht="15.5" x14ac:dyDescent="0.35">
      <c r="B9532" s="853">
        <v>-41237.026406664627</v>
      </c>
    </row>
    <row r="9533" spans="2:2" ht="15.5" x14ac:dyDescent="0.35">
      <c r="B9533" s="853">
        <v>117171.35878022673</v>
      </c>
    </row>
    <row r="9534" spans="2:2" ht="15.5" x14ac:dyDescent="0.35">
      <c r="B9534" s="853">
        <v>161786.37033479757</v>
      </c>
    </row>
    <row r="9535" spans="2:2" ht="15.5" x14ac:dyDescent="0.35">
      <c r="B9535" s="853">
        <v>459803.5119015759</v>
      </c>
    </row>
    <row r="9536" spans="2:2" ht="15.5" x14ac:dyDescent="0.35">
      <c r="B9536" s="853">
        <v>35575.466749510015</v>
      </c>
    </row>
    <row r="9537" spans="2:2" ht="15.5" x14ac:dyDescent="0.35">
      <c r="B9537" s="853">
        <v>275523.28756331495</v>
      </c>
    </row>
    <row r="9538" spans="2:2" ht="15.5" x14ac:dyDescent="0.35">
      <c r="B9538" s="853">
        <v>332437.72570259735</v>
      </c>
    </row>
    <row r="9539" spans="2:2" ht="15.5" x14ac:dyDescent="0.35">
      <c r="B9539" s="853">
        <v>392358.59315138549</v>
      </c>
    </row>
    <row r="9540" spans="2:2" ht="15.5" x14ac:dyDescent="0.35">
      <c r="B9540" s="853">
        <v>273022.54134026286</v>
      </c>
    </row>
    <row r="9541" spans="2:2" ht="15.5" x14ac:dyDescent="0.35">
      <c r="B9541" s="853">
        <v>195023.12682351514</v>
      </c>
    </row>
    <row r="9542" spans="2:2" ht="15.5" x14ac:dyDescent="0.35">
      <c r="B9542" s="853">
        <v>278834.45192901773</v>
      </c>
    </row>
    <row r="9543" spans="2:2" ht="15.5" x14ac:dyDescent="0.35">
      <c r="B9543" s="853">
        <v>395859.78371308092</v>
      </c>
    </row>
    <row r="9544" spans="2:2" ht="15.5" x14ac:dyDescent="0.35">
      <c r="B9544" s="853">
        <v>498443.89418300462</v>
      </c>
    </row>
    <row r="9545" spans="2:2" ht="15.5" x14ac:dyDescent="0.35">
      <c r="B9545" s="853">
        <v>203239.82979224474</v>
      </c>
    </row>
    <row r="9546" spans="2:2" ht="15.5" x14ac:dyDescent="0.35">
      <c r="B9546" s="853">
        <v>573187.79021137289</v>
      </c>
    </row>
    <row r="9547" spans="2:2" ht="15.5" x14ac:dyDescent="0.35">
      <c r="B9547" s="853">
        <v>260009.37133814703</v>
      </c>
    </row>
    <row r="9548" spans="2:2" ht="15.5" x14ac:dyDescent="0.35">
      <c r="B9548" s="853">
        <v>475353.34258887527</v>
      </c>
    </row>
    <row r="9549" spans="2:2" ht="15.5" x14ac:dyDescent="0.35">
      <c r="B9549" s="853">
        <v>553595.5056662932</v>
      </c>
    </row>
    <row r="9550" spans="2:2" ht="15.5" x14ac:dyDescent="0.35">
      <c r="B9550" s="853">
        <v>397307.7643262652</v>
      </c>
    </row>
    <row r="9551" spans="2:2" ht="15.5" x14ac:dyDescent="0.35">
      <c r="B9551" s="853">
        <v>274540.12157692859</v>
      </c>
    </row>
    <row r="9552" spans="2:2" ht="15.5" x14ac:dyDescent="0.35">
      <c r="B9552" s="853">
        <v>366338.89211771626</v>
      </c>
    </row>
    <row r="9553" spans="2:2" ht="15.5" x14ac:dyDescent="0.35">
      <c r="B9553" s="853">
        <v>252519.22491643491</v>
      </c>
    </row>
    <row r="9554" spans="2:2" ht="15.5" x14ac:dyDescent="0.35">
      <c r="B9554" s="853">
        <v>470503.86258612131</v>
      </c>
    </row>
    <row r="9555" spans="2:2" ht="15.5" x14ac:dyDescent="0.35">
      <c r="B9555" s="853">
        <v>451454.70518447523</v>
      </c>
    </row>
    <row r="9556" spans="2:2" ht="15.5" x14ac:dyDescent="0.35">
      <c r="B9556" s="853">
        <v>111140.69624025446</v>
      </c>
    </row>
    <row r="9557" spans="2:2" ht="15.5" x14ac:dyDescent="0.35">
      <c r="B9557" s="853">
        <v>344348.35070335038</v>
      </c>
    </row>
    <row r="9558" spans="2:2" ht="15.5" x14ac:dyDescent="0.35">
      <c r="B9558" s="853">
        <v>258702.99755922559</v>
      </c>
    </row>
    <row r="9559" spans="2:2" ht="15.5" x14ac:dyDescent="0.35">
      <c r="B9559" s="853">
        <v>256095.31970151083</v>
      </c>
    </row>
    <row r="9560" spans="2:2" ht="15.5" x14ac:dyDescent="0.35">
      <c r="B9560" s="853">
        <v>299950.75951982505</v>
      </c>
    </row>
    <row r="9561" spans="2:2" ht="15.5" x14ac:dyDescent="0.35">
      <c r="B9561" s="853">
        <v>496484.78390038165</v>
      </c>
    </row>
    <row r="9562" spans="2:2" ht="15.5" x14ac:dyDescent="0.35">
      <c r="B9562" s="853">
        <v>455097.3101869924</v>
      </c>
    </row>
    <row r="9563" spans="2:2" ht="15.5" x14ac:dyDescent="0.35">
      <c r="B9563" s="853">
        <v>345850.08756794425</v>
      </c>
    </row>
    <row r="9564" spans="2:2" ht="15.5" x14ac:dyDescent="0.35">
      <c r="B9564" s="853">
        <v>321750.82776432543</v>
      </c>
    </row>
    <row r="9565" spans="2:2" ht="15.5" x14ac:dyDescent="0.35">
      <c r="B9565" s="853">
        <v>303070.29156798375</v>
      </c>
    </row>
    <row r="9566" spans="2:2" ht="15.5" x14ac:dyDescent="0.35">
      <c r="B9566" s="853">
        <v>485595.01477477141</v>
      </c>
    </row>
    <row r="9567" spans="2:2" ht="15.5" x14ac:dyDescent="0.35">
      <c r="B9567" s="853">
        <v>310152.47160694288</v>
      </c>
    </row>
    <row r="9568" spans="2:2" ht="15.5" x14ac:dyDescent="0.35">
      <c r="B9568" s="853">
        <v>113133.03710627567</v>
      </c>
    </row>
    <row r="9569" spans="2:2" ht="15.5" x14ac:dyDescent="0.35">
      <c r="B9569" s="853">
        <v>374453.79018261668</v>
      </c>
    </row>
    <row r="9570" spans="2:2" ht="15.5" x14ac:dyDescent="0.35">
      <c r="B9570" s="853">
        <v>480713.01065596705</v>
      </c>
    </row>
    <row r="9571" spans="2:2" ht="15.5" x14ac:dyDescent="0.35">
      <c r="B9571" s="853">
        <v>467001.2436688267</v>
      </c>
    </row>
    <row r="9572" spans="2:2" ht="15.5" x14ac:dyDescent="0.35">
      <c r="B9572" s="853">
        <v>189342.51539538291</v>
      </c>
    </row>
    <row r="9573" spans="2:2" ht="15.5" x14ac:dyDescent="0.35">
      <c r="B9573" s="853">
        <v>603494.49058765674</v>
      </c>
    </row>
    <row r="9574" spans="2:2" ht="15.5" x14ac:dyDescent="0.35">
      <c r="B9574" s="853">
        <v>546975.76937164238</v>
      </c>
    </row>
    <row r="9575" spans="2:2" ht="15.5" x14ac:dyDescent="0.35">
      <c r="B9575" s="853">
        <v>371878.85210611456</v>
      </c>
    </row>
    <row r="9576" spans="2:2" ht="15.5" x14ac:dyDescent="0.35">
      <c r="B9576" s="853">
        <v>135243.01965987784</v>
      </c>
    </row>
    <row r="9577" spans="2:2" ht="15.5" x14ac:dyDescent="0.35">
      <c r="B9577" s="853">
        <v>169878.4863041447</v>
      </c>
    </row>
    <row r="9578" spans="2:2" ht="15.5" x14ac:dyDescent="0.35">
      <c r="B9578" s="853">
        <v>253765.63841524633</v>
      </c>
    </row>
    <row r="9579" spans="2:2" ht="15.5" x14ac:dyDescent="0.35">
      <c r="B9579" s="853">
        <v>582407.58910619991</v>
      </c>
    </row>
    <row r="9580" spans="2:2" ht="15.5" x14ac:dyDescent="0.35">
      <c r="B9580" s="853">
        <v>257375.349216748</v>
      </c>
    </row>
    <row r="9581" spans="2:2" ht="15.5" x14ac:dyDescent="0.35">
      <c r="B9581" s="853">
        <v>291935.35311999643</v>
      </c>
    </row>
    <row r="9582" spans="2:2" ht="15.5" x14ac:dyDescent="0.35">
      <c r="B9582" s="853">
        <v>381277.69920374156</v>
      </c>
    </row>
    <row r="9583" spans="2:2" ht="15.5" x14ac:dyDescent="0.35">
      <c r="B9583" s="853">
        <v>192597.52341699941</v>
      </c>
    </row>
    <row r="9584" spans="2:2" ht="15.5" x14ac:dyDescent="0.35">
      <c r="B9584" s="853">
        <v>320785.11593370291</v>
      </c>
    </row>
    <row r="9585" spans="2:2" ht="15.5" x14ac:dyDescent="0.35">
      <c r="B9585" s="853">
        <v>368185.56887717207</v>
      </c>
    </row>
    <row r="9586" spans="2:2" ht="15.5" x14ac:dyDescent="0.35">
      <c r="B9586" s="853">
        <v>198598.45957030644</v>
      </c>
    </row>
    <row r="9587" spans="2:2" ht="15.5" x14ac:dyDescent="0.35">
      <c r="B9587" s="853">
        <v>388207.57128728909</v>
      </c>
    </row>
    <row r="9588" spans="2:2" ht="15.5" x14ac:dyDescent="0.35">
      <c r="B9588" s="853">
        <v>331983.04578867852</v>
      </c>
    </row>
    <row r="9589" spans="2:2" ht="15.5" x14ac:dyDescent="0.35">
      <c r="B9589" s="853">
        <v>111547.85853854081</v>
      </c>
    </row>
    <row r="9590" spans="2:2" ht="15.5" x14ac:dyDescent="0.35">
      <c r="B9590" s="853">
        <v>418729.45965177775</v>
      </c>
    </row>
    <row r="9591" spans="2:2" ht="15.5" x14ac:dyDescent="0.35">
      <c r="B9591" s="853">
        <v>118017.62265302325</v>
      </c>
    </row>
    <row r="9592" spans="2:2" ht="15.5" x14ac:dyDescent="0.35">
      <c r="B9592" s="853">
        <v>234758.74810783516</v>
      </c>
    </row>
    <row r="9593" spans="2:2" ht="15.5" x14ac:dyDescent="0.35">
      <c r="B9593" s="853">
        <v>293409.03569492465</v>
      </c>
    </row>
    <row r="9594" spans="2:2" ht="15.5" x14ac:dyDescent="0.35">
      <c r="B9594" s="853">
        <v>373688.45082410041</v>
      </c>
    </row>
    <row r="9595" spans="2:2" ht="15.5" x14ac:dyDescent="0.35">
      <c r="B9595" s="853">
        <v>299388.14468074613</v>
      </c>
    </row>
    <row r="9596" spans="2:2" ht="15.5" x14ac:dyDescent="0.35">
      <c r="B9596" s="853">
        <v>263382.7170930414</v>
      </c>
    </row>
    <row r="9597" spans="2:2" ht="15.5" x14ac:dyDescent="0.35">
      <c r="B9597" s="853">
        <v>351945.36670822761</v>
      </c>
    </row>
    <row r="9598" spans="2:2" ht="15.5" x14ac:dyDescent="0.35">
      <c r="B9598" s="853">
        <v>407909.09261906688</v>
      </c>
    </row>
    <row r="9599" spans="2:2" ht="15.5" x14ac:dyDescent="0.35">
      <c r="B9599" s="853">
        <v>94102.870337839704</v>
      </c>
    </row>
    <row r="9600" spans="2:2" ht="15.5" x14ac:dyDescent="0.35">
      <c r="B9600" s="853">
        <v>338649.17075190763</v>
      </c>
    </row>
    <row r="9601" spans="2:2" ht="15.5" x14ac:dyDescent="0.35">
      <c r="B9601" s="853">
        <v>575626.05798600824</v>
      </c>
    </row>
    <row r="9602" spans="2:2" ht="15.5" x14ac:dyDescent="0.35">
      <c r="B9602" s="853">
        <v>323442.84221570729</v>
      </c>
    </row>
    <row r="9603" spans="2:2" ht="15.5" x14ac:dyDescent="0.35">
      <c r="B9603" s="853">
        <v>193045.10820230225</v>
      </c>
    </row>
    <row r="9604" spans="2:2" ht="15.5" x14ac:dyDescent="0.35">
      <c r="B9604" s="853">
        <v>469096.7285059148</v>
      </c>
    </row>
    <row r="9605" spans="2:2" ht="15.5" x14ac:dyDescent="0.35">
      <c r="B9605" s="853">
        <v>332901.38119515002</v>
      </c>
    </row>
    <row r="9606" spans="2:2" ht="15.5" x14ac:dyDescent="0.35">
      <c r="B9606" s="853">
        <v>251458.71739775012</v>
      </c>
    </row>
    <row r="9607" spans="2:2" ht="15.5" x14ac:dyDescent="0.35">
      <c r="B9607" s="853">
        <v>536584.71386038931</v>
      </c>
    </row>
    <row r="9608" spans="2:2" ht="15.5" x14ac:dyDescent="0.35">
      <c r="B9608" s="853">
        <v>270940.8088422314</v>
      </c>
    </row>
    <row r="9609" spans="2:2" ht="15.5" x14ac:dyDescent="0.35">
      <c r="B9609" s="853">
        <v>386174.99428867217</v>
      </c>
    </row>
    <row r="9610" spans="2:2" ht="15.5" x14ac:dyDescent="0.35">
      <c r="B9610" s="853">
        <v>189974.23071309336</v>
      </c>
    </row>
    <row r="9611" spans="2:2" ht="15.5" x14ac:dyDescent="0.35">
      <c r="B9611" s="853">
        <v>505432.70615317643</v>
      </c>
    </row>
    <row r="9612" spans="2:2" ht="15.5" x14ac:dyDescent="0.35">
      <c r="B9612" s="853">
        <v>146860.84079637882</v>
      </c>
    </row>
    <row r="9613" spans="2:2" ht="15.5" x14ac:dyDescent="0.35">
      <c r="B9613" s="853">
        <v>411671.03826540988</v>
      </c>
    </row>
    <row r="9614" spans="2:2" ht="15.5" x14ac:dyDescent="0.35">
      <c r="B9614" s="853">
        <v>275194.87827363634</v>
      </c>
    </row>
    <row r="9615" spans="2:2" ht="15.5" x14ac:dyDescent="0.35">
      <c r="B9615" s="853">
        <v>219023.15354150312</v>
      </c>
    </row>
    <row r="9616" spans="2:2" ht="15.5" x14ac:dyDescent="0.35">
      <c r="B9616" s="853">
        <v>353217.77343697264</v>
      </c>
    </row>
    <row r="9617" spans="2:2" ht="15.5" x14ac:dyDescent="0.35">
      <c r="B9617" s="853">
        <v>288688.69210386171</v>
      </c>
    </row>
    <row r="9618" spans="2:2" ht="15.5" x14ac:dyDescent="0.35">
      <c r="B9618" s="853">
        <v>155050.59603842461</v>
      </c>
    </row>
    <row r="9619" spans="2:2" ht="15.5" x14ac:dyDescent="0.35">
      <c r="B9619" s="853">
        <v>435368.03020343999</v>
      </c>
    </row>
    <row r="9620" spans="2:2" ht="15.5" x14ac:dyDescent="0.35">
      <c r="B9620" s="853">
        <v>297145.50342811237</v>
      </c>
    </row>
    <row r="9621" spans="2:2" ht="15.5" x14ac:dyDescent="0.35">
      <c r="B9621" s="853">
        <v>498441.82925682416</v>
      </c>
    </row>
    <row r="9622" spans="2:2" ht="15.5" x14ac:dyDescent="0.35">
      <c r="B9622" s="853">
        <v>218326.44547080554</v>
      </c>
    </row>
    <row r="9623" spans="2:2" ht="15.5" x14ac:dyDescent="0.35">
      <c r="B9623" s="853">
        <v>155805.86114758046</v>
      </c>
    </row>
    <row r="9624" spans="2:2" ht="15.5" x14ac:dyDescent="0.35">
      <c r="B9624" s="853">
        <v>421085.46310480358</v>
      </c>
    </row>
    <row r="9625" spans="2:2" ht="15.5" x14ac:dyDescent="0.35">
      <c r="B9625" s="853">
        <v>267686.9501591404</v>
      </c>
    </row>
    <row r="9626" spans="2:2" ht="15.5" x14ac:dyDescent="0.35">
      <c r="B9626" s="853">
        <v>299014.37871715846</v>
      </c>
    </row>
    <row r="9627" spans="2:2" ht="15.5" x14ac:dyDescent="0.35">
      <c r="B9627" s="853">
        <v>249247.33224750424</v>
      </c>
    </row>
    <row r="9628" spans="2:2" ht="15.5" x14ac:dyDescent="0.35">
      <c r="B9628" s="853">
        <v>428114.12649273395</v>
      </c>
    </row>
    <row r="9629" spans="2:2" ht="15.5" x14ac:dyDescent="0.35">
      <c r="B9629" s="853">
        <v>172743.7681607634</v>
      </c>
    </row>
    <row r="9630" spans="2:2" ht="15.5" x14ac:dyDescent="0.35">
      <c r="B9630" s="853">
        <v>78920.84532565363</v>
      </c>
    </row>
    <row r="9631" spans="2:2" ht="15.5" x14ac:dyDescent="0.35">
      <c r="B9631" s="853">
        <v>513712.70844345511</v>
      </c>
    </row>
    <row r="9632" spans="2:2" ht="15.5" x14ac:dyDescent="0.35">
      <c r="B9632" s="853">
        <v>405298.73042921862</v>
      </c>
    </row>
    <row r="9633" spans="2:2" ht="15.5" x14ac:dyDescent="0.35">
      <c r="B9633" s="853">
        <v>173763.01537905794</v>
      </c>
    </row>
    <row r="9634" spans="2:2" ht="15.5" x14ac:dyDescent="0.35">
      <c r="B9634" s="853">
        <v>57517.38614665452</v>
      </c>
    </row>
    <row r="9635" spans="2:2" ht="15.5" x14ac:dyDescent="0.35">
      <c r="B9635" s="853">
        <v>356468.85441505024</v>
      </c>
    </row>
    <row r="9636" spans="2:2" ht="15.5" x14ac:dyDescent="0.35">
      <c r="B9636" s="853">
        <v>200365.57518511891</v>
      </c>
    </row>
    <row r="9637" spans="2:2" ht="15.5" x14ac:dyDescent="0.35">
      <c r="B9637" s="853">
        <v>491407.42914952029</v>
      </c>
    </row>
    <row r="9638" spans="2:2" ht="15.5" x14ac:dyDescent="0.35">
      <c r="B9638" s="853">
        <v>264215.14551646286</v>
      </c>
    </row>
    <row r="9639" spans="2:2" ht="15.5" x14ac:dyDescent="0.35">
      <c r="B9639" s="853">
        <v>147809.45399876646</v>
      </c>
    </row>
    <row r="9640" spans="2:2" ht="15.5" x14ac:dyDescent="0.35">
      <c r="B9640" s="853">
        <v>300030.45345935458</v>
      </c>
    </row>
    <row r="9641" spans="2:2" ht="15.5" x14ac:dyDescent="0.35">
      <c r="B9641" s="853">
        <v>336002.0257058501</v>
      </c>
    </row>
    <row r="9642" spans="2:2" ht="15.5" x14ac:dyDescent="0.35">
      <c r="B9642" s="853">
        <v>358709.57356625324</v>
      </c>
    </row>
    <row r="9643" spans="2:2" ht="15.5" x14ac:dyDescent="0.35">
      <c r="B9643" s="853">
        <v>321143.5655791196</v>
      </c>
    </row>
    <row r="9644" spans="2:2" ht="15.5" x14ac:dyDescent="0.35">
      <c r="B9644" s="853">
        <v>402649.38238864916</v>
      </c>
    </row>
    <row r="9645" spans="2:2" ht="15.5" x14ac:dyDescent="0.35">
      <c r="B9645" s="853">
        <v>343605.437638584</v>
      </c>
    </row>
    <row r="9646" spans="2:2" ht="15.5" x14ac:dyDescent="0.35">
      <c r="B9646" s="853">
        <v>235218.75243761941</v>
      </c>
    </row>
    <row r="9647" spans="2:2" ht="15.5" x14ac:dyDescent="0.35">
      <c r="B9647" s="853">
        <v>69054.082406076428</v>
      </c>
    </row>
    <row r="9648" spans="2:2" ht="15.5" x14ac:dyDescent="0.35">
      <c r="B9648" s="853">
        <v>214836.27704966362</v>
      </c>
    </row>
    <row r="9649" spans="2:2" ht="15.5" x14ac:dyDescent="0.35">
      <c r="B9649" s="853">
        <v>341839.49408188561</v>
      </c>
    </row>
    <row r="9650" spans="2:2" ht="15.5" x14ac:dyDescent="0.35">
      <c r="B9650" s="853">
        <v>623725.83059551893</v>
      </c>
    </row>
    <row r="9651" spans="2:2" ht="15.5" x14ac:dyDescent="0.35">
      <c r="B9651" s="853">
        <v>500135.53431056096</v>
      </c>
    </row>
    <row r="9652" spans="2:2" ht="15.5" x14ac:dyDescent="0.35">
      <c r="B9652" s="853">
        <v>118112.16430205398</v>
      </c>
    </row>
    <row r="9653" spans="2:2" ht="15.5" x14ac:dyDescent="0.35">
      <c r="B9653" s="853">
        <v>588214.54405636596</v>
      </c>
    </row>
    <row r="9654" spans="2:2" ht="15.5" x14ac:dyDescent="0.35">
      <c r="B9654" s="853">
        <v>130510.72382131549</v>
      </c>
    </row>
    <row r="9655" spans="2:2" ht="15.5" x14ac:dyDescent="0.35">
      <c r="B9655" s="853">
        <v>580724.92828820436</v>
      </c>
    </row>
    <row r="9656" spans="2:2" ht="15.5" x14ac:dyDescent="0.35">
      <c r="B9656" s="853">
        <v>457840.69786254555</v>
      </c>
    </row>
    <row r="9657" spans="2:2" ht="15.5" x14ac:dyDescent="0.35">
      <c r="B9657" s="853">
        <v>320341.42624429608</v>
      </c>
    </row>
    <row r="9658" spans="2:2" ht="15.5" x14ac:dyDescent="0.35">
      <c r="B9658" s="853">
        <v>138047.73858399689</v>
      </c>
    </row>
    <row r="9659" spans="2:2" ht="15.5" x14ac:dyDescent="0.35">
      <c r="B9659" s="853">
        <v>274715.40638473455</v>
      </c>
    </row>
    <row r="9660" spans="2:2" ht="15.5" x14ac:dyDescent="0.35">
      <c r="B9660" s="853">
        <v>59981.135352430625</v>
      </c>
    </row>
    <row r="9661" spans="2:2" ht="15.5" x14ac:dyDescent="0.35">
      <c r="B9661" s="853">
        <v>317729.32420349703</v>
      </c>
    </row>
    <row r="9662" spans="2:2" ht="15.5" x14ac:dyDescent="0.35">
      <c r="B9662" s="853">
        <v>319472.81499787397</v>
      </c>
    </row>
    <row r="9663" spans="2:2" ht="15.5" x14ac:dyDescent="0.35">
      <c r="B9663" s="853">
        <v>103021.51425811725</v>
      </c>
    </row>
    <row r="9664" spans="2:2" ht="15.5" x14ac:dyDescent="0.35">
      <c r="B9664" s="853">
        <v>358820.99067586061</v>
      </c>
    </row>
    <row r="9665" spans="2:2" ht="15.5" x14ac:dyDescent="0.35">
      <c r="B9665" s="853">
        <v>526733.45062165125</v>
      </c>
    </row>
    <row r="9666" spans="2:2" ht="15.5" x14ac:dyDescent="0.35">
      <c r="B9666" s="853">
        <v>383757.25740730175</v>
      </c>
    </row>
    <row r="9667" spans="2:2" ht="15.5" x14ac:dyDescent="0.35">
      <c r="B9667" s="853">
        <v>514566.22301902191</v>
      </c>
    </row>
    <row r="9668" spans="2:2" ht="15.5" x14ac:dyDescent="0.35">
      <c r="B9668" s="853">
        <v>224573.35905245613</v>
      </c>
    </row>
    <row r="9669" spans="2:2" ht="15.5" x14ac:dyDescent="0.35">
      <c r="B9669" s="853">
        <v>294446.28617268859</v>
      </c>
    </row>
    <row r="9670" spans="2:2" ht="15.5" x14ac:dyDescent="0.35">
      <c r="B9670" s="853">
        <v>402199.95275096112</v>
      </c>
    </row>
    <row r="9671" spans="2:2" ht="15.5" x14ac:dyDescent="0.35">
      <c r="B9671" s="853">
        <v>215903.97444119875</v>
      </c>
    </row>
    <row r="9672" spans="2:2" ht="15.5" x14ac:dyDescent="0.35">
      <c r="B9672" s="853">
        <v>312646.30354930204</v>
      </c>
    </row>
    <row r="9673" spans="2:2" ht="15.5" x14ac:dyDescent="0.35">
      <c r="B9673" s="853">
        <v>123386.86044064454</v>
      </c>
    </row>
    <row r="9674" spans="2:2" ht="15.5" x14ac:dyDescent="0.35">
      <c r="B9674" s="853">
        <v>800967.02996583772</v>
      </c>
    </row>
    <row r="9675" spans="2:2" ht="15.5" x14ac:dyDescent="0.35">
      <c r="B9675" s="853">
        <v>128287.69786383647</v>
      </c>
    </row>
    <row r="9676" spans="2:2" ht="15.5" x14ac:dyDescent="0.35">
      <c r="B9676" s="853">
        <v>324728.92735639861</v>
      </c>
    </row>
    <row r="9677" spans="2:2" ht="15.5" x14ac:dyDescent="0.35">
      <c r="B9677" s="853">
        <v>247275.24500672601</v>
      </c>
    </row>
    <row r="9678" spans="2:2" ht="15.5" x14ac:dyDescent="0.35">
      <c r="B9678" s="853">
        <v>166666.03863497206</v>
      </c>
    </row>
    <row r="9679" spans="2:2" ht="15.5" x14ac:dyDescent="0.35">
      <c r="B9679" s="853">
        <v>233805.2416786711</v>
      </c>
    </row>
    <row r="9680" spans="2:2" ht="15.5" x14ac:dyDescent="0.35">
      <c r="B9680" s="853">
        <v>326058.44031102181</v>
      </c>
    </row>
    <row r="9681" spans="2:2" ht="15.5" x14ac:dyDescent="0.35">
      <c r="B9681" s="853">
        <v>793833.38052369154</v>
      </c>
    </row>
    <row r="9682" spans="2:2" ht="15.5" x14ac:dyDescent="0.35">
      <c r="B9682" s="853">
        <v>294389.45761577465</v>
      </c>
    </row>
    <row r="9683" spans="2:2" ht="15.5" x14ac:dyDescent="0.35">
      <c r="B9683" s="853">
        <v>485501.11738781695</v>
      </c>
    </row>
    <row r="9684" spans="2:2" ht="15.5" x14ac:dyDescent="0.35">
      <c r="B9684" s="853">
        <v>209404.48712938881</v>
      </c>
    </row>
    <row r="9685" spans="2:2" ht="15.5" x14ac:dyDescent="0.35">
      <c r="B9685" s="853">
        <v>288472.20716928085</v>
      </c>
    </row>
    <row r="9686" spans="2:2" ht="15.5" x14ac:dyDescent="0.35">
      <c r="B9686" s="853">
        <v>239326.95313070272</v>
      </c>
    </row>
    <row r="9687" spans="2:2" ht="15.5" x14ac:dyDescent="0.35">
      <c r="B9687" s="853">
        <v>369424.10756130406</v>
      </c>
    </row>
    <row r="9688" spans="2:2" ht="15.5" x14ac:dyDescent="0.35">
      <c r="B9688" s="853">
        <v>189427.88056452674</v>
      </c>
    </row>
    <row r="9689" spans="2:2" ht="15.5" x14ac:dyDescent="0.35">
      <c r="B9689" s="853">
        <v>310962.67150503921</v>
      </c>
    </row>
    <row r="9690" spans="2:2" ht="15.5" x14ac:dyDescent="0.35">
      <c r="B9690" s="853">
        <v>319196.18948472594</v>
      </c>
    </row>
    <row r="9691" spans="2:2" ht="15.5" x14ac:dyDescent="0.35">
      <c r="B9691" s="853">
        <v>274703.21507744928</v>
      </c>
    </row>
    <row r="9692" spans="2:2" ht="15.5" x14ac:dyDescent="0.35">
      <c r="B9692" s="853">
        <v>405127.81538379076</v>
      </c>
    </row>
    <row r="9693" spans="2:2" ht="15.5" x14ac:dyDescent="0.35">
      <c r="B9693" s="853">
        <v>40019.382693768341</v>
      </c>
    </row>
    <row r="9694" spans="2:2" ht="15.5" x14ac:dyDescent="0.35">
      <c r="B9694" s="853">
        <v>286409.40289376775</v>
      </c>
    </row>
    <row r="9695" spans="2:2" ht="15.5" x14ac:dyDescent="0.35">
      <c r="B9695" s="853">
        <v>401169.33271673316</v>
      </c>
    </row>
    <row r="9696" spans="2:2" ht="15.5" x14ac:dyDescent="0.35">
      <c r="B9696" s="853">
        <v>359925.9672068322</v>
      </c>
    </row>
    <row r="9697" spans="2:2" ht="15.5" x14ac:dyDescent="0.35">
      <c r="B9697" s="853">
        <v>480602.81578032207</v>
      </c>
    </row>
    <row r="9698" spans="2:2" ht="15.5" x14ac:dyDescent="0.35">
      <c r="B9698" s="853">
        <v>120384.16421834391</v>
      </c>
    </row>
    <row r="9699" spans="2:2" ht="15.5" x14ac:dyDescent="0.35">
      <c r="B9699" s="853">
        <v>539616.61306468071</v>
      </c>
    </row>
    <row r="9700" spans="2:2" ht="15.5" x14ac:dyDescent="0.35">
      <c r="B9700" s="853">
        <v>203776.00507313371</v>
      </c>
    </row>
    <row r="9701" spans="2:2" ht="15.5" x14ac:dyDescent="0.35">
      <c r="B9701" s="853">
        <v>237230.39287385874</v>
      </c>
    </row>
    <row r="9702" spans="2:2" ht="15.5" x14ac:dyDescent="0.35">
      <c r="B9702" s="853">
        <v>318667.1733527577</v>
      </c>
    </row>
    <row r="9703" spans="2:2" ht="15.5" x14ac:dyDescent="0.35">
      <c r="B9703" s="853">
        <v>318219.04356193467</v>
      </c>
    </row>
    <row r="9704" spans="2:2" ht="15.5" x14ac:dyDescent="0.35">
      <c r="B9704" s="853">
        <v>305842.01272937295</v>
      </c>
    </row>
    <row r="9705" spans="2:2" ht="15.5" x14ac:dyDescent="0.35">
      <c r="B9705" s="853">
        <v>761980.29309358622</v>
      </c>
    </row>
    <row r="9706" spans="2:2" ht="15.5" x14ac:dyDescent="0.35">
      <c r="B9706" s="853">
        <v>643090.89166386973</v>
      </c>
    </row>
    <row r="9707" spans="2:2" ht="15.5" x14ac:dyDescent="0.35">
      <c r="B9707" s="853">
        <v>474576.00397532742</v>
      </c>
    </row>
    <row r="9708" spans="2:2" ht="15.5" x14ac:dyDescent="0.35">
      <c r="B9708" s="853">
        <v>413105.60676917539</v>
      </c>
    </row>
    <row r="9709" spans="2:2" ht="15.5" x14ac:dyDescent="0.35">
      <c r="B9709" s="853">
        <v>322557.71387863945</v>
      </c>
    </row>
    <row r="9710" spans="2:2" ht="15.5" x14ac:dyDescent="0.35">
      <c r="B9710" s="853">
        <v>335687.53557131445</v>
      </c>
    </row>
    <row r="9711" spans="2:2" ht="15.5" x14ac:dyDescent="0.35">
      <c r="B9711" s="853">
        <v>331505.57561734505</v>
      </c>
    </row>
    <row r="9712" spans="2:2" ht="15.5" x14ac:dyDescent="0.35">
      <c r="B9712" s="853">
        <v>522446.86045514909</v>
      </c>
    </row>
    <row r="9713" spans="2:2" ht="15.5" x14ac:dyDescent="0.35">
      <c r="B9713" s="853">
        <v>365979.16526931798</v>
      </c>
    </row>
    <row r="9714" spans="2:2" ht="15.5" x14ac:dyDescent="0.35">
      <c r="B9714" s="853">
        <v>165075.5633154391</v>
      </c>
    </row>
    <row r="9715" spans="2:2" ht="15.5" x14ac:dyDescent="0.35">
      <c r="B9715" s="853">
        <v>357051.87342389068</v>
      </c>
    </row>
    <row r="9716" spans="2:2" ht="15.5" x14ac:dyDescent="0.35">
      <c r="B9716" s="853">
        <v>229709.60271678097</v>
      </c>
    </row>
    <row r="9717" spans="2:2" ht="15.5" x14ac:dyDescent="0.35">
      <c r="B9717" s="853">
        <v>296052.49464973202</v>
      </c>
    </row>
    <row r="9718" spans="2:2" ht="15.5" x14ac:dyDescent="0.35">
      <c r="B9718" s="853">
        <v>243324.97928691594</v>
      </c>
    </row>
    <row r="9719" spans="2:2" ht="15.5" x14ac:dyDescent="0.35">
      <c r="B9719" s="853">
        <v>363906.20161799475</v>
      </c>
    </row>
    <row r="9720" spans="2:2" ht="15.5" x14ac:dyDescent="0.35">
      <c r="B9720" s="853">
        <v>363804.19115701882</v>
      </c>
    </row>
    <row r="9721" spans="2:2" ht="15.5" x14ac:dyDescent="0.35">
      <c r="B9721" s="853">
        <v>392631.61078586563</v>
      </c>
    </row>
    <row r="9722" spans="2:2" ht="15.5" x14ac:dyDescent="0.35">
      <c r="B9722" s="853">
        <v>412958.59999433544</v>
      </c>
    </row>
    <row r="9723" spans="2:2" ht="15.5" x14ac:dyDescent="0.35">
      <c r="B9723" s="853">
        <v>390862.05021446309</v>
      </c>
    </row>
    <row r="9724" spans="2:2" ht="15.5" x14ac:dyDescent="0.35">
      <c r="B9724" s="853">
        <v>371665.35073940799</v>
      </c>
    </row>
    <row r="9725" spans="2:2" ht="15.5" x14ac:dyDescent="0.35">
      <c r="B9725" s="853">
        <v>257498.79145500416</v>
      </c>
    </row>
    <row r="9726" spans="2:2" ht="15.5" x14ac:dyDescent="0.35">
      <c r="B9726" s="853">
        <v>308394.76895687479</v>
      </c>
    </row>
    <row r="9727" spans="2:2" ht="15.5" x14ac:dyDescent="0.35">
      <c r="B9727" s="853">
        <v>174049.58757706982</v>
      </c>
    </row>
    <row r="9728" spans="2:2" ht="15.5" x14ac:dyDescent="0.35">
      <c r="B9728" s="853">
        <v>368817.23613242834</v>
      </c>
    </row>
    <row r="9729" spans="2:2" ht="15.5" x14ac:dyDescent="0.35">
      <c r="B9729" s="853">
        <v>614716.41850938834</v>
      </c>
    </row>
    <row r="9730" spans="2:2" ht="15.5" x14ac:dyDescent="0.35">
      <c r="B9730" s="853">
        <v>426841.0372091133</v>
      </c>
    </row>
    <row r="9731" spans="2:2" ht="15.5" x14ac:dyDescent="0.35">
      <c r="B9731" s="853">
        <v>272731.30436086433</v>
      </c>
    </row>
    <row r="9732" spans="2:2" ht="15.5" x14ac:dyDescent="0.35">
      <c r="B9732" s="853">
        <v>290368.96036159509</v>
      </c>
    </row>
    <row r="9733" spans="2:2" ht="15.5" x14ac:dyDescent="0.35">
      <c r="B9733" s="853">
        <v>437147.99299930321</v>
      </c>
    </row>
    <row r="9734" spans="2:2" ht="15.5" x14ac:dyDescent="0.35">
      <c r="B9734" s="853">
        <v>243796.97383147752</v>
      </c>
    </row>
    <row r="9735" spans="2:2" ht="15.5" x14ac:dyDescent="0.35">
      <c r="B9735" s="853">
        <v>334464.97800952318</v>
      </c>
    </row>
    <row r="9736" spans="2:2" ht="15.5" x14ac:dyDescent="0.35">
      <c r="B9736" s="853">
        <v>548033.01457864314</v>
      </c>
    </row>
    <row r="9737" spans="2:2" ht="15.5" x14ac:dyDescent="0.35">
      <c r="B9737" s="853">
        <v>86750.736607590705</v>
      </c>
    </row>
    <row r="9738" spans="2:2" ht="15.5" x14ac:dyDescent="0.35">
      <c r="B9738" s="853">
        <v>220614.96365703861</v>
      </c>
    </row>
    <row r="9739" spans="2:2" ht="15.5" x14ac:dyDescent="0.35">
      <c r="B9739" s="853">
        <v>132965.38346226167</v>
      </c>
    </row>
    <row r="9740" spans="2:2" ht="15.5" x14ac:dyDescent="0.35">
      <c r="B9740" s="853">
        <v>130237.27306911789</v>
      </c>
    </row>
    <row r="9741" spans="2:2" ht="15.5" x14ac:dyDescent="0.35">
      <c r="B9741" s="853">
        <v>126431.49240058275</v>
      </c>
    </row>
    <row r="9742" spans="2:2" ht="15.5" x14ac:dyDescent="0.35">
      <c r="B9742" s="853">
        <v>510507.88276480342</v>
      </c>
    </row>
    <row r="9743" spans="2:2" ht="15.5" x14ac:dyDescent="0.35">
      <c r="B9743" s="853">
        <v>321070.38392976264</v>
      </c>
    </row>
    <row r="9744" spans="2:2" ht="15.5" x14ac:dyDescent="0.35">
      <c r="B9744" s="853">
        <v>237335.59092062106</v>
      </c>
    </row>
    <row r="9745" spans="2:2" ht="15.5" x14ac:dyDescent="0.35">
      <c r="B9745" s="853">
        <v>309460.72514107689</v>
      </c>
    </row>
    <row r="9746" spans="2:2" ht="15.5" x14ac:dyDescent="0.35">
      <c r="B9746" s="853">
        <v>344362.04918821476</v>
      </c>
    </row>
    <row r="9747" spans="2:2" ht="15.5" x14ac:dyDescent="0.35">
      <c r="B9747" s="853">
        <v>414114.29154918791</v>
      </c>
    </row>
    <row r="9748" spans="2:2" ht="15.5" x14ac:dyDescent="0.35">
      <c r="B9748" s="853">
        <v>355879.4796519095</v>
      </c>
    </row>
    <row r="9749" spans="2:2" ht="15.5" x14ac:dyDescent="0.35">
      <c r="B9749" s="853">
        <v>369642.39309371944</v>
      </c>
    </row>
    <row r="9750" spans="2:2" ht="15.5" x14ac:dyDescent="0.35">
      <c r="B9750" s="853">
        <v>560885.28894779796</v>
      </c>
    </row>
    <row r="9751" spans="2:2" ht="15.5" x14ac:dyDescent="0.35">
      <c r="B9751" s="853">
        <v>342722.00513220311</v>
      </c>
    </row>
    <row r="9752" spans="2:2" ht="15.5" x14ac:dyDescent="0.35">
      <c r="B9752" s="853">
        <v>320543.96962815023</v>
      </c>
    </row>
    <row r="9753" spans="2:2" ht="15.5" x14ac:dyDescent="0.35">
      <c r="B9753" s="853">
        <v>102427.19571295859</v>
      </c>
    </row>
    <row r="9754" spans="2:2" ht="15.5" x14ac:dyDescent="0.35">
      <c r="B9754" s="853">
        <v>239699.52391972634</v>
      </c>
    </row>
    <row r="9755" spans="2:2" ht="15.5" x14ac:dyDescent="0.35">
      <c r="B9755" s="853">
        <v>349330.44317790965</v>
      </c>
    </row>
    <row r="9756" spans="2:2" ht="15.5" x14ac:dyDescent="0.35">
      <c r="B9756" s="853">
        <v>264263.42711699841</v>
      </c>
    </row>
    <row r="9757" spans="2:2" ht="15.5" x14ac:dyDescent="0.35">
      <c r="B9757" s="853">
        <v>165719.26071555077</v>
      </c>
    </row>
    <row r="9758" spans="2:2" ht="15.5" x14ac:dyDescent="0.35">
      <c r="B9758" s="853">
        <v>-38691.340323303768</v>
      </c>
    </row>
    <row r="9759" spans="2:2" ht="15.5" x14ac:dyDescent="0.35">
      <c r="B9759" s="853">
        <v>437159.15233281243</v>
      </c>
    </row>
    <row r="9760" spans="2:2" ht="15.5" x14ac:dyDescent="0.35">
      <c r="B9760" s="853">
        <v>379725.85503888095</v>
      </c>
    </row>
    <row r="9761" spans="2:2" ht="15.5" x14ac:dyDescent="0.35">
      <c r="B9761" s="853">
        <v>500343.07064545102</v>
      </c>
    </row>
    <row r="9762" spans="2:2" ht="15.5" x14ac:dyDescent="0.35">
      <c r="B9762" s="853">
        <v>125876.62845075906</v>
      </c>
    </row>
    <row r="9763" spans="2:2" ht="15.5" x14ac:dyDescent="0.35">
      <c r="B9763" s="853">
        <v>477873.76705950953</v>
      </c>
    </row>
    <row r="9764" spans="2:2" ht="15.5" x14ac:dyDescent="0.35">
      <c r="B9764" s="853">
        <v>159156.96541924294</v>
      </c>
    </row>
    <row r="9765" spans="2:2" ht="15.5" x14ac:dyDescent="0.35">
      <c r="B9765" s="853">
        <v>460526.59777656035</v>
      </c>
    </row>
    <row r="9766" spans="2:2" ht="15.5" x14ac:dyDescent="0.35">
      <c r="B9766" s="853">
        <v>391485.34559964796</v>
      </c>
    </row>
    <row r="9767" spans="2:2" ht="15.5" x14ac:dyDescent="0.35">
      <c r="B9767" s="853">
        <v>339130.88874224317</v>
      </c>
    </row>
    <row r="9768" spans="2:2" ht="15.5" x14ac:dyDescent="0.35">
      <c r="B9768" s="853">
        <v>414442.47212019074</v>
      </c>
    </row>
    <row r="9769" spans="2:2" ht="15.5" x14ac:dyDescent="0.35">
      <c r="B9769" s="853">
        <v>297532.76881947013</v>
      </c>
    </row>
    <row r="9770" spans="2:2" ht="15.5" x14ac:dyDescent="0.35">
      <c r="B9770" s="853">
        <v>234475.99276257816</v>
      </c>
    </row>
    <row r="9771" spans="2:2" ht="15.5" x14ac:dyDescent="0.35">
      <c r="B9771" s="853">
        <v>132099.05009891005</v>
      </c>
    </row>
    <row r="9772" spans="2:2" ht="15.5" x14ac:dyDescent="0.35">
      <c r="B9772" s="853">
        <v>208555.32487588411</v>
      </c>
    </row>
    <row r="9773" spans="2:2" ht="15.5" x14ac:dyDescent="0.35">
      <c r="B9773" s="853">
        <v>250071.91974952453</v>
      </c>
    </row>
    <row r="9774" spans="2:2" ht="15.5" x14ac:dyDescent="0.35">
      <c r="B9774" s="853">
        <v>138707.85873488765</v>
      </c>
    </row>
    <row r="9775" spans="2:2" ht="15.5" x14ac:dyDescent="0.35">
      <c r="B9775" s="853">
        <v>277625.26684191398</v>
      </c>
    </row>
    <row r="9776" spans="2:2" ht="15.5" x14ac:dyDescent="0.35">
      <c r="B9776" s="853">
        <v>452147.1547021154</v>
      </c>
    </row>
    <row r="9777" spans="2:2" ht="15.5" x14ac:dyDescent="0.35">
      <c r="B9777" s="853">
        <v>522894.90160657419</v>
      </c>
    </row>
    <row r="9778" spans="2:2" ht="15.5" x14ac:dyDescent="0.35">
      <c r="B9778" s="853">
        <v>207679.50169098057</v>
      </c>
    </row>
    <row r="9779" spans="2:2" ht="15.5" x14ac:dyDescent="0.35">
      <c r="B9779" s="853">
        <v>145033.5691349371</v>
      </c>
    </row>
    <row r="9780" spans="2:2" ht="15.5" x14ac:dyDescent="0.35">
      <c r="B9780" s="853">
        <v>320864.75256307691</v>
      </c>
    </row>
    <row r="9781" spans="2:2" ht="15.5" x14ac:dyDescent="0.35">
      <c r="B9781" s="853">
        <v>477358.57901543181</v>
      </c>
    </row>
    <row r="9782" spans="2:2" ht="15.5" x14ac:dyDescent="0.35">
      <c r="B9782" s="853">
        <v>234477.01824286152</v>
      </c>
    </row>
    <row r="9783" spans="2:2" ht="15.5" x14ac:dyDescent="0.35">
      <c r="B9783" s="853">
        <v>388415.8737652108</v>
      </c>
    </row>
    <row r="9784" spans="2:2" ht="15.5" x14ac:dyDescent="0.35">
      <c r="B9784" s="853">
        <v>252787.55260543211</v>
      </c>
    </row>
    <row r="9785" spans="2:2" ht="15.5" x14ac:dyDescent="0.35">
      <c r="B9785" s="853">
        <v>313221.74124436569</v>
      </c>
    </row>
    <row r="9786" spans="2:2" ht="15.5" x14ac:dyDescent="0.35">
      <c r="B9786" s="853">
        <v>580548.2491098945</v>
      </c>
    </row>
    <row r="9787" spans="2:2" ht="15.5" x14ac:dyDescent="0.35">
      <c r="B9787" s="853">
        <v>472498.88121706614</v>
      </c>
    </row>
    <row r="9788" spans="2:2" ht="15.5" x14ac:dyDescent="0.35">
      <c r="B9788" s="853">
        <v>345943.70175554999</v>
      </c>
    </row>
    <row r="9789" spans="2:2" ht="15.5" x14ac:dyDescent="0.35">
      <c r="B9789" s="853">
        <v>247529.21818290386</v>
      </c>
    </row>
    <row r="9790" spans="2:2" ht="15.5" x14ac:dyDescent="0.35">
      <c r="B9790" s="853">
        <v>146819.07496735008</v>
      </c>
    </row>
    <row r="9791" spans="2:2" ht="15.5" x14ac:dyDescent="0.35">
      <c r="B9791" s="853">
        <v>325613.53731190448</v>
      </c>
    </row>
    <row r="9792" spans="2:2" ht="15.5" x14ac:dyDescent="0.35">
      <c r="B9792" s="853">
        <v>280636.84836239211</v>
      </c>
    </row>
    <row r="9793" spans="2:2" ht="15.5" x14ac:dyDescent="0.35">
      <c r="B9793" s="853">
        <v>483769.17403767223</v>
      </c>
    </row>
    <row r="9794" spans="2:2" ht="15.5" x14ac:dyDescent="0.35">
      <c r="B9794" s="853">
        <v>150877.56014285714</v>
      </c>
    </row>
    <row r="9795" spans="2:2" ht="15.5" x14ac:dyDescent="0.35">
      <c r="B9795" s="853">
        <v>241045.94608295106</v>
      </c>
    </row>
    <row r="9796" spans="2:2" ht="15.5" x14ac:dyDescent="0.35">
      <c r="B9796" s="853">
        <v>338572.97836859035</v>
      </c>
    </row>
    <row r="9797" spans="2:2" ht="15.5" x14ac:dyDescent="0.35">
      <c r="B9797" s="853">
        <v>609333.16092450183</v>
      </c>
    </row>
    <row r="9798" spans="2:2" ht="15.5" x14ac:dyDescent="0.35">
      <c r="B9798" s="853">
        <v>86598.380563222367</v>
      </c>
    </row>
    <row r="9799" spans="2:2" ht="15.5" x14ac:dyDescent="0.35">
      <c r="B9799" s="853">
        <v>71306.180701934165</v>
      </c>
    </row>
    <row r="9800" spans="2:2" ht="15.5" x14ac:dyDescent="0.35">
      <c r="B9800" s="853">
        <v>562132.93708744273</v>
      </c>
    </row>
    <row r="9801" spans="2:2" ht="15.5" x14ac:dyDescent="0.35">
      <c r="B9801" s="853">
        <v>343291.3918523282</v>
      </c>
    </row>
    <row r="9802" spans="2:2" ht="15.5" x14ac:dyDescent="0.35">
      <c r="B9802" s="853">
        <v>155194.67654950742</v>
      </c>
    </row>
    <row r="9803" spans="2:2" ht="15.5" x14ac:dyDescent="0.35">
      <c r="B9803" s="853">
        <v>234115.45386012099</v>
      </c>
    </row>
    <row r="9804" spans="2:2" ht="15.5" x14ac:dyDescent="0.35">
      <c r="B9804" s="853">
        <v>573859.26883523597</v>
      </c>
    </row>
    <row r="9805" spans="2:2" ht="15.5" x14ac:dyDescent="0.35">
      <c r="B9805" s="853">
        <v>282532.11077034747</v>
      </c>
    </row>
    <row r="9806" spans="2:2" ht="15.5" x14ac:dyDescent="0.35">
      <c r="B9806" s="853">
        <v>267709.87397993042</v>
      </c>
    </row>
    <row r="9807" spans="2:2" ht="15.5" x14ac:dyDescent="0.35">
      <c r="B9807" s="853">
        <v>219117.60493821217</v>
      </c>
    </row>
    <row r="9808" spans="2:2" ht="15.5" x14ac:dyDescent="0.35">
      <c r="B9808" s="853">
        <v>107856.207935771</v>
      </c>
    </row>
    <row r="9809" spans="2:2" ht="15.5" x14ac:dyDescent="0.35">
      <c r="B9809" s="853">
        <v>221241.3210455894</v>
      </c>
    </row>
    <row r="9810" spans="2:2" ht="15.5" x14ac:dyDescent="0.35">
      <c r="B9810" s="853">
        <v>582039.03648307256</v>
      </c>
    </row>
    <row r="9811" spans="2:2" ht="15.5" x14ac:dyDescent="0.35">
      <c r="B9811" s="853">
        <v>473175.82674885966</v>
      </c>
    </row>
    <row r="9812" spans="2:2" ht="15.5" x14ac:dyDescent="0.35">
      <c r="B9812" s="853">
        <v>411970.80148675456</v>
      </c>
    </row>
    <row r="9813" spans="2:2" ht="15.5" x14ac:dyDescent="0.35">
      <c r="B9813" s="853">
        <v>388220.80813158758</v>
      </c>
    </row>
    <row r="9814" spans="2:2" ht="15.5" x14ac:dyDescent="0.35">
      <c r="B9814" s="853">
        <v>446041.14647193509</v>
      </c>
    </row>
    <row r="9815" spans="2:2" ht="15.5" x14ac:dyDescent="0.35">
      <c r="B9815" s="853">
        <v>328493.439544964</v>
      </c>
    </row>
    <row r="9816" spans="2:2" ht="15.5" x14ac:dyDescent="0.35">
      <c r="B9816" s="853">
        <v>194781.08505762654</v>
      </c>
    </row>
    <row r="9817" spans="2:2" ht="15.5" x14ac:dyDescent="0.35">
      <c r="B9817" s="853">
        <v>323554.10104912258</v>
      </c>
    </row>
    <row r="9818" spans="2:2" ht="15.5" x14ac:dyDescent="0.35">
      <c r="B9818" s="853">
        <v>251213.1632025461</v>
      </c>
    </row>
    <row r="9819" spans="2:2" ht="15.5" x14ac:dyDescent="0.35">
      <c r="B9819" s="853">
        <v>291676.56375311618</v>
      </c>
    </row>
    <row r="9820" spans="2:2" ht="15.5" x14ac:dyDescent="0.35">
      <c r="B9820" s="853">
        <v>312888.38735922263</v>
      </c>
    </row>
    <row r="9821" spans="2:2" ht="15.5" x14ac:dyDescent="0.35">
      <c r="B9821" s="853">
        <v>318952.19352128659</v>
      </c>
    </row>
    <row r="9822" spans="2:2" ht="15.5" x14ac:dyDescent="0.35">
      <c r="B9822" s="853">
        <v>590841.51770928048</v>
      </c>
    </row>
    <row r="9823" spans="2:2" ht="15.5" x14ac:dyDescent="0.35">
      <c r="B9823" s="853">
        <v>170333.22412149835</v>
      </c>
    </row>
    <row r="9824" spans="2:2" ht="15.5" x14ac:dyDescent="0.35">
      <c r="B9824" s="853">
        <v>265178.60612592235</v>
      </c>
    </row>
    <row r="9825" spans="2:2" ht="15.5" x14ac:dyDescent="0.35">
      <c r="B9825" s="853">
        <v>77523.604626164379</v>
      </c>
    </row>
    <row r="9826" spans="2:2" ht="15.5" x14ac:dyDescent="0.35">
      <c r="B9826" s="853">
        <v>211500.34475603822</v>
      </c>
    </row>
    <row r="9827" spans="2:2" ht="15.5" x14ac:dyDescent="0.35">
      <c r="B9827" s="853">
        <v>225458.91749872686</v>
      </c>
    </row>
    <row r="9828" spans="2:2" ht="15.5" x14ac:dyDescent="0.35">
      <c r="B9828" s="853">
        <v>255775.08228091663</v>
      </c>
    </row>
    <row r="9829" spans="2:2" ht="15.5" x14ac:dyDescent="0.35">
      <c r="B9829" s="853">
        <v>494363.02772450569</v>
      </c>
    </row>
    <row r="9830" spans="2:2" ht="15.5" x14ac:dyDescent="0.35">
      <c r="B9830" s="853">
        <v>72585.308537012359</v>
      </c>
    </row>
    <row r="9831" spans="2:2" ht="15.5" x14ac:dyDescent="0.35">
      <c r="B9831" s="853">
        <v>56792.72036140025</v>
      </c>
    </row>
    <row r="9832" spans="2:2" ht="15.5" x14ac:dyDescent="0.35">
      <c r="B9832" s="853">
        <v>398968.02314658742</v>
      </c>
    </row>
    <row r="9833" spans="2:2" ht="15.5" x14ac:dyDescent="0.35">
      <c r="B9833" s="853">
        <v>240314.75815797405</v>
      </c>
    </row>
    <row r="9834" spans="2:2" ht="15.5" x14ac:dyDescent="0.35">
      <c r="B9834" s="853">
        <v>163074.94920845111</v>
      </c>
    </row>
    <row r="9835" spans="2:2" ht="15.5" x14ac:dyDescent="0.35">
      <c r="B9835" s="853">
        <v>214404.26481884075</v>
      </c>
    </row>
    <row r="9836" spans="2:2" ht="15.5" x14ac:dyDescent="0.35">
      <c r="B9836" s="853">
        <v>574052.05325606908</v>
      </c>
    </row>
    <row r="9837" spans="2:2" ht="15.5" x14ac:dyDescent="0.35">
      <c r="B9837" s="853">
        <v>508147.11688517983</v>
      </c>
    </row>
    <row r="9838" spans="2:2" ht="15.5" x14ac:dyDescent="0.35">
      <c r="B9838" s="853">
        <v>288556.03437180212</v>
      </c>
    </row>
    <row r="9839" spans="2:2" ht="15.5" x14ac:dyDescent="0.35">
      <c r="B9839" s="853">
        <v>482999.04860380321</v>
      </c>
    </row>
    <row r="9840" spans="2:2" ht="15.5" x14ac:dyDescent="0.35">
      <c r="B9840" s="853">
        <v>327595.16408525448</v>
      </c>
    </row>
    <row r="9841" spans="2:2" ht="15.5" x14ac:dyDescent="0.35">
      <c r="B9841" s="853">
        <v>199832.45850554065</v>
      </c>
    </row>
    <row r="9842" spans="2:2" ht="15.5" x14ac:dyDescent="0.35">
      <c r="B9842" s="853">
        <v>537550.47627314308</v>
      </c>
    </row>
    <row r="9843" spans="2:2" ht="15.5" x14ac:dyDescent="0.35">
      <c r="B9843" s="853">
        <v>166549.31208864061</v>
      </c>
    </row>
    <row r="9844" spans="2:2" ht="15.5" x14ac:dyDescent="0.35">
      <c r="B9844" s="853">
        <v>468309.92809038283</v>
      </c>
    </row>
    <row r="9845" spans="2:2" ht="15.5" x14ac:dyDescent="0.35">
      <c r="B9845" s="853">
        <v>506813.5971648515</v>
      </c>
    </row>
    <row r="9846" spans="2:2" ht="15.5" x14ac:dyDescent="0.35">
      <c r="B9846" s="853">
        <v>98288.949631932133</v>
      </c>
    </row>
    <row r="9847" spans="2:2" ht="15.5" x14ac:dyDescent="0.35">
      <c r="B9847" s="853">
        <v>438175.70821920387</v>
      </c>
    </row>
    <row r="9848" spans="2:2" ht="15.5" x14ac:dyDescent="0.35">
      <c r="B9848" s="853">
        <v>417325.91317353462</v>
      </c>
    </row>
    <row r="9849" spans="2:2" ht="15.5" x14ac:dyDescent="0.35">
      <c r="B9849" s="853">
        <v>245542.58922919928</v>
      </c>
    </row>
    <row r="9850" spans="2:2" ht="15.5" x14ac:dyDescent="0.35">
      <c r="B9850" s="853">
        <v>267342.51722222421</v>
      </c>
    </row>
    <row r="9851" spans="2:2" ht="15.5" x14ac:dyDescent="0.35">
      <c r="B9851" s="853">
        <v>197500.9492912323</v>
      </c>
    </row>
    <row r="9852" spans="2:2" ht="15.5" x14ac:dyDescent="0.35">
      <c r="B9852" s="853">
        <v>350766.43175228446</v>
      </c>
    </row>
    <row r="9853" spans="2:2" ht="15.5" x14ac:dyDescent="0.35">
      <c r="B9853" s="853">
        <v>252821.36677695729</v>
      </c>
    </row>
    <row r="9854" spans="2:2" ht="15.5" x14ac:dyDescent="0.35">
      <c r="B9854" s="853">
        <v>602741.09571472777</v>
      </c>
    </row>
    <row r="9855" spans="2:2" ht="15.5" x14ac:dyDescent="0.35">
      <c r="B9855" s="853">
        <v>393872.04075386684</v>
      </c>
    </row>
    <row r="9856" spans="2:2" ht="15.5" x14ac:dyDescent="0.35">
      <c r="B9856" s="853">
        <v>14355.656633042187</v>
      </c>
    </row>
    <row r="9857" spans="2:2" ht="15.5" x14ac:dyDescent="0.35">
      <c r="B9857" s="853">
        <v>334197.52530956897</v>
      </c>
    </row>
    <row r="9858" spans="2:2" ht="15.5" x14ac:dyDescent="0.35">
      <c r="B9858" s="853">
        <v>405460.25208735431</v>
      </c>
    </row>
    <row r="9859" spans="2:2" ht="15.5" x14ac:dyDescent="0.35">
      <c r="B9859" s="853">
        <v>431823.3634904928</v>
      </c>
    </row>
    <row r="9860" spans="2:2" ht="15.5" x14ac:dyDescent="0.35">
      <c r="B9860" s="853">
        <v>329491.02757350862</v>
      </c>
    </row>
    <row r="9861" spans="2:2" ht="15.5" x14ac:dyDescent="0.35">
      <c r="B9861" s="853">
        <v>700155.89495564881</v>
      </c>
    </row>
    <row r="9862" spans="2:2" ht="15.5" x14ac:dyDescent="0.35">
      <c r="B9862" s="853">
        <v>108074.21041381154</v>
      </c>
    </row>
    <row r="9863" spans="2:2" ht="15.5" x14ac:dyDescent="0.35">
      <c r="B9863" s="853">
        <v>349281.09780708648</v>
      </c>
    </row>
    <row r="9864" spans="2:2" ht="15.5" x14ac:dyDescent="0.35">
      <c r="B9864" s="853">
        <v>328946.67576663819</v>
      </c>
    </row>
    <row r="9865" spans="2:2" ht="15.5" x14ac:dyDescent="0.35">
      <c r="B9865" s="853">
        <v>430624.06528320385</v>
      </c>
    </row>
    <row r="9866" spans="2:2" ht="15.5" x14ac:dyDescent="0.35">
      <c r="B9866" s="853">
        <v>413209.45952615055</v>
      </c>
    </row>
    <row r="9867" spans="2:2" ht="15.5" x14ac:dyDescent="0.35">
      <c r="B9867" s="853">
        <v>242601.16434142049</v>
      </c>
    </row>
    <row r="9868" spans="2:2" ht="15.5" x14ac:dyDescent="0.35">
      <c r="B9868" s="853">
        <v>257797.42008638385</v>
      </c>
    </row>
    <row r="9869" spans="2:2" ht="15.5" x14ac:dyDescent="0.35">
      <c r="B9869" s="853">
        <v>200543.08443307024</v>
      </c>
    </row>
    <row r="9870" spans="2:2" ht="15.5" x14ac:dyDescent="0.35">
      <c r="B9870" s="853">
        <v>269862.46956226492</v>
      </c>
    </row>
    <row r="9871" spans="2:2" ht="15.5" x14ac:dyDescent="0.35">
      <c r="B9871" s="853">
        <v>259917.81240670334</v>
      </c>
    </row>
    <row r="9872" spans="2:2" ht="15.5" x14ac:dyDescent="0.35">
      <c r="B9872" s="853">
        <v>380173.189084162</v>
      </c>
    </row>
    <row r="9873" spans="2:2" ht="15.5" x14ac:dyDescent="0.35">
      <c r="B9873" s="853">
        <v>517420.45149513846</v>
      </c>
    </row>
    <row r="9874" spans="2:2" ht="15.5" x14ac:dyDescent="0.35">
      <c r="B9874" s="853">
        <v>241635.16729770982</v>
      </c>
    </row>
    <row r="9875" spans="2:2" ht="15.5" x14ac:dyDescent="0.35">
      <c r="B9875" s="853">
        <v>139304.77711108472</v>
      </c>
    </row>
    <row r="9876" spans="2:2" ht="15.5" x14ac:dyDescent="0.35">
      <c r="B9876" s="853">
        <v>219740.33755144308</v>
      </c>
    </row>
    <row r="9877" spans="2:2" ht="15.5" x14ac:dyDescent="0.35">
      <c r="B9877" s="853">
        <v>463752.06239891116</v>
      </c>
    </row>
    <row r="9878" spans="2:2" ht="15.5" x14ac:dyDescent="0.35">
      <c r="B9878" s="853">
        <v>462612.7708916149</v>
      </c>
    </row>
    <row r="9879" spans="2:2" ht="15.5" x14ac:dyDescent="0.35">
      <c r="B9879" s="853">
        <v>229660.16215071373</v>
      </c>
    </row>
    <row r="9880" spans="2:2" ht="15.5" x14ac:dyDescent="0.35">
      <c r="B9880" s="853">
        <v>373249.54249798757</v>
      </c>
    </row>
    <row r="9881" spans="2:2" ht="15.5" x14ac:dyDescent="0.35">
      <c r="B9881" s="853">
        <v>323366.51408317004</v>
      </c>
    </row>
    <row r="9882" spans="2:2" ht="15.5" x14ac:dyDescent="0.35">
      <c r="B9882" s="853">
        <v>232686.23961371646</v>
      </c>
    </row>
    <row r="9883" spans="2:2" ht="15.5" x14ac:dyDescent="0.35">
      <c r="B9883" s="853">
        <v>378198.63359825703</v>
      </c>
    </row>
    <row r="9884" spans="2:2" ht="15.5" x14ac:dyDescent="0.35">
      <c r="B9884" s="853">
        <v>230811.86210928048</v>
      </c>
    </row>
    <row r="9885" spans="2:2" ht="15.5" x14ac:dyDescent="0.35">
      <c r="B9885" s="853">
        <v>44372.740938429335</v>
      </c>
    </row>
    <row r="9886" spans="2:2" ht="15.5" x14ac:dyDescent="0.35">
      <c r="B9886" s="853">
        <v>193684.27456981794</v>
      </c>
    </row>
    <row r="9887" spans="2:2" ht="15.5" x14ac:dyDescent="0.35">
      <c r="B9887" s="853">
        <v>445063.51810718427</v>
      </c>
    </row>
    <row r="9888" spans="2:2" ht="15.5" x14ac:dyDescent="0.35">
      <c r="B9888" s="853">
        <v>346810.71982352628</v>
      </c>
    </row>
    <row r="9889" spans="2:2" ht="15.5" x14ac:dyDescent="0.35">
      <c r="B9889" s="853">
        <v>307060.66159620526</v>
      </c>
    </row>
    <row r="9890" spans="2:2" ht="15.5" x14ac:dyDescent="0.35">
      <c r="B9890" s="853">
        <v>496842.1138574371</v>
      </c>
    </row>
    <row r="9891" spans="2:2" ht="15.5" x14ac:dyDescent="0.35">
      <c r="B9891" s="853">
        <v>487200.74734279379</v>
      </c>
    </row>
    <row r="9892" spans="2:2" ht="15.5" x14ac:dyDescent="0.35">
      <c r="B9892" s="853">
        <v>219198.37073504925</v>
      </c>
    </row>
    <row r="9893" spans="2:2" ht="15.5" x14ac:dyDescent="0.35">
      <c r="B9893" s="853">
        <v>463758.03551060311</v>
      </c>
    </row>
    <row r="9894" spans="2:2" ht="15.5" x14ac:dyDescent="0.35">
      <c r="B9894" s="853">
        <v>193260.97892247839</v>
      </c>
    </row>
    <row r="9895" spans="2:2" ht="15.5" x14ac:dyDescent="0.35">
      <c r="B9895" s="853">
        <v>184509.74801702242</v>
      </c>
    </row>
    <row r="9896" spans="2:2" ht="15.5" x14ac:dyDescent="0.35">
      <c r="B9896" s="853">
        <v>315357.81595173245</v>
      </c>
    </row>
    <row r="9897" spans="2:2" ht="15.5" x14ac:dyDescent="0.35">
      <c r="B9897" s="853">
        <v>417708.98312091926</v>
      </c>
    </row>
    <row r="9898" spans="2:2" ht="15.5" x14ac:dyDescent="0.35">
      <c r="B9898" s="853">
        <v>97691.19058149289</v>
      </c>
    </row>
    <row r="9899" spans="2:2" ht="15.5" x14ac:dyDescent="0.35">
      <c r="B9899" s="853">
        <v>273909.73084274476</v>
      </c>
    </row>
    <row r="9900" spans="2:2" ht="15.5" x14ac:dyDescent="0.35">
      <c r="B9900" s="853">
        <v>202652.72390838861</v>
      </c>
    </row>
    <row r="9901" spans="2:2" ht="15.5" x14ac:dyDescent="0.35">
      <c r="B9901" s="853">
        <v>284439.72905184428</v>
      </c>
    </row>
    <row r="9902" spans="2:2" ht="15.5" x14ac:dyDescent="0.35">
      <c r="B9902" s="853">
        <v>376127.39287746232</v>
      </c>
    </row>
    <row r="9903" spans="2:2" ht="15.5" x14ac:dyDescent="0.35">
      <c r="B9903" s="853">
        <v>357339.97297896165</v>
      </c>
    </row>
    <row r="9904" spans="2:2" ht="15.5" x14ac:dyDescent="0.35">
      <c r="B9904" s="853">
        <v>328992.70442589797</v>
      </c>
    </row>
    <row r="9905" spans="2:2" ht="15.5" x14ac:dyDescent="0.35">
      <c r="B9905" s="853">
        <v>269197.75917084212</v>
      </c>
    </row>
    <row r="9906" spans="2:2" ht="15.5" x14ac:dyDescent="0.35">
      <c r="B9906" s="853">
        <v>148356.08176652927</v>
      </c>
    </row>
    <row r="9907" spans="2:2" ht="15.5" x14ac:dyDescent="0.35">
      <c r="B9907" s="853">
        <v>63505.224760262587</v>
      </c>
    </row>
    <row r="9908" spans="2:2" ht="15.5" x14ac:dyDescent="0.35">
      <c r="B9908" s="853">
        <v>224046.12315260147</v>
      </c>
    </row>
    <row r="9909" spans="2:2" ht="15.5" x14ac:dyDescent="0.35">
      <c r="B9909" s="853">
        <v>145348.52215651193</v>
      </c>
    </row>
    <row r="9910" spans="2:2" ht="15.5" x14ac:dyDescent="0.35">
      <c r="B9910" s="853">
        <v>5735.5872892532188</v>
      </c>
    </row>
    <row r="9911" spans="2:2" ht="15.5" x14ac:dyDescent="0.35">
      <c r="B9911" s="853">
        <v>662444.82476339699</v>
      </c>
    </row>
    <row r="9912" spans="2:2" ht="15.5" x14ac:dyDescent="0.35">
      <c r="B9912" s="853">
        <v>-78182.958057761178</v>
      </c>
    </row>
    <row r="9913" spans="2:2" ht="15.5" x14ac:dyDescent="0.35">
      <c r="B9913" s="853">
        <v>113085.39388812719</v>
      </c>
    </row>
    <row r="9914" spans="2:2" ht="15.5" x14ac:dyDescent="0.35">
      <c r="B9914" s="853">
        <v>123988.95190074672</v>
      </c>
    </row>
    <row r="9915" spans="2:2" ht="15.5" x14ac:dyDescent="0.35">
      <c r="B9915" s="853">
        <v>301601.45721893793</v>
      </c>
    </row>
    <row r="9916" spans="2:2" ht="15.5" x14ac:dyDescent="0.35">
      <c r="B9916" s="853">
        <v>185033.81085837862</v>
      </c>
    </row>
    <row r="9917" spans="2:2" ht="15.5" x14ac:dyDescent="0.35">
      <c r="B9917" s="853">
        <v>138444.3704478913</v>
      </c>
    </row>
    <row r="9918" spans="2:2" ht="15.5" x14ac:dyDescent="0.35">
      <c r="B9918" s="853">
        <v>201393.65478843829</v>
      </c>
    </row>
    <row r="9919" spans="2:2" ht="15.5" x14ac:dyDescent="0.35">
      <c r="B9919" s="853">
        <v>136407.89335313614</v>
      </c>
    </row>
    <row r="9920" spans="2:2" ht="15.5" x14ac:dyDescent="0.35">
      <c r="B9920" s="853">
        <v>591213.72438558843</v>
      </c>
    </row>
    <row r="9921" spans="2:2" ht="15.5" x14ac:dyDescent="0.35">
      <c r="B9921" s="853">
        <v>49759.082859915958</v>
      </c>
    </row>
    <row r="9922" spans="2:2" ht="15.5" x14ac:dyDescent="0.35">
      <c r="B9922" s="853">
        <v>533026.73628376808</v>
      </c>
    </row>
    <row r="9923" spans="2:2" ht="15.5" x14ac:dyDescent="0.35">
      <c r="B9923" s="853">
        <v>298550.07271064969</v>
      </c>
    </row>
    <row r="9924" spans="2:2" ht="15.5" x14ac:dyDescent="0.35">
      <c r="B9924" s="853">
        <v>441678.43936475943</v>
      </c>
    </row>
    <row r="9925" spans="2:2" ht="15.5" x14ac:dyDescent="0.35">
      <c r="B9925" s="853">
        <v>511193.79700746649</v>
      </c>
    </row>
    <row r="9926" spans="2:2" ht="15.5" x14ac:dyDescent="0.35">
      <c r="B9926" s="853">
        <v>187249.62144274131</v>
      </c>
    </row>
    <row r="9927" spans="2:2" ht="15.5" x14ac:dyDescent="0.35">
      <c r="B9927" s="853">
        <v>397903.45606622245</v>
      </c>
    </row>
    <row r="9928" spans="2:2" ht="15.5" x14ac:dyDescent="0.35">
      <c r="B9928" s="853">
        <v>373122.22782724281</v>
      </c>
    </row>
    <row r="9929" spans="2:2" ht="15.5" x14ac:dyDescent="0.35">
      <c r="B9929" s="853">
        <v>233206.2515703286</v>
      </c>
    </row>
    <row r="9930" spans="2:2" ht="15.5" x14ac:dyDescent="0.35">
      <c r="B9930" s="853">
        <v>685084.96801282268</v>
      </c>
    </row>
    <row r="9931" spans="2:2" ht="15.5" x14ac:dyDescent="0.35">
      <c r="B9931" s="853">
        <v>235654.75840516819</v>
      </c>
    </row>
    <row r="9932" spans="2:2" ht="15.5" x14ac:dyDescent="0.35">
      <c r="B9932" s="853">
        <v>327717.57621465938</v>
      </c>
    </row>
    <row r="9933" spans="2:2" ht="15.5" x14ac:dyDescent="0.35">
      <c r="B9933" s="853">
        <v>202577.12755486643</v>
      </c>
    </row>
    <row r="9934" spans="2:2" ht="15.5" x14ac:dyDescent="0.35">
      <c r="B9934" s="853">
        <v>255259.3829046422</v>
      </c>
    </row>
    <row r="9935" spans="2:2" ht="15.5" x14ac:dyDescent="0.35">
      <c r="B9935" s="853">
        <v>303975.03388913855</v>
      </c>
    </row>
    <row r="9936" spans="2:2" ht="15.5" x14ac:dyDescent="0.35">
      <c r="B9936" s="853">
        <v>111681.52370946789</v>
      </c>
    </row>
    <row r="9937" spans="2:2" ht="15.5" x14ac:dyDescent="0.35">
      <c r="B9937" s="853">
        <v>135540.36980280961</v>
      </c>
    </row>
    <row r="9938" spans="2:2" ht="15.5" x14ac:dyDescent="0.35">
      <c r="B9938" s="853">
        <v>424398.82318604691</v>
      </c>
    </row>
    <row r="9939" spans="2:2" ht="15.5" x14ac:dyDescent="0.35">
      <c r="B9939" s="853">
        <v>219211.8920264013</v>
      </c>
    </row>
    <row r="9940" spans="2:2" ht="15.5" x14ac:dyDescent="0.35">
      <c r="B9940" s="853">
        <v>6599.8292832900761</v>
      </c>
    </row>
    <row r="9941" spans="2:2" ht="15.5" x14ac:dyDescent="0.35">
      <c r="B9941" s="853">
        <v>512601.37822037056</v>
      </c>
    </row>
    <row r="9942" spans="2:2" ht="15.5" x14ac:dyDescent="0.35">
      <c r="B9942" s="853">
        <v>273511.396520379</v>
      </c>
    </row>
    <row r="9943" spans="2:2" ht="15.5" x14ac:dyDescent="0.35">
      <c r="B9943" s="853">
        <v>143064.46740051467</v>
      </c>
    </row>
    <row r="9944" spans="2:2" ht="15.5" x14ac:dyDescent="0.35">
      <c r="B9944" s="853">
        <v>494313.21119932283</v>
      </c>
    </row>
    <row r="9945" spans="2:2" ht="15.5" x14ac:dyDescent="0.35">
      <c r="B9945" s="853">
        <v>118104.43374434258</v>
      </c>
    </row>
    <row r="9946" spans="2:2" ht="15.5" x14ac:dyDescent="0.35">
      <c r="B9946" s="853">
        <v>339727.83102728683</v>
      </c>
    </row>
    <row r="9947" spans="2:2" ht="15.5" x14ac:dyDescent="0.35">
      <c r="B9947" s="853">
        <v>168052.0275738778</v>
      </c>
    </row>
    <row r="9948" spans="2:2" ht="15.5" x14ac:dyDescent="0.35">
      <c r="B9948" s="853">
        <v>555120.56573846727</v>
      </c>
    </row>
    <row r="9949" spans="2:2" ht="15.5" x14ac:dyDescent="0.35">
      <c r="B9949" s="853">
        <v>258383.66725765457</v>
      </c>
    </row>
    <row r="9950" spans="2:2" ht="15.5" x14ac:dyDescent="0.35">
      <c r="B9950" s="853">
        <v>466444.23852807109</v>
      </c>
    </row>
    <row r="9951" spans="2:2" ht="15.5" x14ac:dyDescent="0.35">
      <c r="B9951" s="853">
        <v>65630.820553623402</v>
      </c>
    </row>
    <row r="9952" spans="2:2" ht="15.5" x14ac:dyDescent="0.35">
      <c r="B9952" s="853">
        <v>180489.9169076189</v>
      </c>
    </row>
    <row r="9953" spans="2:2" ht="15.5" x14ac:dyDescent="0.35">
      <c r="B9953" s="853">
        <v>232768.28813178738</v>
      </c>
    </row>
    <row r="9954" spans="2:2" ht="15.5" x14ac:dyDescent="0.35">
      <c r="B9954" s="853">
        <v>73089.538099606449</v>
      </c>
    </row>
    <row r="9955" spans="2:2" ht="15.5" x14ac:dyDescent="0.35">
      <c r="B9955" s="853">
        <v>285932.39180050482</v>
      </c>
    </row>
    <row r="9956" spans="2:2" ht="15.5" x14ac:dyDescent="0.35">
      <c r="B9956" s="853">
        <v>279685.36034235725</v>
      </c>
    </row>
    <row r="9957" spans="2:2" ht="15.5" x14ac:dyDescent="0.35">
      <c r="B9957" s="853">
        <v>-25786.386006726028</v>
      </c>
    </row>
    <row r="9958" spans="2:2" ht="15.5" x14ac:dyDescent="0.35">
      <c r="B9958" s="853">
        <v>188967.14330733154</v>
      </c>
    </row>
    <row r="9959" spans="2:2" ht="15.5" x14ac:dyDescent="0.35">
      <c r="B9959" s="853">
        <v>159337.87534762244</v>
      </c>
    </row>
    <row r="9960" spans="2:2" ht="15.5" x14ac:dyDescent="0.35">
      <c r="B9960" s="853">
        <v>344432.21663395752</v>
      </c>
    </row>
    <row r="9961" spans="2:2" ht="15.5" x14ac:dyDescent="0.35">
      <c r="B9961" s="853">
        <v>183099.760330941</v>
      </c>
    </row>
    <row r="9962" spans="2:2" ht="15.5" x14ac:dyDescent="0.35">
      <c r="B9962" s="853">
        <v>616938.51469981601</v>
      </c>
    </row>
    <row r="9963" spans="2:2" ht="15.5" x14ac:dyDescent="0.35">
      <c r="B9963" s="853">
        <v>111277.41980415226</v>
      </c>
    </row>
    <row r="9964" spans="2:2" ht="15.5" x14ac:dyDescent="0.35">
      <c r="B9964" s="853">
        <v>320093.80668629834</v>
      </c>
    </row>
    <row r="9965" spans="2:2" ht="15.5" x14ac:dyDescent="0.35">
      <c r="B9965" s="853">
        <v>69994.796849309452</v>
      </c>
    </row>
    <row r="9966" spans="2:2" ht="15.5" x14ac:dyDescent="0.35">
      <c r="B9966" s="853">
        <v>216122.67799369909</v>
      </c>
    </row>
    <row r="9967" spans="2:2" ht="15.5" x14ac:dyDescent="0.35">
      <c r="B9967" s="853">
        <v>277980.42052269581</v>
      </c>
    </row>
    <row r="9968" spans="2:2" ht="15.5" x14ac:dyDescent="0.35">
      <c r="B9968" s="853">
        <v>-68488.067168577225</v>
      </c>
    </row>
    <row r="9969" spans="2:2" ht="15.5" x14ac:dyDescent="0.35">
      <c r="B9969" s="853">
        <v>422909.2418280383</v>
      </c>
    </row>
    <row r="9970" spans="2:2" ht="15.5" x14ac:dyDescent="0.35">
      <c r="B9970" s="853">
        <v>115352.62537333176</v>
      </c>
    </row>
    <row r="9971" spans="2:2" ht="15.5" x14ac:dyDescent="0.35">
      <c r="B9971" s="853">
        <v>230328.05045578151</v>
      </c>
    </row>
    <row r="9972" spans="2:2" ht="15.5" x14ac:dyDescent="0.35">
      <c r="B9972" s="853">
        <v>404989.81264356687</v>
      </c>
    </row>
    <row r="9973" spans="2:2" ht="15.5" x14ac:dyDescent="0.35">
      <c r="B9973" s="853">
        <v>222778.42208610446</v>
      </c>
    </row>
    <row r="9974" spans="2:2" ht="15.5" x14ac:dyDescent="0.35">
      <c r="B9974" s="853">
        <v>162104.43911207898</v>
      </c>
    </row>
    <row r="9975" spans="2:2" ht="15.5" x14ac:dyDescent="0.35">
      <c r="B9975" s="853">
        <v>381103.06999618071</v>
      </c>
    </row>
    <row r="9976" spans="2:2" ht="15.5" x14ac:dyDescent="0.35">
      <c r="B9976" s="853">
        <v>3259.6718954804155</v>
      </c>
    </row>
    <row r="9977" spans="2:2" ht="15.5" x14ac:dyDescent="0.35">
      <c r="B9977" s="853">
        <v>448068.61823999241</v>
      </c>
    </row>
    <row r="9978" spans="2:2" ht="15.5" x14ac:dyDescent="0.35">
      <c r="B9978" s="853">
        <v>254899.11986090941</v>
      </c>
    </row>
    <row r="9979" spans="2:2" ht="15.5" x14ac:dyDescent="0.35">
      <c r="B9979" s="853">
        <v>125514.85937162457</v>
      </c>
    </row>
    <row r="9980" spans="2:2" ht="15.5" x14ac:dyDescent="0.35">
      <c r="B9980" s="853">
        <v>484132.64284234191</v>
      </c>
    </row>
    <row r="9981" spans="2:2" ht="15.5" x14ac:dyDescent="0.35">
      <c r="B9981" s="853">
        <v>505303.1046188628</v>
      </c>
    </row>
    <row r="9982" spans="2:2" ht="15.5" x14ac:dyDescent="0.35">
      <c r="B9982" s="853">
        <v>254422.06335520369</v>
      </c>
    </row>
    <row r="9983" spans="2:2" ht="15.5" x14ac:dyDescent="0.35">
      <c r="B9983" s="853">
        <v>376131.91763441317</v>
      </c>
    </row>
    <row r="9984" spans="2:2" ht="15.5" x14ac:dyDescent="0.35">
      <c r="B9984" s="853">
        <v>57106.017320219427</v>
      </c>
    </row>
    <row r="9985" spans="2:2" ht="15.5" x14ac:dyDescent="0.35">
      <c r="B9985" s="853">
        <v>434228.05487817165</v>
      </c>
    </row>
    <row r="9986" spans="2:2" ht="15.5" x14ac:dyDescent="0.35">
      <c r="B9986" s="853">
        <v>395938.11338922573</v>
      </c>
    </row>
    <row r="9987" spans="2:2" ht="15.5" x14ac:dyDescent="0.35">
      <c r="B9987" s="853">
        <v>291190.28032525285</v>
      </c>
    </row>
    <row r="9988" spans="2:2" ht="15.5" x14ac:dyDescent="0.35">
      <c r="B9988" s="853">
        <v>160151.6782556783</v>
      </c>
    </row>
    <row r="9989" spans="2:2" ht="15.5" x14ac:dyDescent="0.35">
      <c r="B9989" s="853">
        <v>53373.716399929093</v>
      </c>
    </row>
    <row r="9990" spans="2:2" ht="15.5" x14ac:dyDescent="0.35">
      <c r="B9990" s="853">
        <v>332792.16495521448</v>
      </c>
    </row>
    <row r="9991" spans="2:2" ht="15.5" x14ac:dyDescent="0.35">
      <c r="B9991" s="853">
        <v>459047.63358040305</v>
      </c>
    </row>
    <row r="9992" spans="2:2" ht="15.5" x14ac:dyDescent="0.35">
      <c r="B9992" s="853">
        <v>411803.02549336659</v>
      </c>
    </row>
    <row r="9993" spans="2:2" ht="15.5" x14ac:dyDescent="0.35">
      <c r="B9993" s="853">
        <v>391882.50272516109</v>
      </c>
    </row>
    <row r="9994" spans="2:2" ht="15.5" x14ac:dyDescent="0.35">
      <c r="B9994" s="853">
        <v>563051.80191081157</v>
      </c>
    </row>
    <row r="9995" spans="2:2" ht="15.5" x14ac:dyDescent="0.35">
      <c r="B9995" s="853">
        <v>450072.45684119314</v>
      </c>
    </row>
    <row r="9996" spans="2:2" ht="15.5" x14ac:dyDescent="0.35">
      <c r="B9996" s="853">
        <v>263573.92012334178</v>
      </c>
    </row>
    <row r="9997" spans="2:2" ht="15.5" x14ac:dyDescent="0.35">
      <c r="B9997" s="853">
        <v>156205.96788849542</v>
      </c>
    </row>
    <row r="9998" spans="2:2" ht="15.5" x14ac:dyDescent="0.35">
      <c r="B9998" s="853">
        <v>188315.04868662244</v>
      </c>
    </row>
    <row r="9999" spans="2:2" ht="15.5" x14ac:dyDescent="0.35">
      <c r="B9999" s="853">
        <v>326814.65934200917</v>
      </c>
    </row>
    <row r="10000" spans="2:2" ht="15.5" x14ac:dyDescent="0.35">
      <c r="B10000" s="853">
        <v>309739.97046902287</v>
      </c>
    </row>
    <row r="10001" spans="2:2" ht="15.5" x14ac:dyDescent="0.35">
      <c r="B10001" s="853">
        <v>20512.279833599529</v>
      </c>
    </row>
    <row r="10002" spans="2:2" ht="15.5" x14ac:dyDescent="0.35">
      <c r="B10002" s="853">
        <v>239585.21998990624</v>
      </c>
    </row>
    <row r="10003" spans="2:2" ht="15.5" x14ac:dyDescent="0.35">
      <c r="B10003" s="853">
        <v>297905.09498352092</v>
      </c>
    </row>
    <row r="10004" spans="2:2" ht="15.5" x14ac:dyDescent="0.35">
      <c r="B10004" s="853">
        <v>277424.27617035672</v>
      </c>
    </row>
    <row r="10005" spans="2:2" ht="15.5" x14ac:dyDescent="0.35">
      <c r="B10005" s="853">
        <v>357302.74351989169</v>
      </c>
    </row>
    <row r="10006" spans="2:2" ht="15.5" x14ac:dyDescent="0.35">
      <c r="B10006" s="853">
        <v>140040.72836461241</v>
      </c>
    </row>
    <row r="10007" spans="2:2" ht="15.5" x14ac:dyDescent="0.35">
      <c r="B10007" s="853">
        <v>244433.30267721397</v>
      </c>
    </row>
    <row r="10008" spans="2:2" ht="15.5" x14ac:dyDescent="0.35">
      <c r="B10008" s="853">
        <v>-29767.574823085637</v>
      </c>
    </row>
    <row r="10009" spans="2:2" ht="15.5" x14ac:dyDescent="0.35">
      <c r="B10009" s="853">
        <v>325401.39575734583</v>
      </c>
    </row>
    <row r="10010" spans="2:2" ht="15.5" x14ac:dyDescent="0.35">
      <c r="B10010" s="853">
        <v>179847.18684665693</v>
      </c>
    </row>
    <row r="10011" spans="2:2" ht="15.5" x14ac:dyDescent="0.35">
      <c r="B10011" s="853">
        <v>344537.28304933704</v>
      </c>
    </row>
    <row r="10012" spans="2:2" ht="15.5" x14ac:dyDescent="0.35">
      <c r="B10012" s="853">
        <v>312073.27479383635</v>
      </c>
    </row>
    <row r="10013" spans="2:2" ht="15.5" x14ac:dyDescent="0.35">
      <c r="B10013" s="853">
        <v>34089.482583508288</v>
      </c>
    </row>
    <row r="10014" spans="2:2" ht="15.5" x14ac:dyDescent="0.35">
      <c r="B10014" s="853">
        <v>318800.37232057721</v>
      </c>
    </row>
    <row r="10015" spans="2:2" ht="15.5" x14ac:dyDescent="0.35">
      <c r="B10015" s="853">
        <v>242824.72826644406</v>
      </c>
    </row>
    <row r="10016" spans="2:2" ht="15.5" x14ac:dyDescent="0.35">
      <c r="B10016" s="853">
        <v>255682.45333854339</v>
      </c>
    </row>
    <row r="10017" spans="2:2" ht="15.5" x14ac:dyDescent="0.35">
      <c r="B10017" s="853">
        <v>175987.07871328699</v>
      </c>
    </row>
    <row r="10018" spans="2:2" ht="15.5" x14ac:dyDescent="0.35">
      <c r="B10018" s="853">
        <v>140094.45759208684</v>
      </c>
    </row>
    <row r="10019" spans="2:2" ht="15.5" x14ac:dyDescent="0.35">
      <c r="B10019" s="853">
        <v>259691.86799398117</v>
      </c>
    </row>
    <row r="10020" spans="2:2" ht="15.5" x14ac:dyDescent="0.35">
      <c r="B10020" s="853">
        <v>476489.17262096412</v>
      </c>
    </row>
    <row r="10021" spans="2:2" ht="15.5" x14ac:dyDescent="0.35">
      <c r="B10021" s="853">
        <v>410877.14705078671</v>
      </c>
    </row>
    <row r="10022" spans="2:2" ht="15.5" x14ac:dyDescent="0.35">
      <c r="B10022" s="853">
        <v>561628.55120200606</v>
      </c>
    </row>
    <row r="10023" spans="2:2" ht="15.5" x14ac:dyDescent="0.35">
      <c r="B10023" s="853">
        <v>219500.74587419271</v>
      </c>
    </row>
    <row r="10024" spans="2:2" ht="15.5" x14ac:dyDescent="0.35">
      <c r="B10024" s="853">
        <v>233626.74909602961</v>
      </c>
    </row>
    <row r="10025" spans="2:2" ht="15.5" x14ac:dyDescent="0.35">
      <c r="B10025" s="853">
        <v>261369.7970673099</v>
      </c>
    </row>
    <row r="10026" spans="2:2" ht="15.5" x14ac:dyDescent="0.35">
      <c r="B10026" s="853">
        <v>258656.31615874078</v>
      </c>
    </row>
    <row r="10027" spans="2:2" ht="15.5" x14ac:dyDescent="0.35">
      <c r="B10027" s="853">
        <v>518118.88662331173</v>
      </c>
    </row>
    <row r="10028" spans="2:2" ht="15.5" x14ac:dyDescent="0.35">
      <c r="B10028" s="853">
        <v>609573.60539559671</v>
      </c>
    </row>
    <row r="10029" spans="2:2" ht="15.5" x14ac:dyDescent="0.35">
      <c r="B10029" s="853">
        <v>12509.249941218537</v>
      </c>
    </row>
    <row r="10030" spans="2:2" ht="15.5" x14ac:dyDescent="0.35">
      <c r="B10030" s="853">
        <v>458671.4780722289</v>
      </c>
    </row>
    <row r="10031" spans="2:2" ht="15.5" x14ac:dyDescent="0.35">
      <c r="B10031" s="853">
        <v>500281.17933692248</v>
      </c>
    </row>
    <row r="10032" spans="2:2" ht="15.5" x14ac:dyDescent="0.35">
      <c r="B10032" s="853">
        <v>434217.41303493083</v>
      </c>
    </row>
    <row r="10033" spans="2:2" ht="15.5" x14ac:dyDescent="0.35">
      <c r="B10033" s="853">
        <v>229082.15480161717</v>
      </c>
    </row>
    <row r="10034" spans="2:2" ht="15.5" x14ac:dyDescent="0.35">
      <c r="B10034" s="853">
        <v>141570.52191691721</v>
      </c>
    </row>
    <row r="10035" spans="2:2" ht="15.5" x14ac:dyDescent="0.35">
      <c r="B10035" s="853">
        <v>375424.44024247886</v>
      </c>
    </row>
    <row r="10036" spans="2:2" ht="15.5" x14ac:dyDescent="0.35">
      <c r="B10036" s="853">
        <v>239624.43592420706</v>
      </c>
    </row>
    <row r="10037" spans="2:2" ht="15.5" x14ac:dyDescent="0.35">
      <c r="B10037" s="853">
        <v>470069.00144518225</v>
      </c>
    </row>
    <row r="10038" spans="2:2" ht="15.5" x14ac:dyDescent="0.35">
      <c r="B10038" s="853">
        <v>24441.939351432746</v>
      </c>
    </row>
    <row r="10039" spans="2:2" ht="15.5" x14ac:dyDescent="0.35">
      <c r="B10039" s="853">
        <v>384679.90708925895</v>
      </c>
    </row>
    <row r="10040" spans="2:2" ht="15.5" x14ac:dyDescent="0.35">
      <c r="B10040" s="853">
        <v>212178.48580307647</v>
      </c>
    </row>
    <row r="10041" spans="2:2" ht="15.5" x14ac:dyDescent="0.35">
      <c r="B10041" s="853">
        <v>51862.602058533696</v>
      </c>
    </row>
    <row r="10042" spans="2:2" ht="15.5" x14ac:dyDescent="0.35">
      <c r="B10042" s="853">
        <v>235401.36616952065</v>
      </c>
    </row>
    <row r="10043" spans="2:2" ht="15.5" x14ac:dyDescent="0.35">
      <c r="B10043" s="853">
        <v>63293.128644111042</v>
      </c>
    </row>
    <row r="10044" spans="2:2" ht="15.5" x14ac:dyDescent="0.35">
      <c r="B10044" s="853">
        <v>241328.75975826249</v>
      </c>
    </row>
    <row r="10045" spans="2:2" ht="15.5" x14ac:dyDescent="0.35">
      <c r="B10045" s="853">
        <v>164357.49301762905</v>
      </c>
    </row>
    <row r="10046" spans="2:2" ht="15.5" x14ac:dyDescent="0.35">
      <c r="B10046" s="853">
        <v>467260.86287267518</v>
      </c>
    </row>
    <row r="10047" spans="2:2" ht="15.5" x14ac:dyDescent="0.35">
      <c r="B10047" s="853">
        <v>599145.71385060542</v>
      </c>
    </row>
    <row r="10048" spans="2:2" ht="15.5" x14ac:dyDescent="0.35">
      <c r="B10048" s="853">
        <v>465640.18677046953</v>
      </c>
    </row>
    <row r="10049" spans="2:2" ht="15.5" x14ac:dyDescent="0.35">
      <c r="B10049" s="853">
        <v>423678.80904886074</v>
      </c>
    </row>
    <row r="10050" spans="2:2" ht="15.5" x14ac:dyDescent="0.35">
      <c r="B10050" s="853">
        <v>426136.44386679068</v>
      </c>
    </row>
    <row r="10051" spans="2:2" ht="15.5" x14ac:dyDescent="0.35">
      <c r="B10051" s="853">
        <v>365608.29793463327</v>
      </c>
    </row>
    <row r="10052" spans="2:2" ht="15.5" x14ac:dyDescent="0.35">
      <c r="B10052" s="853">
        <v>509643.19698332058</v>
      </c>
    </row>
    <row r="10053" spans="2:2" ht="15.5" x14ac:dyDescent="0.35">
      <c r="B10053" s="853">
        <v>270848.51770868129</v>
      </c>
    </row>
    <row r="10054" spans="2:2" ht="15.5" x14ac:dyDescent="0.35">
      <c r="B10054" s="853">
        <v>-10370.946238433267</v>
      </c>
    </row>
  </sheetData>
  <conditionalFormatting sqref="D7:H11">
    <cfRule type="colorScale" priority="1">
      <colorScale>
        <cfvo type="num" val="0"/>
        <cfvo type="num" val="178300"/>
        <cfvo type="num" val="440000"/>
        <color rgb="FFF8696B"/>
        <color theme="0"/>
        <color rgb="FF63BE7B"/>
      </colorScale>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86F52-5C5D-495D-89F1-4BE6F7F39BC3}">
  <dimension ref="A1:BX561"/>
  <sheetViews>
    <sheetView showGridLines="0" zoomScale="85" zoomScaleNormal="85" workbookViewId="0">
      <selection activeCell="U140" sqref="U140"/>
    </sheetView>
  </sheetViews>
  <sheetFormatPr defaultRowHeight="14" x14ac:dyDescent="0.3"/>
  <cols>
    <col min="1" max="1" width="9.75" bestFit="1" customWidth="1"/>
    <col min="2" max="2" width="8.75" bestFit="1" customWidth="1"/>
    <col min="3" max="3" width="12.75" customWidth="1"/>
    <col min="4" max="5" width="8.75" bestFit="1" customWidth="1"/>
    <col min="6" max="7" width="10.08203125" bestFit="1" customWidth="1"/>
    <col min="8" max="10" width="8.75" bestFit="1" customWidth="1"/>
    <col min="11" max="12" width="10.08203125" bestFit="1" customWidth="1"/>
    <col min="13" max="27" width="10.08203125" customWidth="1"/>
    <col min="29" max="29" width="10.58203125" customWidth="1"/>
    <col min="30" max="35" width="7.58203125" customWidth="1"/>
    <col min="37" max="43" width="7.58203125" customWidth="1"/>
    <col min="58" max="58" width="9.75" bestFit="1" customWidth="1"/>
    <col min="59" max="59" width="10.08203125" bestFit="1" customWidth="1"/>
    <col min="60" max="60" width="8.75" bestFit="1" customWidth="1"/>
    <col min="61" max="61" width="12.75" customWidth="1"/>
    <col min="62" max="62" width="8.75" bestFit="1" customWidth="1"/>
    <col min="63" max="63" width="10.08203125" bestFit="1" customWidth="1"/>
    <col min="64" max="65" width="8.75" bestFit="1" customWidth="1"/>
  </cols>
  <sheetData>
    <row r="1" spans="1:76" x14ac:dyDescent="0.3">
      <c r="A1" t="s">
        <v>692</v>
      </c>
      <c r="B1" t="s">
        <v>693</v>
      </c>
      <c r="C1" t="s">
        <v>693</v>
      </c>
      <c r="D1" t="s">
        <v>693</v>
      </c>
      <c r="E1" t="s">
        <v>693</v>
      </c>
      <c r="F1" t="s">
        <v>693</v>
      </c>
      <c r="G1" t="s">
        <v>693</v>
      </c>
      <c r="H1" t="s">
        <v>693</v>
      </c>
      <c r="I1" t="s">
        <v>693</v>
      </c>
      <c r="J1" t="s">
        <v>693</v>
      </c>
      <c r="K1" t="s">
        <v>694</v>
      </c>
      <c r="L1" t="s">
        <v>693</v>
      </c>
      <c r="AP1" t="s">
        <v>693</v>
      </c>
      <c r="AQ1" t="s">
        <v>693</v>
      </c>
      <c r="AR1" t="s">
        <v>695</v>
      </c>
      <c r="AS1" t="s">
        <v>695</v>
      </c>
      <c r="BG1" t="s">
        <v>693</v>
      </c>
      <c r="BH1" t="s">
        <v>693</v>
      </c>
      <c r="BI1" t="s">
        <v>693</v>
      </c>
      <c r="BJ1" t="s">
        <v>693</v>
      </c>
      <c r="BK1" t="s">
        <v>693</v>
      </c>
      <c r="BL1" t="s">
        <v>693</v>
      </c>
      <c r="BM1" t="s">
        <v>693</v>
      </c>
      <c r="BN1" t="s">
        <v>696</v>
      </c>
      <c r="BO1" t="s">
        <v>696</v>
      </c>
      <c r="BP1" t="s">
        <v>696</v>
      </c>
      <c r="BQ1" t="s">
        <v>696</v>
      </c>
      <c r="BR1" t="s">
        <v>696</v>
      </c>
      <c r="BS1" t="s">
        <v>696</v>
      </c>
      <c r="BT1" t="s">
        <v>696</v>
      </c>
      <c r="BV1" t="s">
        <v>692</v>
      </c>
    </row>
    <row r="2" spans="1:76" x14ac:dyDescent="0.3">
      <c r="B2" t="s">
        <v>697</v>
      </c>
      <c r="C2" t="s">
        <v>698</v>
      </c>
      <c r="D2" t="s">
        <v>699</v>
      </c>
      <c r="E2" t="s">
        <v>700</v>
      </c>
      <c r="F2" t="s">
        <v>701</v>
      </c>
      <c r="G2" t="s">
        <v>702</v>
      </c>
      <c r="H2" t="s">
        <v>703</v>
      </c>
      <c r="I2" t="s">
        <v>704</v>
      </c>
      <c r="J2" t="s">
        <v>705</v>
      </c>
      <c r="K2" t="s">
        <v>697</v>
      </c>
      <c r="L2" t="s">
        <v>706</v>
      </c>
      <c r="N2" t="s">
        <v>699</v>
      </c>
      <c r="O2" t="s">
        <v>697</v>
      </c>
      <c r="P2" t="s">
        <v>700</v>
      </c>
      <c r="Q2" t="s">
        <v>701</v>
      </c>
      <c r="R2" t="s">
        <v>702</v>
      </c>
      <c r="S2" t="s">
        <v>698</v>
      </c>
      <c r="AO2" t="s">
        <v>692</v>
      </c>
      <c r="AP2" t="s">
        <v>706</v>
      </c>
      <c r="AQ2" t="s">
        <v>702</v>
      </c>
      <c r="AR2" t="s">
        <v>702</v>
      </c>
      <c r="AS2" t="s">
        <v>702</v>
      </c>
      <c r="BF2" t="s">
        <v>692</v>
      </c>
      <c r="BG2" t="s">
        <v>701</v>
      </c>
      <c r="BH2" t="s">
        <v>697</v>
      </c>
      <c r="BI2" t="s">
        <v>698</v>
      </c>
      <c r="BJ2" t="s">
        <v>700</v>
      </c>
      <c r="BK2" t="s">
        <v>706</v>
      </c>
      <c r="BL2" t="s">
        <v>703</v>
      </c>
      <c r="BM2" t="s">
        <v>705</v>
      </c>
      <c r="BN2" t="s">
        <v>701</v>
      </c>
      <c r="BO2" t="s">
        <v>697</v>
      </c>
      <c r="BP2" t="s">
        <v>698</v>
      </c>
      <c r="BQ2" t="s">
        <v>700</v>
      </c>
      <c r="BR2" t="s">
        <v>706</v>
      </c>
      <c r="BS2" t="s">
        <v>703</v>
      </c>
      <c r="BT2" t="s">
        <v>705</v>
      </c>
      <c r="BW2" t="s">
        <v>707</v>
      </c>
      <c r="BX2" t="s">
        <v>708</v>
      </c>
    </row>
    <row r="3" spans="1:76" x14ac:dyDescent="0.3">
      <c r="A3" s="749">
        <v>45757</v>
      </c>
      <c r="B3">
        <v>183200</v>
      </c>
      <c r="C3">
        <v>3862.5990000000002</v>
      </c>
      <c r="D3">
        <v>56400</v>
      </c>
      <c r="E3">
        <v>68.66</v>
      </c>
      <c r="F3">
        <v>18145.55</v>
      </c>
      <c r="G3">
        <v>2449.31</v>
      </c>
      <c r="H3">
        <v>681.79</v>
      </c>
      <c r="I3">
        <v>325.08</v>
      </c>
      <c r="J3">
        <v>2252.65</v>
      </c>
      <c r="K3">
        <v>28720000</v>
      </c>
      <c r="L3">
        <v>5195.43</v>
      </c>
      <c r="M3" s="749">
        <v>45757</v>
      </c>
      <c r="N3">
        <v>0.83185840707964598</v>
      </c>
      <c r="O3">
        <v>1.6357142857142857</v>
      </c>
      <c r="P3">
        <v>0.95176046576102014</v>
      </c>
      <c r="Q3">
        <v>1.2665052494335971</v>
      </c>
      <c r="R3">
        <v>0.91544168488721933</v>
      </c>
      <c r="S3">
        <v>1.237948618677049</v>
      </c>
      <c r="AO3" s="749">
        <v>45757</v>
      </c>
      <c r="AP3">
        <v>18145.55</v>
      </c>
      <c r="AQ3">
        <v>2449.31</v>
      </c>
      <c r="AR3">
        <f t="shared" ref="AR3:AR66" si="0">+AP3/$AP$524</f>
        <v>4.1696654258008179</v>
      </c>
      <c r="AS3">
        <f t="shared" ref="AS3:AS66" si="1">+AQ3/$AQ$524</f>
        <v>1.2496097058253319</v>
      </c>
      <c r="BF3" s="749">
        <v>45757</v>
      </c>
      <c r="BG3">
        <v>18145.55</v>
      </c>
      <c r="BH3">
        <v>183200</v>
      </c>
      <c r="BI3">
        <v>3862.5990000000002</v>
      </c>
      <c r="BJ3">
        <v>68.66</v>
      </c>
      <c r="BK3">
        <v>5195.43</v>
      </c>
      <c r="BL3">
        <v>681.79</v>
      </c>
      <c r="BM3">
        <v>2252.65</v>
      </c>
      <c r="BN3" s="14">
        <f>+BG3/BG4-1</f>
        <v>4.2985567057714391E-2</v>
      </c>
      <c r="BO3" s="14">
        <f t="shared" ref="BO3:BO66" si="2">+BH3/BH4-1</f>
        <v>5.4884742041712009E-3</v>
      </c>
      <c r="BP3" s="14">
        <f t="shared" ref="BP3:BP66" si="3">+BI3/BI4-1</f>
        <v>7.3643526130215298E-2</v>
      </c>
      <c r="BQ3" s="14">
        <f t="shared" ref="BQ3:BQ66" si="4">+BJ3/BJ4-1</f>
        <v>6.087762669962915E-2</v>
      </c>
      <c r="BR3" s="14">
        <f t="shared" ref="BR3:BR66" si="5">+BK3/BK4-1</f>
        <v>2.3915665499952832E-2</v>
      </c>
      <c r="BS3" s="14">
        <f t="shared" ref="BS3:BS66" si="6">+BL3/BL4-1</f>
        <v>-8.1467580267388096E-3</v>
      </c>
      <c r="BT3" s="14">
        <f t="shared" ref="BT3:BT66" si="7">+BM3/BM4-1</f>
        <v>-9.9112165963430865E-3</v>
      </c>
      <c r="BV3" s="749">
        <v>45757</v>
      </c>
      <c r="BW3">
        <f t="shared" ref="BW3:BW66" si="8">+L3/$L$524</f>
        <v>2.49638666525721</v>
      </c>
      <c r="BX3">
        <f t="shared" ref="BX3:BX66" si="9">+C3/$C$524</f>
        <v>5.5490096079806008</v>
      </c>
    </row>
    <row r="4" spans="1:76" x14ac:dyDescent="0.3">
      <c r="A4" s="749">
        <v>45751</v>
      </c>
      <c r="B4">
        <v>182200</v>
      </c>
      <c r="C4">
        <v>3597.6550000000002</v>
      </c>
      <c r="D4">
        <v>56100</v>
      </c>
      <c r="E4">
        <v>64.72</v>
      </c>
      <c r="F4">
        <v>17397.7</v>
      </c>
      <c r="G4">
        <v>2474.48</v>
      </c>
      <c r="H4">
        <v>687.39</v>
      </c>
      <c r="I4">
        <v>328.67</v>
      </c>
      <c r="J4">
        <v>2275.1999999999998</v>
      </c>
      <c r="K4">
        <v>23000000</v>
      </c>
      <c r="L4">
        <v>5074.08</v>
      </c>
      <c r="M4" s="749">
        <v>45751</v>
      </c>
      <c r="N4">
        <v>0.82743362831858402</v>
      </c>
      <c r="O4">
        <v>1.6267857142857143</v>
      </c>
      <c r="P4">
        <v>0.89714444136401439</v>
      </c>
      <c r="Q4">
        <v>1.2143075507808192</v>
      </c>
      <c r="R4">
        <v>0.92484909644745938</v>
      </c>
      <c r="S4">
        <v>1.1530350517168826</v>
      </c>
      <c r="AO4" s="749">
        <v>45751</v>
      </c>
      <c r="AP4">
        <v>17397.7</v>
      </c>
      <c r="AQ4">
        <v>2474.48</v>
      </c>
      <c r="AR4">
        <f t="shared" si="0"/>
        <v>3.9978169952663265</v>
      </c>
      <c r="AS4">
        <f t="shared" si="1"/>
        <v>1.2624511494546087</v>
      </c>
      <c r="BF4" s="749">
        <v>45751</v>
      </c>
      <c r="BG4">
        <v>17397.7</v>
      </c>
      <c r="BH4">
        <v>182200</v>
      </c>
      <c r="BI4">
        <v>3597.6550000000002</v>
      </c>
      <c r="BJ4">
        <v>64.72</v>
      </c>
      <c r="BK4">
        <v>5074.08</v>
      </c>
      <c r="BL4">
        <v>687.39</v>
      </c>
      <c r="BM4">
        <v>2275.1999999999998</v>
      </c>
      <c r="BN4" s="14">
        <f t="shared" ref="BN4:BN67" si="10">+BG4/BG5-1</f>
        <v>-9.7695188108747333E-2</v>
      </c>
      <c r="BO4" s="14">
        <f t="shared" si="2"/>
        <v>-8.5800301053687855E-2</v>
      </c>
      <c r="BP4" s="14">
        <f t="shared" si="3"/>
        <v>-0.16038940383564726</v>
      </c>
      <c r="BQ4" s="14">
        <f t="shared" si="4"/>
        <v>-0.26820443238353686</v>
      </c>
      <c r="BR4" s="14">
        <f t="shared" si="5"/>
        <v>-9.0819826050808627E-2</v>
      </c>
      <c r="BS4" s="14">
        <f t="shared" si="6"/>
        <v>-9.1818496309963304E-3</v>
      </c>
      <c r="BT4" s="14">
        <f t="shared" si="7"/>
        <v>-4.5905722804413296E-2</v>
      </c>
      <c r="BV4" s="749">
        <v>45751</v>
      </c>
      <c r="BW4">
        <f t="shared" si="8"/>
        <v>2.4380783978319993</v>
      </c>
      <c r="BX4">
        <f t="shared" si="9"/>
        <v>5.1683910654974667</v>
      </c>
    </row>
    <row r="5" spans="1:76" x14ac:dyDescent="0.3">
      <c r="A5" s="749">
        <v>45744</v>
      </c>
      <c r="B5">
        <v>199300</v>
      </c>
      <c r="C5">
        <v>4284.9089999999997</v>
      </c>
      <c r="D5">
        <v>60200</v>
      </c>
      <c r="E5">
        <v>88.44</v>
      </c>
      <c r="F5">
        <v>19281.400000000001</v>
      </c>
      <c r="G5">
        <v>2587.1999999999998</v>
      </c>
      <c r="H5">
        <v>693.76</v>
      </c>
      <c r="I5">
        <v>342.96</v>
      </c>
      <c r="J5">
        <v>2384.67</v>
      </c>
      <c r="K5">
        <v>10890000</v>
      </c>
      <c r="L5">
        <v>5580.94</v>
      </c>
      <c r="M5" s="749">
        <v>45744</v>
      </c>
      <c r="N5">
        <v>0.88790560471976399</v>
      </c>
      <c r="O5">
        <v>1.7794642857142857</v>
      </c>
      <c r="P5">
        <v>1.2259495425561409</v>
      </c>
      <c r="Q5">
        <v>1.3457841904174281</v>
      </c>
      <c r="R5">
        <v>0.96697875203229233</v>
      </c>
      <c r="S5">
        <v>1.3732974035634697</v>
      </c>
      <c r="AO5" s="749">
        <v>45744</v>
      </c>
      <c r="AP5">
        <v>19281.400000000001</v>
      </c>
      <c r="AQ5">
        <v>2587.1999999999998</v>
      </c>
      <c r="AR5">
        <f t="shared" si="0"/>
        <v>4.4306723654579718</v>
      </c>
      <c r="AS5">
        <f t="shared" si="1"/>
        <v>1.3199595930736814</v>
      </c>
      <c r="BF5" s="749">
        <v>45744</v>
      </c>
      <c r="BG5">
        <v>19281.400000000001</v>
      </c>
      <c r="BH5">
        <v>199300</v>
      </c>
      <c r="BI5">
        <v>4284.9089999999997</v>
      </c>
      <c r="BJ5">
        <v>88.44</v>
      </c>
      <c r="BK5">
        <v>5580.94</v>
      </c>
      <c r="BL5">
        <v>693.76</v>
      </c>
      <c r="BM5">
        <v>2384.67</v>
      </c>
      <c r="BN5" s="14">
        <f t="shared" si="10"/>
        <v>-2.3922786153871889E-2</v>
      </c>
      <c r="BO5" s="14">
        <f t="shared" si="2"/>
        <v>-7.5174013921113669E-2</v>
      </c>
      <c r="BP5" s="14">
        <f t="shared" si="3"/>
        <v>-5.9904136707102262E-2</v>
      </c>
      <c r="BQ5" s="14">
        <f t="shared" si="4"/>
        <v>-6.6300675675675658E-2</v>
      </c>
      <c r="BR5" s="14">
        <f t="shared" si="5"/>
        <v>-1.5283472958380839E-2</v>
      </c>
      <c r="BS5" s="14">
        <f t="shared" si="6"/>
        <v>-3.5654216649754655E-2</v>
      </c>
      <c r="BT5" s="14">
        <f t="shared" si="7"/>
        <v>-3.2497961270219866E-2</v>
      </c>
      <c r="BV5" s="749">
        <v>45744</v>
      </c>
      <c r="BW5">
        <f t="shared" si="8"/>
        <v>2.6816229254557511</v>
      </c>
      <c r="BX5">
        <f t="shared" si="9"/>
        <v>6.1557001413614367</v>
      </c>
    </row>
    <row r="6" spans="1:76" x14ac:dyDescent="0.3">
      <c r="A6" s="749">
        <v>45737</v>
      </c>
      <c r="B6">
        <v>215500</v>
      </c>
      <c r="C6">
        <v>4557.9489999999996</v>
      </c>
      <c r="D6">
        <v>61700</v>
      </c>
      <c r="E6">
        <v>94.72</v>
      </c>
      <c r="F6">
        <v>19753.97</v>
      </c>
      <c r="G6">
        <v>2679.65</v>
      </c>
      <c r="H6">
        <v>719.41</v>
      </c>
      <c r="I6">
        <v>355.18</v>
      </c>
      <c r="J6">
        <v>2464.77</v>
      </c>
      <c r="K6">
        <v>16890000</v>
      </c>
      <c r="L6">
        <v>5667.56</v>
      </c>
      <c r="M6" s="749">
        <v>45737</v>
      </c>
      <c r="N6">
        <v>0.91002949852507375</v>
      </c>
      <c r="O6">
        <v>1.9241071428571428</v>
      </c>
      <c r="P6">
        <v>1.3130024951483228</v>
      </c>
      <c r="Q6">
        <v>1.3787681664184219</v>
      </c>
      <c r="R6">
        <v>1.0015323952084618</v>
      </c>
      <c r="S6">
        <v>1.4608057084233792</v>
      </c>
      <c r="AO6" s="749">
        <v>45737</v>
      </c>
      <c r="AP6">
        <v>19753.97</v>
      </c>
      <c r="AQ6">
        <v>2679.65</v>
      </c>
      <c r="AR6">
        <f t="shared" si="0"/>
        <v>4.5392642125097664</v>
      </c>
      <c r="AS6">
        <f t="shared" si="1"/>
        <v>1.3671265165352082</v>
      </c>
      <c r="BF6" s="749">
        <v>45737</v>
      </c>
      <c r="BG6">
        <v>19753.97</v>
      </c>
      <c r="BH6">
        <v>215500</v>
      </c>
      <c r="BI6">
        <v>4557.9489999999996</v>
      </c>
      <c r="BJ6">
        <v>94.72</v>
      </c>
      <c r="BK6">
        <v>5667.56</v>
      </c>
      <c r="BL6">
        <v>719.41</v>
      </c>
      <c r="BM6">
        <v>2464.77</v>
      </c>
      <c r="BN6" s="14">
        <f t="shared" si="10"/>
        <v>2.5039800290591607E-3</v>
      </c>
      <c r="BO6" s="14">
        <f t="shared" si="2"/>
        <v>5.3789731051344658E-2</v>
      </c>
      <c r="BP6" s="14">
        <f t="shared" si="3"/>
        <v>-8.8814608528803296E-3</v>
      </c>
      <c r="BQ6" s="14">
        <f t="shared" si="4"/>
        <v>-6.0224228594106588E-2</v>
      </c>
      <c r="BR6" s="14">
        <f t="shared" si="5"/>
        <v>5.0754219764708175E-3</v>
      </c>
      <c r="BS6" s="14">
        <f t="shared" si="6"/>
        <v>-2.0224443657560043E-2</v>
      </c>
      <c r="BT6" s="14">
        <f t="shared" si="7"/>
        <v>5.0590772693173358E-2</v>
      </c>
      <c r="BV6" s="749">
        <v>45737</v>
      </c>
      <c r="BW6">
        <f t="shared" si="8"/>
        <v>2.723243544527624</v>
      </c>
      <c r="BX6">
        <f t="shared" si="9"/>
        <v>6.5479493972026521</v>
      </c>
    </row>
    <row r="7" spans="1:76" x14ac:dyDescent="0.3">
      <c r="A7" s="749">
        <v>45730</v>
      </c>
      <c r="B7">
        <v>204500</v>
      </c>
      <c r="C7">
        <v>4598.7929999999997</v>
      </c>
      <c r="D7">
        <v>54700</v>
      </c>
      <c r="E7">
        <v>100.79</v>
      </c>
      <c r="F7">
        <v>19704.63</v>
      </c>
      <c r="G7">
        <v>2561.4699999999998</v>
      </c>
      <c r="H7">
        <v>734.26</v>
      </c>
      <c r="I7">
        <v>340.8</v>
      </c>
      <c r="J7">
        <v>2346.08</v>
      </c>
      <c r="K7">
        <v>17310000</v>
      </c>
      <c r="L7">
        <v>5638.94</v>
      </c>
      <c r="M7" s="749">
        <v>45730</v>
      </c>
      <c r="N7">
        <v>0.80678466076696165</v>
      </c>
      <c r="O7">
        <v>1.8258928571428572</v>
      </c>
      <c r="P7">
        <v>1.3971444413640144</v>
      </c>
      <c r="Q7">
        <v>1.375324381633334</v>
      </c>
      <c r="R7">
        <v>0.95736203771187223</v>
      </c>
      <c r="S7">
        <v>1.4738960585687724</v>
      </c>
      <c r="AO7" s="749">
        <v>45730</v>
      </c>
      <c r="AP7">
        <v>19704.63</v>
      </c>
      <c r="AQ7">
        <v>2561.4699999999998</v>
      </c>
      <c r="AR7">
        <f t="shared" si="0"/>
        <v>4.5279263752929824</v>
      </c>
      <c r="AS7">
        <f t="shared" si="1"/>
        <v>1.3068324439047783</v>
      </c>
      <c r="BF7" s="749">
        <v>45730</v>
      </c>
      <c r="BG7">
        <v>19704.63</v>
      </c>
      <c r="BH7">
        <v>204500</v>
      </c>
      <c r="BI7">
        <v>4598.7929999999997</v>
      </c>
      <c r="BJ7">
        <v>100.79</v>
      </c>
      <c r="BK7">
        <v>5638.94</v>
      </c>
      <c r="BL7">
        <v>734.26</v>
      </c>
      <c r="BM7">
        <v>2346.08</v>
      </c>
      <c r="BN7" s="14">
        <f t="shared" si="10"/>
        <v>-2.4589421410528001E-2</v>
      </c>
      <c r="BO7" s="14">
        <f t="shared" si="2"/>
        <v>6.288981288981299E-2</v>
      </c>
      <c r="BP7" s="14">
        <f t="shared" si="3"/>
        <v>-6.6522089429086328E-3</v>
      </c>
      <c r="BQ7" s="14">
        <f t="shared" si="4"/>
        <v>8.4229776247848775E-2</v>
      </c>
      <c r="BR7" s="14">
        <f t="shared" si="5"/>
        <v>-2.2747911684170452E-2</v>
      </c>
      <c r="BS7" s="14">
        <f t="shared" si="6"/>
        <v>9.014703861481399E-3</v>
      </c>
      <c r="BT7" s="14">
        <f t="shared" si="7"/>
        <v>8.2383934058471997E-3</v>
      </c>
      <c r="BV7" s="749">
        <v>45730</v>
      </c>
      <c r="BW7">
        <f t="shared" si="8"/>
        <v>2.7094917306528026</v>
      </c>
      <c r="BX7">
        <f t="shared" si="9"/>
        <v>6.6066258863821812</v>
      </c>
    </row>
    <row r="8" spans="1:76" x14ac:dyDescent="0.3">
      <c r="A8" s="749">
        <v>45723</v>
      </c>
      <c r="B8">
        <v>192400</v>
      </c>
      <c r="C8">
        <v>4629.59</v>
      </c>
      <c r="D8">
        <v>53700</v>
      </c>
      <c r="E8">
        <v>92.96</v>
      </c>
      <c r="F8">
        <v>20201.37</v>
      </c>
      <c r="G8">
        <v>2544.37</v>
      </c>
      <c r="H8">
        <v>727.7</v>
      </c>
      <c r="I8">
        <v>338.42</v>
      </c>
      <c r="J8">
        <v>2326.91</v>
      </c>
      <c r="K8">
        <v>14830000</v>
      </c>
      <c r="L8">
        <v>5770.2</v>
      </c>
      <c r="M8" s="749">
        <v>45723</v>
      </c>
      <c r="N8">
        <v>0.79203539823008851</v>
      </c>
      <c r="O8">
        <v>1.7178571428571427</v>
      </c>
      <c r="P8">
        <v>1.2886054893263099</v>
      </c>
      <c r="Q8">
        <v>1.4099953515187131</v>
      </c>
      <c r="R8">
        <v>0.95097082842779979</v>
      </c>
      <c r="S8">
        <v>1.4837663825680791</v>
      </c>
      <c r="AO8" s="749">
        <v>45723</v>
      </c>
      <c r="AP8">
        <v>20201.37</v>
      </c>
      <c r="AQ8">
        <v>2544.37</v>
      </c>
      <c r="AR8">
        <f t="shared" si="0"/>
        <v>4.6420722459671859</v>
      </c>
      <c r="AS8">
        <f t="shared" si="1"/>
        <v>1.2981082211769028</v>
      </c>
      <c r="BF8" s="749">
        <v>45723</v>
      </c>
      <c r="BG8">
        <v>20201.37</v>
      </c>
      <c r="BH8">
        <v>192400</v>
      </c>
      <c r="BI8">
        <v>4629.59</v>
      </c>
      <c r="BJ8">
        <v>92.96</v>
      </c>
      <c r="BK8">
        <v>5770.2</v>
      </c>
      <c r="BL8">
        <v>727.7</v>
      </c>
      <c r="BM8">
        <v>2326.91</v>
      </c>
      <c r="BN8" s="14">
        <f t="shared" si="10"/>
        <v>-3.2705736001160668E-2</v>
      </c>
      <c r="BO8" s="14">
        <f t="shared" si="2"/>
        <v>1.1566771819137678E-2</v>
      </c>
      <c r="BP8" s="14">
        <f t="shared" si="3"/>
        <v>-2.8773507126245046E-2</v>
      </c>
      <c r="BQ8" s="14">
        <f t="shared" si="4"/>
        <v>-7.1558261241055909E-3</v>
      </c>
      <c r="BR8" s="14">
        <f t="shared" si="5"/>
        <v>-3.0951381308254255E-2</v>
      </c>
      <c r="BS8" s="14">
        <f t="shared" si="6"/>
        <v>-2.1856013764180893E-2</v>
      </c>
      <c r="BT8" s="14">
        <f t="shared" si="7"/>
        <v>8.3330444429037254E-3</v>
      </c>
      <c r="BV8" s="749">
        <v>45723</v>
      </c>
      <c r="BW8">
        <f t="shared" si="8"/>
        <v>2.7725617197935786</v>
      </c>
      <c r="BX8">
        <f t="shared" si="9"/>
        <v>6.650868855661928</v>
      </c>
    </row>
    <row r="9" spans="1:76" x14ac:dyDescent="0.3">
      <c r="A9" s="749">
        <v>45716</v>
      </c>
      <c r="B9">
        <v>190200</v>
      </c>
      <c r="C9">
        <v>4766.7460000000001</v>
      </c>
      <c r="D9">
        <v>54500</v>
      </c>
      <c r="E9">
        <v>93.63</v>
      </c>
      <c r="F9">
        <v>20884.41</v>
      </c>
      <c r="G9">
        <v>2515.04</v>
      </c>
      <c r="H9">
        <v>743.96</v>
      </c>
      <c r="I9">
        <v>334.27</v>
      </c>
      <c r="J9">
        <v>2307.6799999999998</v>
      </c>
      <c r="K9">
        <v>20110000</v>
      </c>
      <c r="L9">
        <v>5954.5</v>
      </c>
      <c r="M9" s="749">
        <v>45716</v>
      </c>
      <c r="N9">
        <v>0.80383480825958697</v>
      </c>
      <c r="O9">
        <v>1.6982142857142857</v>
      </c>
      <c r="P9">
        <v>1.2978929858608261</v>
      </c>
      <c r="Q9">
        <v>1.457669505543977</v>
      </c>
      <c r="R9">
        <v>0.94000859636336442</v>
      </c>
      <c r="S9">
        <v>1.5277243706334385</v>
      </c>
      <c r="AO9" s="749">
        <v>45716</v>
      </c>
      <c r="AP9">
        <v>20884.41</v>
      </c>
      <c r="AQ9">
        <v>2515.04</v>
      </c>
      <c r="AR9">
        <f t="shared" si="0"/>
        <v>4.7990279884185849</v>
      </c>
      <c r="AS9">
        <f t="shared" si="1"/>
        <v>1.2831443935389732</v>
      </c>
      <c r="BF9" s="749">
        <v>45716</v>
      </c>
      <c r="BG9">
        <v>20884.41</v>
      </c>
      <c r="BH9">
        <v>190200</v>
      </c>
      <c r="BI9">
        <v>4766.7460000000001</v>
      </c>
      <c r="BJ9">
        <v>93.63</v>
      </c>
      <c r="BK9">
        <v>5954.5</v>
      </c>
      <c r="BL9">
        <v>743.96</v>
      </c>
      <c r="BM9">
        <v>2307.6799999999998</v>
      </c>
      <c r="BN9" s="14">
        <f t="shared" si="10"/>
        <v>-3.3759012643610142E-2</v>
      </c>
      <c r="BO9" s="14">
        <f t="shared" si="2"/>
        <v>-9.2124105011933133E-2</v>
      </c>
      <c r="BP9" s="14">
        <f t="shared" si="3"/>
        <v>-7.2002395362061877E-2</v>
      </c>
      <c r="BQ9" s="14">
        <f t="shared" si="4"/>
        <v>-5.2711452853095975E-2</v>
      </c>
      <c r="BR9" s="14">
        <f t="shared" si="5"/>
        <v>-9.7503296951837459E-3</v>
      </c>
      <c r="BS9" s="14">
        <f t="shared" si="6"/>
        <v>-3.9617891951203688E-2</v>
      </c>
      <c r="BT9" s="14">
        <f t="shared" si="7"/>
        <v>-5.1672132225427658E-2</v>
      </c>
      <c r="BV9" s="749">
        <v>45716</v>
      </c>
      <c r="BW9">
        <f t="shared" si="8"/>
        <v>2.861117250790417</v>
      </c>
      <c r="BX9">
        <f t="shared" si="9"/>
        <v>6.8479071611635316</v>
      </c>
    </row>
    <row r="10" spans="1:76" x14ac:dyDescent="0.3">
      <c r="A10" s="749">
        <v>45709</v>
      </c>
      <c r="B10">
        <v>209500</v>
      </c>
      <c r="C10">
        <v>5136.5929999999998</v>
      </c>
      <c r="D10">
        <v>58200</v>
      </c>
      <c r="E10">
        <v>98.84</v>
      </c>
      <c r="F10">
        <v>21614.080000000002</v>
      </c>
      <c r="G10">
        <v>2651.11</v>
      </c>
      <c r="H10">
        <v>774.65</v>
      </c>
      <c r="I10">
        <v>351.92</v>
      </c>
      <c r="J10">
        <v>2433.42</v>
      </c>
      <c r="K10">
        <v>13650000</v>
      </c>
      <c r="L10">
        <v>6013.13</v>
      </c>
      <c r="M10" s="749">
        <v>45709</v>
      </c>
      <c r="N10">
        <v>0.8584070796460177</v>
      </c>
      <c r="O10">
        <v>1.8705357142857142</v>
      </c>
      <c r="P10">
        <v>1.3701136678680343</v>
      </c>
      <c r="Q10">
        <v>1.5085982944401093</v>
      </c>
      <c r="R10">
        <v>0.99086542953785206</v>
      </c>
      <c r="S10">
        <v>1.6462589590729453</v>
      </c>
      <c r="AO10" s="749">
        <v>45709</v>
      </c>
      <c r="AP10">
        <v>21614.080000000002</v>
      </c>
      <c r="AQ10">
        <v>2651.11</v>
      </c>
      <c r="AR10">
        <f t="shared" si="0"/>
        <v>4.9666988372627419</v>
      </c>
      <c r="AS10">
        <f t="shared" si="1"/>
        <v>1.3525657377835374</v>
      </c>
      <c r="BF10" s="749">
        <v>45709</v>
      </c>
      <c r="BG10">
        <v>21614.080000000002</v>
      </c>
      <c r="BH10">
        <v>209500</v>
      </c>
      <c r="BI10">
        <v>5136.5929999999998</v>
      </c>
      <c r="BJ10">
        <v>98.84</v>
      </c>
      <c r="BK10">
        <v>6013.13</v>
      </c>
      <c r="BL10">
        <v>774.65</v>
      </c>
      <c r="BM10">
        <v>2433.42</v>
      </c>
      <c r="BN10" s="14">
        <f t="shared" si="10"/>
        <v>-2.2636989259175566E-2</v>
      </c>
      <c r="BO10" s="14">
        <f t="shared" si="2"/>
        <v>-2.3809523809523725E-3</v>
      </c>
      <c r="BP10" s="14">
        <f t="shared" si="3"/>
        <v>-4.7181300006607918E-3</v>
      </c>
      <c r="BQ10" s="14">
        <f t="shared" si="4"/>
        <v>-6.8327974276526371E-3</v>
      </c>
      <c r="BR10" s="14">
        <f t="shared" si="5"/>
        <v>-1.6599532596412225E-2</v>
      </c>
      <c r="BS10" s="14">
        <f t="shared" si="6"/>
        <v>2.4235773217685441E-2</v>
      </c>
      <c r="BT10" s="14">
        <f t="shared" si="7"/>
        <v>2.6235550626051651E-2</v>
      </c>
      <c r="BV10" s="749">
        <v>45709</v>
      </c>
      <c r="BW10">
        <f t="shared" si="8"/>
        <v>2.8892887688715057</v>
      </c>
      <c r="BX10">
        <f t="shared" si="9"/>
        <v>7.3792293503120296</v>
      </c>
    </row>
    <row r="11" spans="1:76" x14ac:dyDescent="0.3">
      <c r="A11" s="749">
        <v>45702</v>
      </c>
      <c r="B11">
        <v>210000</v>
      </c>
      <c r="C11">
        <v>5160.9430000000002</v>
      </c>
      <c r="D11">
        <v>56000</v>
      </c>
      <c r="E11">
        <v>99.52</v>
      </c>
      <c r="F11">
        <v>22114.69</v>
      </c>
      <c r="G11">
        <v>2582.4499999999998</v>
      </c>
      <c r="H11">
        <v>756.32</v>
      </c>
      <c r="I11">
        <v>342.76</v>
      </c>
      <c r="J11">
        <v>2371.21</v>
      </c>
      <c r="K11">
        <v>14330000</v>
      </c>
      <c r="L11">
        <v>6114.63</v>
      </c>
      <c r="M11" s="749">
        <v>45702</v>
      </c>
      <c r="N11">
        <v>0.82595870206489674</v>
      </c>
      <c r="O11">
        <v>1.875</v>
      </c>
      <c r="P11">
        <v>1.3795397837538119</v>
      </c>
      <c r="Q11">
        <v>1.5435393787786358</v>
      </c>
      <c r="R11">
        <v>0.9652034161200499</v>
      </c>
      <c r="S11">
        <v>1.6540630435416634</v>
      </c>
      <c r="AO11" s="749">
        <v>45702</v>
      </c>
      <c r="AP11">
        <v>22114.69</v>
      </c>
      <c r="AQ11">
        <v>2582.4499999999998</v>
      </c>
      <c r="AR11">
        <f t="shared" si="0"/>
        <v>5.0817339951284524</v>
      </c>
      <c r="AS11">
        <f t="shared" si="1"/>
        <v>1.3175361978714937</v>
      </c>
      <c r="BF11" s="749">
        <v>45702</v>
      </c>
      <c r="BG11">
        <v>22114.69</v>
      </c>
      <c r="BH11">
        <v>210000</v>
      </c>
      <c r="BI11">
        <v>5160.9430000000002</v>
      </c>
      <c r="BJ11">
        <v>99.52</v>
      </c>
      <c r="BK11">
        <v>6114.63</v>
      </c>
      <c r="BL11">
        <v>756.32</v>
      </c>
      <c r="BM11">
        <v>2371.21</v>
      </c>
      <c r="BN11" s="14">
        <f t="shared" si="10"/>
        <v>2.9006142482705721E-2</v>
      </c>
      <c r="BO11" s="14">
        <f t="shared" si="2"/>
        <v>3.4482758620689724E-2</v>
      </c>
      <c r="BP11" s="14">
        <f t="shared" si="3"/>
        <v>3.0263655386276289E-2</v>
      </c>
      <c r="BQ11" s="14">
        <f t="shared" si="4"/>
        <v>7.8223185265438699E-2</v>
      </c>
      <c r="BR11" s="14">
        <f t="shared" si="5"/>
        <v>1.4709616179250373E-2</v>
      </c>
      <c r="BS11" s="14">
        <f t="shared" si="6"/>
        <v>1.8064342441782344E-2</v>
      </c>
      <c r="BT11" s="14">
        <f t="shared" si="7"/>
        <v>2.471899429993818E-2</v>
      </c>
      <c r="BV11" s="749">
        <v>45702</v>
      </c>
      <c r="BW11">
        <f t="shared" si="8"/>
        <v>2.9380591779663461</v>
      </c>
      <c r="BX11">
        <f t="shared" si="9"/>
        <v>7.4142105595844212</v>
      </c>
    </row>
    <row r="12" spans="1:76" x14ac:dyDescent="0.3">
      <c r="A12" s="749">
        <v>45695</v>
      </c>
      <c r="B12">
        <v>203000</v>
      </c>
      <c r="C12">
        <v>5009.3419999999996</v>
      </c>
      <c r="D12">
        <v>53700</v>
      </c>
      <c r="E12">
        <v>92.3</v>
      </c>
      <c r="F12">
        <v>21491.31</v>
      </c>
      <c r="G12">
        <v>2518.06</v>
      </c>
      <c r="H12">
        <v>742.9</v>
      </c>
      <c r="I12">
        <v>333.89</v>
      </c>
      <c r="J12">
        <v>2314.0100000000002</v>
      </c>
      <c r="K12">
        <v>24260000</v>
      </c>
      <c r="L12">
        <v>6025.99</v>
      </c>
      <c r="M12" s="749">
        <v>45695</v>
      </c>
      <c r="N12">
        <v>0.79203539823008851</v>
      </c>
      <c r="O12">
        <v>1.8125</v>
      </c>
      <c r="P12">
        <v>1.2794566121430551</v>
      </c>
      <c r="Q12">
        <v>1.5000293147468533</v>
      </c>
      <c r="R12">
        <v>0.94113733624862173</v>
      </c>
      <c r="S12">
        <v>1.6054754866816165</v>
      </c>
      <c r="AO12" s="749">
        <v>45695</v>
      </c>
      <c r="AP12">
        <v>21491.31</v>
      </c>
      <c r="AQ12">
        <v>2518.06</v>
      </c>
      <c r="AR12">
        <f t="shared" si="0"/>
        <v>4.9384875224045226</v>
      </c>
      <c r="AS12">
        <f t="shared" si="1"/>
        <v>1.2846851626991012</v>
      </c>
      <c r="BF12" s="749">
        <v>45695</v>
      </c>
      <c r="BG12">
        <v>21491.31</v>
      </c>
      <c r="BH12">
        <v>203000</v>
      </c>
      <c r="BI12">
        <v>5009.3419999999996</v>
      </c>
      <c r="BJ12">
        <v>92.3</v>
      </c>
      <c r="BK12">
        <v>6025.99</v>
      </c>
      <c r="BL12">
        <v>742.9</v>
      </c>
      <c r="BM12">
        <v>2314.0100000000002</v>
      </c>
      <c r="BN12" s="14">
        <f t="shared" si="10"/>
        <v>6.1737448232035419E-4</v>
      </c>
      <c r="BO12" s="14">
        <f t="shared" si="2"/>
        <v>1.9076305220883549E-2</v>
      </c>
      <c r="BP12" s="14">
        <f t="shared" si="3"/>
        <v>-1.2974869663169297E-3</v>
      </c>
      <c r="BQ12" s="14">
        <f t="shared" si="4"/>
        <v>1.1617711530030661E-2</v>
      </c>
      <c r="BR12" s="14">
        <f t="shared" si="5"/>
        <v>-2.4070735514929442E-3</v>
      </c>
      <c r="BS12" s="14">
        <f t="shared" si="6"/>
        <v>2.0060690109709123E-2</v>
      </c>
      <c r="BT12" s="14">
        <f t="shared" si="7"/>
        <v>-2.1170879239562623E-4</v>
      </c>
      <c r="BV12" s="749">
        <v>45695</v>
      </c>
      <c r="BW12">
        <f t="shared" si="8"/>
        <v>2.8954679556789897</v>
      </c>
      <c r="BX12">
        <f t="shared" si="9"/>
        <v>7.1964205675144521</v>
      </c>
    </row>
    <row r="13" spans="1:76" x14ac:dyDescent="0.3">
      <c r="A13" s="749">
        <v>45688</v>
      </c>
      <c r="B13">
        <v>199200</v>
      </c>
      <c r="C13">
        <v>5015.8500000000004</v>
      </c>
      <c r="D13">
        <v>52400</v>
      </c>
      <c r="E13">
        <v>91.24</v>
      </c>
      <c r="F13">
        <v>21478.05</v>
      </c>
      <c r="G13">
        <v>2514.5</v>
      </c>
      <c r="H13">
        <v>728.29</v>
      </c>
      <c r="I13">
        <v>333.36</v>
      </c>
      <c r="J13">
        <v>2314.5</v>
      </c>
      <c r="K13">
        <v>11870000</v>
      </c>
      <c r="L13">
        <v>6040.53</v>
      </c>
      <c r="M13" s="749">
        <v>45688</v>
      </c>
      <c r="N13">
        <v>0.77286135693215341</v>
      </c>
      <c r="O13">
        <v>1.7785714285714285</v>
      </c>
      <c r="P13">
        <v>1.2647629609093429</v>
      </c>
      <c r="Q13">
        <v>1.4991038063104878</v>
      </c>
      <c r="R13">
        <v>0.93980676870176216</v>
      </c>
      <c r="S13">
        <v>1.6075612764854121</v>
      </c>
      <c r="AO13" s="749">
        <v>45688</v>
      </c>
      <c r="AP13">
        <v>21478.05</v>
      </c>
      <c r="AQ13">
        <v>2514.5</v>
      </c>
      <c r="AR13">
        <f t="shared" si="0"/>
        <v>4.9354405073762582</v>
      </c>
      <c r="AS13">
        <f t="shared" si="1"/>
        <v>1.2828688917686193</v>
      </c>
      <c r="BF13" s="749">
        <v>45688</v>
      </c>
      <c r="BG13">
        <v>21478.05</v>
      </c>
      <c r="BH13">
        <v>199200</v>
      </c>
      <c r="BI13">
        <v>5015.8500000000004</v>
      </c>
      <c r="BJ13">
        <v>91.24</v>
      </c>
      <c r="BK13">
        <v>6040.53</v>
      </c>
      <c r="BL13">
        <v>728.29</v>
      </c>
      <c r="BM13">
        <v>2314.5</v>
      </c>
      <c r="BN13" s="14">
        <f t="shared" si="10"/>
        <v>-1.3592351615526965E-2</v>
      </c>
      <c r="BO13" s="14">
        <f t="shared" si="2"/>
        <v>-9.8642533936651566E-2</v>
      </c>
      <c r="BP13" s="14">
        <f t="shared" si="3"/>
        <v>-6.1043366267685362E-2</v>
      </c>
      <c r="BQ13" s="14">
        <f t="shared" si="4"/>
        <v>-0.11580579513518752</v>
      </c>
      <c r="BR13" s="14">
        <f t="shared" si="5"/>
        <v>-9.9504363047511202E-3</v>
      </c>
      <c r="BS13" s="14">
        <f t="shared" si="6"/>
        <v>-6.1750418530626128E-4</v>
      </c>
      <c r="BT13" s="14">
        <f t="shared" si="7"/>
        <v>-1.1011549949364818E-2</v>
      </c>
      <c r="BV13" s="749">
        <v>45688</v>
      </c>
      <c r="BW13">
        <f t="shared" si="8"/>
        <v>2.9024543768439059</v>
      </c>
      <c r="BX13">
        <f t="shared" si="9"/>
        <v>7.2057699601199854</v>
      </c>
    </row>
    <row r="14" spans="1:76" x14ac:dyDescent="0.3">
      <c r="A14" s="749">
        <v>45681</v>
      </c>
      <c r="B14">
        <v>221000</v>
      </c>
      <c r="C14">
        <v>5341.94</v>
      </c>
      <c r="D14">
        <v>53700</v>
      </c>
      <c r="E14">
        <v>103.19</v>
      </c>
      <c r="F14">
        <v>21774.01</v>
      </c>
      <c r="G14">
        <v>2539.52</v>
      </c>
      <c r="H14">
        <v>728.74</v>
      </c>
      <c r="I14">
        <v>336.74</v>
      </c>
      <c r="J14">
        <v>2340.27</v>
      </c>
      <c r="K14">
        <v>22030000</v>
      </c>
      <c r="L14">
        <v>6101.24</v>
      </c>
      <c r="M14" s="749">
        <v>45681</v>
      </c>
      <c r="N14">
        <v>0.79203539823008851</v>
      </c>
      <c r="O14">
        <v>1.9732142857142858</v>
      </c>
      <c r="P14">
        <v>1.430413085666759</v>
      </c>
      <c r="Q14">
        <v>1.5197609312597105</v>
      </c>
      <c r="R14">
        <v>0.94915811702266817</v>
      </c>
      <c r="S14">
        <v>1.7120719091098182</v>
      </c>
      <c r="AO14" s="749">
        <v>45681</v>
      </c>
      <c r="AP14">
        <v>21774.01</v>
      </c>
      <c r="AQ14">
        <v>2539.52</v>
      </c>
      <c r="AR14">
        <f t="shared" si="0"/>
        <v>5.0034491474792038</v>
      </c>
      <c r="AS14">
        <f t="shared" si="1"/>
        <v>1.2956338071283533</v>
      </c>
      <c r="BF14" s="749">
        <v>45681</v>
      </c>
      <c r="BG14">
        <v>21774.01</v>
      </c>
      <c r="BH14">
        <v>221000</v>
      </c>
      <c r="BI14">
        <v>5341.94</v>
      </c>
      <c r="BJ14">
        <v>103.19</v>
      </c>
      <c r="BK14">
        <v>6101.24</v>
      </c>
      <c r="BL14">
        <v>728.74</v>
      </c>
      <c r="BM14">
        <v>2340.27</v>
      </c>
      <c r="BN14" s="14">
        <f t="shared" si="10"/>
        <v>1.5524353870944196E-2</v>
      </c>
      <c r="BO14" s="14">
        <f t="shared" si="2"/>
        <v>3.0303030303030276E-2</v>
      </c>
      <c r="BP14" s="14">
        <f t="shared" si="3"/>
        <v>6.0648954929405363E-3</v>
      </c>
      <c r="BQ14" s="14">
        <f t="shared" si="4"/>
        <v>-2.4208037825059092E-2</v>
      </c>
      <c r="BR14" s="14">
        <f t="shared" si="5"/>
        <v>1.7439708104177942E-2</v>
      </c>
      <c r="BS14" s="14">
        <f t="shared" si="6"/>
        <v>5.5885965033324325E-3</v>
      </c>
      <c r="BT14" s="14">
        <f t="shared" si="7"/>
        <v>4.7095693985317322E-3</v>
      </c>
      <c r="BV14" s="749">
        <v>45681</v>
      </c>
      <c r="BW14">
        <f t="shared" si="8"/>
        <v>2.9316253279389577</v>
      </c>
      <c r="BX14">
        <f t="shared" si="9"/>
        <v>7.6742308443759981</v>
      </c>
    </row>
    <row r="15" spans="1:76" x14ac:dyDescent="0.3">
      <c r="A15" s="749">
        <v>45674</v>
      </c>
      <c r="B15">
        <v>214500</v>
      </c>
      <c r="C15">
        <v>5309.7370000000001</v>
      </c>
      <c r="D15">
        <v>53700</v>
      </c>
      <c r="E15">
        <v>105.75</v>
      </c>
      <c r="F15">
        <v>21441.15</v>
      </c>
      <c r="G15">
        <v>2526.94</v>
      </c>
      <c r="H15">
        <v>724.69</v>
      </c>
      <c r="I15">
        <v>335.09</v>
      </c>
      <c r="J15">
        <v>2329.3000000000002</v>
      </c>
      <c r="K15">
        <v>22480000</v>
      </c>
      <c r="L15">
        <v>5996.66</v>
      </c>
      <c r="M15" s="749">
        <v>45674</v>
      </c>
      <c r="N15">
        <v>0.79203539823008851</v>
      </c>
      <c r="O15">
        <v>1.9151785714285714</v>
      </c>
      <c r="P15">
        <v>1.4658996395896866</v>
      </c>
      <c r="Q15">
        <v>1.4965282964083853</v>
      </c>
      <c r="R15">
        <v>0.94445628001719273</v>
      </c>
      <c r="S15">
        <v>1.7017509673379034</v>
      </c>
      <c r="AO15" s="749">
        <v>45674</v>
      </c>
      <c r="AP15">
        <v>21441.15</v>
      </c>
      <c r="AQ15">
        <v>2526.94</v>
      </c>
      <c r="AR15">
        <f t="shared" si="0"/>
        <v>4.9269612574107269</v>
      </c>
      <c r="AS15">
        <f t="shared" si="1"/>
        <v>1.289215636256033</v>
      </c>
      <c r="BF15" s="749">
        <v>45674</v>
      </c>
      <c r="BG15">
        <v>21441.15</v>
      </c>
      <c r="BH15">
        <v>214500</v>
      </c>
      <c r="BI15">
        <v>5309.7370000000001</v>
      </c>
      <c r="BJ15">
        <v>105.75</v>
      </c>
      <c r="BK15">
        <v>5996.66</v>
      </c>
      <c r="BL15">
        <v>724.69</v>
      </c>
      <c r="BM15">
        <v>2329.3000000000002</v>
      </c>
      <c r="BN15" s="14">
        <f t="shared" si="10"/>
        <v>2.8471889782890836E-2</v>
      </c>
      <c r="BO15" s="14">
        <f t="shared" si="2"/>
        <v>5.4054054054053946E-2</v>
      </c>
      <c r="BP15" s="14">
        <f t="shared" si="3"/>
        <v>5.4048361578332038E-2</v>
      </c>
      <c r="BQ15" s="14">
        <f t="shared" si="4"/>
        <v>6.4525870746929614E-2</v>
      </c>
      <c r="BR15" s="14">
        <f t="shared" si="5"/>
        <v>2.9109118866525785E-2</v>
      </c>
      <c r="BS15" s="14">
        <f t="shared" si="6"/>
        <v>9.4722032623384411E-3</v>
      </c>
      <c r="BT15" s="14">
        <f t="shared" si="7"/>
        <v>-2.8766876995914847E-3</v>
      </c>
      <c r="BV15" s="749">
        <v>45674</v>
      </c>
      <c r="BW15">
        <f t="shared" si="8"/>
        <v>2.8813749891888256</v>
      </c>
      <c r="BX15">
        <f t="shared" si="9"/>
        <v>7.6279680155382659</v>
      </c>
    </row>
    <row r="16" spans="1:76" x14ac:dyDescent="0.3">
      <c r="A16" s="749">
        <v>45667</v>
      </c>
      <c r="B16">
        <v>203500</v>
      </c>
      <c r="C16">
        <v>5037.47</v>
      </c>
      <c r="D16">
        <v>55300</v>
      </c>
      <c r="E16">
        <v>99.34</v>
      </c>
      <c r="F16">
        <v>20847.580000000002</v>
      </c>
      <c r="G16">
        <v>2525.7399999999998</v>
      </c>
      <c r="H16">
        <v>717.89</v>
      </c>
      <c r="I16">
        <v>334.55</v>
      </c>
      <c r="J16">
        <v>2336.02</v>
      </c>
      <c r="K16">
        <v>30510000</v>
      </c>
      <c r="L16">
        <v>5827.04</v>
      </c>
      <c r="M16" s="749">
        <v>45667</v>
      </c>
      <c r="N16">
        <v>0.81563421828908556</v>
      </c>
      <c r="O16">
        <v>1.8169642857142858</v>
      </c>
      <c r="P16">
        <v>1.3770446354311061</v>
      </c>
      <c r="Q16">
        <v>1.4550988814330166</v>
      </c>
      <c r="R16">
        <v>0.94400777410252079</v>
      </c>
      <c r="S16">
        <v>1.6144904061040442</v>
      </c>
      <c r="AO16" s="749">
        <v>45667</v>
      </c>
      <c r="AP16">
        <v>20847.580000000002</v>
      </c>
      <c r="AQ16">
        <v>2525.7399999999998</v>
      </c>
      <c r="AR16">
        <f t="shared" si="0"/>
        <v>4.790564823751092</v>
      </c>
      <c r="AS16">
        <f t="shared" si="1"/>
        <v>1.2886034100996908</v>
      </c>
      <c r="BF16" s="749">
        <v>45667</v>
      </c>
      <c r="BG16">
        <v>20847.580000000002</v>
      </c>
      <c r="BH16">
        <v>203500</v>
      </c>
      <c r="BI16">
        <v>5037.47</v>
      </c>
      <c r="BJ16">
        <v>99.34</v>
      </c>
      <c r="BK16">
        <v>5827.04</v>
      </c>
      <c r="BL16">
        <v>717.89</v>
      </c>
      <c r="BM16">
        <v>2336.02</v>
      </c>
      <c r="BN16" s="14">
        <f t="shared" si="10"/>
        <v>-2.2440983280628046E-2</v>
      </c>
      <c r="BO16" s="14">
        <f t="shared" si="2"/>
        <v>0.11874656404617911</v>
      </c>
      <c r="BP16" s="14">
        <f t="shared" si="3"/>
        <v>-2.4435447356383366E-2</v>
      </c>
      <c r="BQ16" s="14">
        <f t="shared" si="4"/>
        <v>0.10537442973183486</v>
      </c>
      <c r="BR16" s="14">
        <f t="shared" si="5"/>
        <v>-1.9424582707190829E-2</v>
      </c>
      <c r="BS16" s="14">
        <f t="shared" si="6"/>
        <v>1.7187145771933698E-2</v>
      </c>
      <c r="BT16" s="14">
        <f t="shared" si="7"/>
        <v>3.5501988093602277E-2</v>
      </c>
      <c r="BV16" s="749">
        <v>45667</v>
      </c>
      <c r="BW16">
        <f t="shared" si="8"/>
        <v>2.7998731488866895</v>
      </c>
      <c r="BX16">
        <f t="shared" si="9"/>
        <v>7.2368292514739521</v>
      </c>
    </row>
    <row r="17" spans="1:76" x14ac:dyDescent="0.3">
      <c r="A17" s="749">
        <v>45660</v>
      </c>
      <c r="B17">
        <v>181900</v>
      </c>
      <c r="C17">
        <v>5163.6459999999997</v>
      </c>
      <c r="D17">
        <v>54400</v>
      </c>
      <c r="E17">
        <v>89.87</v>
      </c>
      <c r="F17">
        <v>21326.16</v>
      </c>
      <c r="G17">
        <v>2443.04</v>
      </c>
      <c r="H17">
        <v>705.76</v>
      </c>
      <c r="I17">
        <v>324</v>
      </c>
      <c r="J17">
        <v>2255.9299999999998</v>
      </c>
      <c r="K17">
        <v>7770000</v>
      </c>
      <c r="L17">
        <v>5942.47</v>
      </c>
      <c r="M17" s="749">
        <v>45660</v>
      </c>
      <c r="N17">
        <v>0.80235988200589969</v>
      </c>
      <c r="O17">
        <v>1.6241071428571427</v>
      </c>
      <c r="P17">
        <v>1.2457721097865262</v>
      </c>
      <c r="Q17">
        <v>1.4885023375020765</v>
      </c>
      <c r="R17">
        <v>0.91309824148305951</v>
      </c>
      <c r="S17">
        <v>1.6549293449921334</v>
      </c>
      <c r="AO17" s="749">
        <v>45660</v>
      </c>
      <c r="AP17">
        <v>21326.16</v>
      </c>
      <c r="AQ17">
        <v>2443.04</v>
      </c>
      <c r="AR17">
        <f t="shared" si="0"/>
        <v>4.9005377085343991</v>
      </c>
      <c r="AS17">
        <f t="shared" si="1"/>
        <v>1.2464108241584442</v>
      </c>
      <c r="BF17" s="749">
        <v>45660</v>
      </c>
      <c r="BG17">
        <v>21326.16</v>
      </c>
      <c r="BH17">
        <v>181900</v>
      </c>
      <c r="BI17">
        <v>5163.6459999999997</v>
      </c>
      <c r="BJ17">
        <v>89.87</v>
      </c>
      <c r="BK17">
        <v>5942.47</v>
      </c>
      <c r="BL17">
        <v>705.76</v>
      </c>
      <c r="BM17">
        <v>2255.9299999999998</v>
      </c>
      <c r="BN17" s="14">
        <f t="shared" si="10"/>
        <v>-6.8388176599367689E-3</v>
      </c>
      <c r="BO17" s="14">
        <f t="shared" si="2"/>
        <v>4.2406876790830994E-2</v>
      </c>
      <c r="BP17" s="14">
        <f t="shared" si="3"/>
        <v>7.940318971346283E-3</v>
      </c>
      <c r="BQ17" s="14">
        <f t="shared" si="4"/>
        <v>1.3990748053706481E-2</v>
      </c>
      <c r="BR17" s="14">
        <f t="shared" si="5"/>
        <v>-4.7514252600974194E-3</v>
      </c>
      <c r="BS17" s="14">
        <f t="shared" si="6"/>
        <v>5.9747436070693771E-2</v>
      </c>
      <c r="BT17" s="14">
        <f t="shared" si="7"/>
        <v>1.4361575366795831E-2</v>
      </c>
      <c r="BV17" s="749">
        <v>45660</v>
      </c>
      <c r="BW17">
        <f t="shared" si="8"/>
        <v>2.8553368761952358</v>
      </c>
      <c r="BX17">
        <f t="shared" si="9"/>
        <v>7.4180936893036513</v>
      </c>
    </row>
    <row r="18" spans="1:76" x14ac:dyDescent="0.3">
      <c r="A18" s="749">
        <v>45653</v>
      </c>
      <c r="B18">
        <v>174500</v>
      </c>
      <c r="C18">
        <v>5122.9679999999998</v>
      </c>
      <c r="D18">
        <v>53700</v>
      </c>
      <c r="E18">
        <v>88.63</v>
      </c>
      <c r="F18">
        <v>21473.01</v>
      </c>
      <c r="G18">
        <v>2405.66</v>
      </c>
      <c r="H18">
        <v>665.97</v>
      </c>
      <c r="I18">
        <v>319.02999999999997</v>
      </c>
      <c r="J18">
        <v>2223.9899999999998</v>
      </c>
      <c r="K18">
        <v>9800000</v>
      </c>
      <c r="L18">
        <v>5970.84</v>
      </c>
      <c r="M18" s="749">
        <v>45653</v>
      </c>
      <c r="N18">
        <v>0.79203539823008851</v>
      </c>
      <c r="O18">
        <v>1.5580357142857142</v>
      </c>
      <c r="P18">
        <v>1.228583310230108</v>
      </c>
      <c r="Q18">
        <v>1.4987520293482492</v>
      </c>
      <c r="R18">
        <v>0.89912728224103444</v>
      </c>
      <c r="S18">
        <v>1.6418921972295659</v>
      </c>
      <c r="AO18" s="749">
        <v>45653</v>
      </c>
      <c r="AP18">
        <v>21473.01</v>
      </c>
      <c r="AQ18">
        <v>2405.66</v>
      </c>
      <c r="AR18">
        <f t="shared" si="0"/>
        <v>4.934282365917551</v>
      </c>
      <c r="AS18">
        <f t="shared" si="1"/>
        <v>1.2273399793883861</v>
      </c>
      <c r="BF18" s="749">
        <v>45653</v>
      </c>
      <c r="BG18">
        <v>21473.01</v>
      </c>
      <c r="BH18">
        <v>174500</v>
      </c>
      <c r="BI18">
        <v>5122.9679999999998</v>
      </c>
      <c r="BJ18">
        <v>88.63</v>
      </c>
      <c r="BK18">
        <v>5970.84</v>
      </c>
      <c r="BL18">
        <v>665.97</v>
      </c>
      <c r="BM18">
        <v>2223.9899999999998</v>
      </c>
      <c r="BN18" s="14">
        <f t="shared" si="10"/>
        <v>8.63632413694293E-3</v>
      </c>
      <c r="BO18" s="14">
        <f t="shared" si="2"/>
        <v>3.5608308605341144E-2</v>
      </c>
      <c r="BP18" s="14">
        <f t="shared" si="3"/>
        <v>3.1834602506549903E-2</v>
      </c>
      <c r="BQ18" s="14">
        <f t="shared" si="4"/>
        <v>-1.6533510874389812E-2</v>
      </c>
      <c r="BR18" s="14">
        <f t="shared" si="5"/>
        <v>6.7427097296339777E-3</v>
      </c>
      <c r="BS18" s="14">
        <f t="shared" si="6"/>
        <v>-3.5013691251064571E-3</v>
      </c>
      <c r="BT18" s="14">
        <f t="shared" si="7"/>
        <v>4.0042977355627674E-3</v>
      </c>
      <c r="BV18" s="749">
        <v>45653</v>
      </c>
      <c r="BW18">
        <f t="shared" si="8"/>
        <v>2.8689685659097246</v>
      </c>
      <c r="BX18">
        <f t="shared" si="9"/>
        <v>7.3596556757191625</v>
      </c>
    </row>
    <row r="19" spans="1:76" x14ac:dyDescent="0.3">
      <c r="A19" s="749">
        <v>45646</v>
      </c>
      <c r="B19">
        <v>168500</v>
      </c>
      <c r="C19">
        <v>4964.9120000000003</v>
      </c>
      <c r="D19">
        <v>53000</v>
      </c>
      <c r="E19">
        <v>90.12</v>
      </c>
      <c r="F19">
        <v>21289.15</v>
      </c>
      <c r="G19">
        <v>2397.31</v>
      </c>
      <c r="H19">
        <v>668.31</v>
      </c>
      <c r="I19">
        <v>318.33</v>
      </c>
      <c r="J19">
        <v>2215.12</v>
      </c>
      <c r="K19">
        <v>18150000</v>
      </c>
      <c r="L19">
        <v>5930.85</v>
      </c>
      <c r="M19" s="749">
        <v>45646</v>
      </c>
      <c r="N19">
        <v>0.78171091445427732</v>
      </c>
      <c r="O19">
        <v>1.5044642857142858</v>
      </c>
      <c r="P19">
        <v>1.2492375935680622</v>
      </c>
      <c r="Q19">
        <v>1.485919149928179</v>
      </c>
      <c r="R19">
        <v>0.89600642858477686</v>
      </c>
      <c r="S19">
        <v>1.5912358368686745</v>
      </c>
      <c r="AO19" s="749">
        <v>45646</v>
      </c>
      <c r="AP19">
        <v>21289.15</v>
      </c>
      <c r="AQ19">
        <v>2397.31</v>
      </c>
      <c r="AR19">
        <f t="shared" si="0"/>
        <v>4.8920331816719518</v>
      </c>
      <c r="AS19">
        <f t="shared" si="1"/>
        <v>1.223079905717172</v>
      </c>
      <c r="BF19" s="749">
        <v>45646</v>
      </c>
      <c r="BG19">
        <v>21289.15</v>
      </c>
      <c r="BH19">
        <v>168500</v>
      </c>
      <c r="BI19">
        <v>4964.9120000000003</v>
      </c>
      <c r="BJ19">
        <v>90.12</v>
      </c>
      <c r="BK19">
        <v>5930.85</v>
      </c>
      <c r="BL19">
        <v>668.31</v>
      </c>
      <c r="BM19">
        <v>2215.12</v>
      </c>
      <c r="BN19" s="14">
        <f t="shared" si="10"/>
        <v>-2.2547950551531692E-2</v>
      </c>
      <c r="BO19" s="14">
        <f t="shared" si="2"/>
        <v>-3.9886039886039892E-2</v>
      </c>
      <c r="BP19" s="14">
        <f t="shared" si="3"/>
        <v>-3.5898232545856223E-2</v>
      </c>
      <c r="BQ19" s="14">
        <f t="shared" si="4"/>
        <v>-0.12078048780487805</v>
      </c>
      <c r="BR19" s="14">
        <f t="shared" si="5"/>
        <v>-1.9870800136834843E-2</v>
      </c>
      <c r="BS19" s="14">
        <f t="shared" si="6"/>
        <v>-3.6642497801738561E-2</v>
      </c>
      <c r="BT19" s="14">
        <f t="shared" si="7"/>
        <v>-3.8417794601540156E-2</v>
      </c>
      <c r="BV19" s="749">
        <v>45646</v>
      </c>
      <c r="BW19">
        <f t="shared" si="8"/>
        <v>2.8497535052229988</v>
      </c>
      <c r="BX19">
        <f t="shared" si="9"/>
        <v>7.1325924308420783</v>
      </c>
    </row>
    <row r="20" spans="1:76" x14ac:dyDescent="0.3">
      <c r="A20" s="749">
        <v>45639</v>
      </c>
      <c r="B20">
        <v>175500</v>
      </c>
      <c r="C20">
        <v>5149.78</v>
      </c>
      <c r="D20">
        <v>56100</v>
      </c>
      <c r="E20">
        <v>102.5</v>
      </c>
      <c r="F20">
        <v>21780.25</v>
      </c>
      <c r="G20">
        <v>2492.0100000000002</v>
      </c>
      <c r="H20">
        <v>693.73</v>
      </c>
      <c r="I20">
        <v>330.49</v>
      </c>
      <c r="J20">
        <v>2303.62</v>
      </c>
      <c r="K20">
        <v>18970000</v>
      </c>
      <c r="L20">
        <v>6051.09</v>
      </c>
      <c r="M20" s="749">
        <v>45639</v>
      </c>
      <c r="N20">
        <v>0.82743362831858402</v>
      </c>
      <c r="O20">
        <v>1.5669642857142858</v>
      </c>
      <c r="P20">
        <v>1.42084835042972</v>
      </c>
      <c r="Q20">
        <v>1.5201964646415296</v>
      </c>
      <c r="R20">
        <v>0.93140102035095584</v>
      </c>
      <c r="S20">
        <v>1.6504853435447722</v>
      </c>
      <c r="AO20" s="749">
        <v>45639</v>
      </c>
      <c r="AP20">
        <v>21780.25</v>
      </c>
      <c r="AQ20">
        <v>2492.0100000000002</v>
      </c>
      <c r="AR20">
        <f t="shared" si="0"/>
        <v>5.0048830369042694</v>
      </c>
      <c r="AS20">
        <f t="shared" si="1"/>
        <v>1.2713947532218404</v>
      </c>
      <c r="BF20" s="749">
        <v>45639</v>
      </c>
      <c r="BG20">
        <v>21780.25</v>
      </c>
      <c r="BH20">
        <v>175500</v>
      </c>
      <c r="BI20">
        <v>5149.78</v>
      </c>
      <c r="BJ20">
        <v>102.5</v>
      </c>
      <c r="BK20">
        <v>6051.09</v>
      </c>
      <c r="BL20">
        <v>693.73</v>
      </c>
      <c r="BM20">
        <v>2303.62</v>
      </c>
      <c r="BN20" s="14">
        <f t="shared" si="10"/>
        <v>7.3072876319530966E-3</v>
      </c>
      <c r="BO20" s="14">
        <f t="shared" si="2"/>
        <v>5.0269299820466795E-2</v>
      </c>
      <c r="BP20" s="14">
        <f t="shared" si="3"/>
        <v>1.7482679827988568E-2</v>
      </c>
      <c r="BQ20" s="14">
        <f t="shared" si="4"/>
        <v>1.3146189581891843E-2</v>
      </c>
      <c r="BR20" s="14">
        <f t="shared" si="5"/>
        <v>-6.4332123206360947E-3</v>
      </c>
      <c r="BS20" s="14">
        <f t="shared" si="6"/>
        <v>4.8992182420274366E-2</v>
      </c>
      <c r="BT20" s="14">
        <f t="shared" si="7"/>
        <v>2.2358914274555719E-2</v>
      </c>
      <c r="BV20" s="749">
        <v>45639</v>
      </c>
      <c r="BW20">
        <f t="shared" si="8"/>
        <v>2.9075284213763348</v>
      </c>
      <c r="BX20">
        <f t="shared" si="9"/>
        <v>7.3981737941179855</v>
      </c>
    </row>
    <row r="21" spans="1:76" x14ac:dyDescent="0.3">
      <c r="A21" s="749">
        <v>45632</v>
      </c>
      <c r="B21">
        <v>167100</v>
      </c>
      <c r="C21">
        <v>5061.2950000000001</v>
      </c>
      <c r="D21">
        <v>54100</v>
      </c>
      <c r="E21">
        <v>101.17</v>
      </c>
      <c r="F21">
        <v>21622.25</v>
      </c>
      <c r="G21">
        <v>2433.4</v>
      </c>
      <c r="H21">
        <v>661.33</v>
      </c>
      <c r="I21">
        <v>322.07</v>
      </c>
      <c r="J21">
        <v>2253.2399999999998</v>
      </c>
      <c r="K21">
        <v>22550000</v>
      </c>
      <c r="L21">
        <v>6090.27</v>
      </c>
      <c r="M21" s="749">
        <v>45632</v>
      </c>
      <c r="N21">
        <v>0.79793510324483774</v>
      </c>
      <c r="O21">
        <v>1.4919642857142856</v>
      </c>
      <c r="P21">
        <v>1.4024119767119489</v>
      </c>
      <c r="Q21">
        <v>1.5091685360634204</v>
      </c>
      <c r="R21">
        <v>0.90949524396852977</v>
      </c>
      <c r="S21">
        <v>1.6221262300246686</v>
      </c>
      <c r="AO21" s="749">
        <v>45632</v>
      </c>
      <c r="AP21">
        <v>21622.25</v>
      </c>
      <c r="AQ21">
        <v>2433.4</v>
      </c>
      <c r="AR21">
        <f t="shared" si="0"/>
        <v>4.9685762213337004</v>
      </c>
      <c r="AS21">
        <f t="shared" si="1"/>
        <v>1.2414926073691623</v>
      </c>
      <c r="BF21" s="749">
        <v>45632</v>
      </c>
      <c r="BG21">
        <v>21622.25</v>
      </c>
      <c r="BH21">
        <v>167100</v>
      </c>
      <c r="BI21">
        <v>5061.2950000000001</v>
      </c>
      <c r="BJ21">
        <v>101.17</v>
      </c>
      <c r="BK21">
        <v>6090.27</v>
      </c>
      <c r="BL21">
        <v>661.33</v>
      </c>
      <c r="BM21">
        <v>2253.2399999999998</v>
      </c>
      <c r="BN21" s="14">
        <f t="shared" si="10"/>
        <v>3.3056271819370764E-2</v>
      </c>
      <c r="BO21" s="14">
        <f t="shared" si="2"/>
        <v>4.5028142589118136E-2</v>
      </c>
      <c r="BP21" s="14">
        <f t="shared" si="3"/>
        <v>2.7348697671397471E-2</v>
      </c>
      <c r="BQ21" s="14">
        <f t="shared" si="4"/>
        <v>3.2873915262889186E-2</v>
      </c>
      <c r="BR21" s="14">
        <f t="shared" si="5"/>
        <v>9.5965439842982114E-3</v>
      </c>
      <c r="BS21" s="14">
        <f t="shared" si="6"/>
        <v>-2.4860289889264142E-2</v>
      </c>
      <c r="BT21" s="14">
        <f t="shared" si="7"/>
        <v>-7.14707463449471E-3</v>
      </c>
      <c r="BV21" s="749">
        <v>45632</v>
      </c>
      <c r="BW21">
        <f t="shared" si="8"/>
        <v>2.9263542797835846</v>
      </c>
      <c r="BX21">
        <f t="shared" si="9"/>
        <v>7.2710562457620309</v>
      </c>
    </row>
    <row r="22" spans="1:76" x14ac:dyDescent="0.3">
      <c r="A22" s="749">
        <v>45625</v>
      </c>
      <c r="B22">
        <v>159900</v>
      </c>
      <c r="C22">
        <v>4926.5600000000004</v>
      </c>
      <c r="D22">
        <v>54200</v>
      </c>
      <c r="E22">
        <v>97.95</v>
      </c>
      <c r="F22">
        <v>20930.37</v>
      </c>
      <c r="G22">
        <v>2456.86</v>
      </c>
      <c r="H22">
        <v>678.19</v>
      </c>
      <c r="I22">
        <v>325.45</v>
      </c>
      <c r="J22">
        <v>2269.46</v>
      </c>
      <c r="K22">
        <v>21520000</v>
      </c>
      <c r="L22">
        <v>6032.38</v>
      </c>
      <c r="M22" s="749">
        <v>45625</v>
      </c>
      <c r="N22">
        <v>0.79941002949852502</v>
      </c>
      <c r="O22">
        <v>1.4276785714285714</v>
      </c>
      <c r="P22">
        <v>1.3577765456057667</v>
      </c>
      <c r="Q22">
        <v>1.4608773764139129</v>
      </c>
      <c r="R22">
        <v>0.91826353460036247</v>
      </c>
      <c r="S22">
        <v>1.578944163458232</v>
      </c>
      <c r="AO22" s="749">
        <v>45625</v>
      </c>
      <c r="AP22">
        <v>20930.37</v>
      </c>
      <c r="AQ22">
        <v>2456.86</v>
      </c>
      <c r="AR22">
        <f t="shared" si="0"/>
        <v>4.8095891355301248</v>
      </c>
      <c r="AS22">
        <f t="shared" si="1"/>
        <v>1.2534616287256513</v>
      </c>
      <c r="BF22" s="749">
        <v>45625</v>
      </c>
      <c r="BG22">
        <v>20930.37</v>
      </c>
      <c r="BH22">
        <v>159900</v>
      </c>
      <c r="BI22">
        <v>4926.5600000000004</v>
      </c>
      <c r="BJ22">
        <v>97.95</v>
      </c>
      <c r="BK22">
        <v>6032.38</v>
      </c>
      <c r="BL22">
        <v>678.19</v>
      </c>
      <c r="BM22">
        <v>2269.46</v>
      </c>
      <c r="BN22" s="14">
        <f t="shared" si="10"/>
        <v>7.4190553339079646E-3</v>
      </c>
      <c r="BO22" s="14">
        <f t="shared" si="2"/>
        <v>-9.5076400679117157E-2</v>
      </c>
      <c r="BP22" s="14">
        <f t="shared" si="3"/>
        <v>-5.8993550178416676E-3</v>
      </c>
      <c r="BQ22" s="14">
        <f t="shared" si="4"/>
        <v>-4.5693686671862799E-2</v>
      </c>
      <c r="BR22" s="14">
        <f t="shared" si="5"/>
        <v>1.0560631493598871E-2</v>
      </c>
      <c r="BS22" s="14">
        <f t="shared" si="6"/>
        <v>1.7429580065289052E-3</v>
      </c>
      <c r="BT22" s="14">
        <f t="shared" si="7"/>
        <v>-1.8947040794712211E-2</v>
      </c>
      <c r="BV22" s="749">
        <v>45625</v>
      </c>
      <c r="BW22">
        <f t="shared" si="8"/>
        <v>2.8985383292170792</v>
      </c>
      <c r="BX22">
        <f t="shared" si="9"/>
        <v>7.0774959487880853</v>
      </c>
    </row>
    <row r="23" spans="1:76" x14ac:dyDescent="0.3">
      <c r="A23" s="749">
        <v>45618</v>
      </c>
      <c r="B23">
        <v>176700</v>
      </c>
      <c r="C23">
        <v>4955.7960000000003</v>
      </c>
      <c r="D23">
        <v>56000</v>
      </c>
      <c r="E23">
        <v>102.64</v>
      </c>
      <c r="F23">
        <v>20776.23</v>
      </c>
      <c r="G23">
        <v>2510.41</v>
      </c>
      <c r="H23">
        <v>677.01</v>
      </c>
      <c r="I23">
        <v>332.36</v>
      </c>
      <c r="J23">
        <v>2313.29</v>
      </c>
      <c r="K23">
        <v>19390000</v>
      </c>
      <c r="L23">
        <v>5969.34</v>
      </c>
      <c r="M23" s="749">
        <v>45618</v>
      </c>
      <c r="N23">
        <v>0.82595870206489674</v>
      </c>
      <c r="O23">
        <v>1.5776785714285715</v>
      </c>
      <c r="P23">
        <v>1.4227890213473802</v>
      </c>
      <c r="Q23">
        <v>1.4501188643187881</v>
      </c>
      <c r="R23">
        <v>0.93827811104258929</v>
      </c>
      <c r="S23">
        <v>1.588314192761207</v>
      </c>
      <c r="AO23" s="749">
        <v>45618</v>
      </c>
      <c r="AP23">
        <v>20776.23</v>
      </c>
      <c r="AQ23">
        <v>2510.41</v>
      </c>
      <c r="AR23">
        <f t="shared" si="0"/>
        <v>4.7741693092513442</v>
      </c>
      <c r="AS23">
        <f t="shared" si="1"/>
        <v>1.2807822209524198</v>
      </c>
      <c r="BF23" s="749">
        <v>45618</v>
      </c>
      <c r="BG23">
        <v>20776.23</v>
      </c>
      <c r="BH23">
        <v>176700</v>
      </c>
      <c r="BI23">
        <v>4955.7960000000003</v>
      </c>
      <c r="BJ23">
        <v>102.64</v>
      </c>
      <c r="BK23">
        <v>5969.34</v>
      </c>
      <c r="BL23">
        <v>677.01</v>
      </c>
      <c r="BM23">
        <v>2313.29</v>
      </c>
      <c r="BN23" s="14">
        <f t="shared" si="10"/>
        <v>1.8735783286661256E-2</v>
      </c>
      <c r="BO23" s="14">
        <f t="shared" si="2"/>
        <v>-8.4175084175084347E-3</v>
      </c>
      <c r="BP23" s="14">
        <f t="shared" si="3"/>
        <v>2.5282233171521451E-2</v>
      </c>
      <c r="BQ23" s="14">
        <f t="shared" si="4"/>
        <v>6.539339838073488E-2</v>
      </c>
      <c r="BR23" s="14">
        <f t="shared" si="5"/>
        <v>1.6815941076070429E-2</v>
      </c>
      <c r="BS23" s="14">
        <f t="shared" si="6"/>
        <v>-1.226984914359075E-2</v>
      </c>
      <c r="BT23" s="14">
        <f t="shared" si="7"/>
        <v>4.2694167864885779E-2</v>
      </c>
      <c r="BV23" s="749">
        <v>45618</v>
      </c>
      <c r="BW23">
        <f t="shared" si="8"/>
        <v>2.8682478209477318</v>
      </c>
      <c r="BX23">
        <f t="shared" si="9"/>
        <v>7.1194963855144762</v>
      </c>
    </row>
    <row r="24" spans="1:76" x14ac:dyDescent="0.3">
      <c r="A24" s="749">
        <v>45611</v>
      </c>
      <c r="B24">
        <v>178200</v>
      </c>
      <c r="C24">
        <v>4833.5919999999996</v>
      </c>
      <c r="D24">
        <v>53500</v>
      </c>
      <c r="E24">
        <v>96.34</v>
      </c>
      <c r="F24">
        <v>20394.13</v>
      </c>
      <c r="G24">
        <v>2414.86</v>
      </c>
      <c r="H24">
        <v>685.42</v>
      </c>
      <c r="I24">
        <v>320.52999999999997</v>
      </c>
      <c r="J24">
        <v>2218.5700000000002</v>
      </c>
      <c r="K24">
        <v>20370000</v>
      </c>
      <c r="L24">
        <v>5870.62</v>
      </c>
      <c r="M24" s="749">
        <v>45611</v>
      </c>
      <c r="N24">
        <v>0.78908554572271383</v>
      </c>
      <c r="O24">
        <v>1.5910714285714285</v>
      </c>
      <c r="P24">
        <v>1.3354588300526753</v>
      </c>
      <c r="Q24">
        <v>1.4234494243840066</v>
      </c>
      <c r="R24">
        <v>0.90256582758685133</v>
      </c>
      <c r="S24">
        <v>1.5491482651055506</v>
      </c>
      <c r="AO24" s="749">
        <v>45611</v>
      </c>
      <c r="AP24">
        <v>20394.13</v>
      </c>
      <c r="AQ24">
        <v>2414.86</v>
      </c>
      <c r="AR24">
        <f t="shared" si="0"/>
        <v>4.6863665609632799</v>
      </c>
      <c r="AS24">
        <f t="shared" si="1"/>
        <v>1.2320337132536761</v>
      </c>
      <c r="BF24" s="749">
        <v>45611</v>
      </c>
      <c r="BG24">
        <v>20394.13</v>
      </c>
      <c r="BH24">
        <v>178200</v>
      </c>
      <c r="BI24">
        <v>4833.5919999999996</v>
      </c>
      <c r="BJ24">
        <v>96.34</v>
      </c>
      <c r="BK24">
        <v>5870.62</v>
      </c>
      <c r="BL24">
        <v>685.42</v>
      </c>
      <c r="BM24">
        <v>2218.5700000000002</v>
      </c>
      <c r="BN24" s="14">
        <f t="shared" si="10"/>
        <v>-3.4239893773695074E-2</v>
      </c>
      <c r="BO24" s="14">
        <f t="shared" si="2"/>
        <v>-0.11122194513715711</v>
      </c>
      <c r="BP24" s="14">
        <f t="shared" si="3"/>
        <v>-8.6366968225039642E-2</v>
      </c>
      <c r="BQ24" s="14">
        <f t="shared" si="4"/>
        <v>-0.13905272564789994</v>
      </c>
      <c r="BR24" s="14">
        <f t="shared" si="5"/>
        <v>-2.0835487712532963E-2</v>
      </c>
      <c r="BS24" s="14">
        <f t="shared" si="6"/>
        <v>-7.7968199305873176E-2</v>
      </c>
      <c r="BT24" s="14">
        <f t="shared" si="7"/>
        <v>-5.7151356749750359E-2</v>
      </c>
      <c r="BV24" s="749">
        <v>45611</v>
      </c>
      <c r="BW24">
        <f t="shared" si="8"/>
        <v>2.8208131925157844</v>
      </c>
      <c r="BX24">
        <f t="shared" si="9"/>
        <v>6.9439381227660872</v>
      </c>
    </row>
    <row r="25" spans="1:76" x14ac:dyDescent="0.3">
      <c r="A25" s="749">
        <v>45604</v>
      </c>
      <c r="B25">
        <v>200500</v>
      </c>
      <c r="C25">
        <v>5290.518</v>
      </c>
      <c r="D25">
        <v>57000</v>
      </c>
      <c r="E25">
        <v>111.9</v>
      </c>
      <c r="F25">
        <v>21117.18</v>
      </c>
      <c r="G25">
        <v>2558.81</v>
      </c>
      <c r="H25">
        <v>743.38</v>
      </c>
      <c r="I25">
        <v>339.71</v>
      </c>
      <c r="J25">
        <v>2353.0500000000002</v>
      </c>
      <c r="K25">
        <v>16600000</v>
      </c>
      <c r="L25">
        <v>5995.54</v>
      </c>
      <c r="M25" s="749">
        <v>45604</v>
      </c>
      <c r="N25">
        <v>0.84070796460176989</v>
      </c>
      <c r="O25">
        <v>1.7901785714285714</v>
      </c>
      <c r="P25">
        <v>1.55115054061547</v>
      </c>
      <c r="Q25">
        <v>1.4739161570321191</v>
      </c>
      <c r="R25">
        <v>0.95636784960101651</v>
      </c>
      <c r="S25">
        <v>1.6955913492925525</v>
      </c>
      <c r="AO25" s="749">
        <v>45604</v>
      </c>
      <c r="AP25">
        <v>21117.18</v>
      </c>
      <c r="AQ25">
        <v>2558.81</v>
      </c>
      <c r="AR25">
        <f t="shared" si="0"/>
        <v>4.8525162001930235</v>
      </c>
      <c r="AS25">
        <f t="shared" si="1"/>
        <v>1.3054753425915533</v>
      </c>
      <c r="BF25" s="749">
        <v>45604</v>
      </c>
      <c r="BG25">
        <v>21117.18</v>
      </c>
      <c r="BH25">
        <v>200500</v>
      </c>
      <c r="BI25">
        <v>5290.518</v>
      </c>
      <c r="BJ25">
        <v>111.9</v>
      </c>
      <c r="BK25">
        <v>5995.54</v>
      </c>
      <c r="BL25">
        <v>743.38</v>
      </c>
      <c r="BM25">
        <v>2353.0500000000002</v>
      </c>
      <c r="BN25" s="14">
        <f t="shared" si="10"/>
        <v>5.4112335859480831E-2</v>
      </c>
      <c r="BO25" s="14">
        <f t="shared" si="2"/>
        <v>0.10043907793633378</v>
      </c>
      <c r="BP25" s="14">
        <f t="shared" si="3"/>
        <v>5.7802126393977638E-2</v>
      </c>
      <c r="BQ25" s="14">
        <f t="shared" si="4"/>
        <v>0.12202947959490618</v>
      </c>
      <c r="BR25" s="14">
        <f t="shared" si="5"/>
        <v>4.6561234464460144E-2</v>
      </c>
      <c r="BS25" s="14">
        <f t="shared" si="6"/>
        <v>1.9655716343186302E-2</v>
      </c>
      <c r="BT25" s="14">
        <f t="shared" si="7"/>
        <v>5.6370893985111525E-3</v>
      </c>
      <c r="BV25" s="749">
        <v>45604</v>
      </c>
      <c r="BW25">
        <f t="shared" si="8"/>
        <v>2.8808368329505378</v>
      </c>
      <c r="BX25">
        <f t="shared" si="9"/>
        <v>7.6003580007125544</v>
      </c>
    </row>
    <row r="26" spans="1:76" x14ac:dyDescent="0.3">
      <c r="A26" s="749">
        <v>45597</v>
      </c>
      <c r="B26">
        <v>182200</v>
      </c>
      <c r="C26">
        <v>5001.4250000000002</v>
      </c>
      <c r="D26">
        <v>58300</v>
      </c>
      <c r="E26">
        <v>99.73</v>
      </c>
      <c r="F26">
        <v>20033.14</v>
      </c>
      <c r="G26">
        <v>2542.4</v>
      </c>
      <c r="H26">
        <v>729.05</v>
      </c>
      <c r="I26">
        <v>337.49</v>
      </c>
      <c r="J26">
        <v>2339.86</v>
      </c>
      <c r="K26">
        <v>19810000</v>
      </c>
      <c r="L26">
        <v>5728.8</v>
      </c>
      <c r="M26" s="749">
        <v>45597</v>
      </c>
      <c r="N26">
        <v>0.85988200589970498</v>
      </c>
      <c r="O26">
        <v>1.6267857142857143</v>
      </c>
      <c r="P26">
        <v>1.3824507901303023</v>
      </c>
      <c r="Q26">
        <v>1.3982533994636797</v>
      </c>
      <c r="R26">
        <v>0.95023453121788037</v>
      </c>
      <c r="S26">
        <v>1.6029381176163666</v>
      </c>
      <c r="AO26" s="749">
        <v>45597</v>
      </c>
      <c r="AP26">
        <v>20033.14</v>
      </c>
      <c r="AQ26">
        <v>2542.4</v>
      </c>
      <c r="AR26">
        <f t="shared" si="0"/>
        <v>4.6034146789834089</v>
      </c>
      <c r="AS26">
        <f t="shared" si="1"/>
        <v>1.2971031499035746</v>
      </c>
      <c r="BF26" s="749">
        <v>45597</v>
      </c>
      <c r="BG26">
        <v>20033.14</v>
      </c>
      <c r="BH26">
        <v>182200</v>
      </c>
      <c r="BI26">
        <v>5001.4250000000002</v>
      </c>
      <c r="BJ26">
        <v>99.73</v>
      </c>
      <c r="BK26">
        <v>5728.8</v>
      </c>
      <c r="BL26">
        <v>729.05</v>
      </c>
      <c r="BM26">
        <v>2339.86</v>
      </c>
      <c r="BN26" s="14">
        <f t="shared" si="10"/>
        <v>-1.5668223596478459E-2</v>
      </c>
      <c r="BO26" s="14">
        <f t="shared" si="2"/>
        <v>-9.3532338308457752E-2</v>
      </c>
      <c r="BP26" s="14">
        <f t="shared" si="3"/>
        <v>-4.0555298817360863E-2</v>
      </c>
      <c r="BQ26" s="14">
        <f t="shared" si="4"/>
        <v>-7.5803910666295882E-2</v>
      </c>
      <c r="BR26" s="14">
        <f t="shared" si="5"/>
        <v>-1.3656742629284513E-2</v>
      </c>
      <c r="BS26" s="14">
        <f t="shared" si="6"/>
        <v>2.2545744490727326E-3</v>
      </c>
      <c r="BT26" s="14">
        <f t="shared" si="7"/>
        <v>-2.257404235765903E-2</v>
      </c>
      <c r="BV26" s="749">
        <v>45597</v>
      </c>
      <c r="BW26">
        <f t="shared" si="8"/>
        <v>2.75266915884258</v>
      </c>
      <c r="BX26">
        <f t="shared" si="9"/>
        <v>7.1850470055510227</v>
      </c>
    </row>
    <row r="27" spans="1:76" x14ac:dyDescent="0.3">
      <c r="A27" s="749">
        <v>45590</v>
      </c>
      <c r="B27">
        <v>201000</v>
      </c>
      <c r="C27">
        <v>5212.8329999999996</v>
      </c>
      <c r="D27">
        <v>55900</v>
      </c>
      <c r="E27">
        <v>107.91</v>
      </c>
      <c r="F27">
        <v>20352.02</v>
      </c>
      <c r="G27">
        <v>2592.9699999999998</v>
      </c>
      <c r="H27">
        <v>727.41</v>
      </c>
      <c r="I27">
        <v>343.37</v>
      </c>
      <c r="J27">
        <v>2393.9</v>
      </c>
      <c r="K27">
        <v>22140000</v>
      </c>
      <c r="L27">
        <v>5808.12</v>
      </c>
      <c r="M27" s="749">
        <v>45590</v>
      </c>
      <c r="N27">
        <v>0.82448377581120946</v>
      </c>
      <c r="O27">
        <v>1.7946428571428572</v>
      </c>
      <c r="P27">
        <v>1.4958414194621568</v>
      </c>
      <c r="Q27">
        <v>1.4205102720268914</v>
      </c>
      <c r="R27">
        <v>0.96913531797200558</v>
      </c>
      <c r="S27">
        <v>1.6706935956189439</v>
      </c>
      <c r="AO27" s="749">
        <v>45590</v>
      </c>
      <c r="AP27">
        <v>20352.02</v>
      </c>
      <c r="AQ27">
        <v>2592.9699999999998</v>
      </c>
      <c r="AR27">
        <f t="shared" si="0"/>
        <v>4.6766901052438072</v>
      </c>
      <c r="AS27">
        <f t="shared" si="1"/>
        <v>1.3229033805087598</v>
      </c>
      <c r="BF27" s="749">
        <v>45590</v>
      </c>
      <c r="BG27">
        <v>20352.02</v>
      </c>
      <c r="BH27">
        <v>201000</v>
      </c>
      <c r="BI27">
        <v>5212.8329999999996</v>
      </c>
      <c r="BJ27">
        <v>107.91</v>
      </c>
      <c r="BK27">
        <v>5808.12</v>
      </c>
      <c r="BL27">
        <v>727.41</v>
      </c>
      <c r="BM27">
        <v>2393.9</v>
      </c>
      <c r="BN27" s="14">
        <f t="shared" si="10"/>
        <v>1.3766947909963356E-3</v>
      </c>
      <c r="BO27" s="14">
        <f t="shared" si="2"/>
        <v>7.3144687666844677E-2</v>
      </c>
      <c r="BP27" s="14">
        <f t="shared" si="3"/>
        <v>8.0923577040947769E-4</v>
      </c>
      <c r="BQ27" s="14">
        <f t="shared" si="4"/>
        <v>-2.9149797570850233E-2</v>
      </c>
      <c r="BR27" s="14">
        <f t="shared" si="5"/>
        <v>-9.6424862780003506E-3</v>
      </c>
      <c r="BS27" s="14">
        <f t="shared" si="6"/>
        <v>-3.4266217041501901E-2</v>
      </c>
      <c r="BT27" s="14">
        <f t="shared" si="7"/>
        <v>7.5247690313950955E-4</v>
      </c>
      <c r="BV27" s="749">
        <v>45590</v>
      </c>
      <c r="BW27">
        <f t="shared" si="8"/>
        <v>2.7907821524327545</v>
      </c>
      <c r="BX27">
        <f t="shared" si="9"/>
        <v>7.4887557320338809</v>
      </c>
    </row>
    <row r="28" spans="1:76" x14ac:dyDescent="0.3">
      <c r="A28" s="749">
        <v>45583</v>
      </c>
      <c r="B28">
        <v>187300</v>
      </c>
      <c r="C28">
        <v>5208.6180000000004</v>
      </c>
      <c r="D28">
        <v>59200</v>
      </c>
      <c r="E28">
        <v>111.15</v>
      </c>
      <c r="F28">
        <v>20324.04</v>
      </c>
      <c r="G28">
        <v>2603.9499999999998</v>
      </c>
      <c r="H28">
        <v>753.22</v>
      </c>
      <c r="I28">
        <v>345.42</v>
      </c>
      <c r="J28">
        <v>2392.1</v>
      </c>
      <c r="K28">
        <v>21660000</v>
      </c>
      <c r="L28">
        <v>5864.67</v>
      </c>
      <c r="M28" s="749">
        <v>45583</v>
      </c>
      <c r="N28">
        <v>0.87315634218289084</v>
      </c>
      <c r="O28">
        <v>1.6723214285714285</v>
      </c>
      <c r="P28">
        <v>1.5407540892708622</v>
      </c>
      <c r="Q28">
        <v>1.4185573515103376</v>
      </c>
      <c r="R28">
        <v>0.97323914709125214</v>
      </c>
      <c r="S28">
        <v>1.6693427037899649</v>
      </c>
      <c r="AO28" s="749">
        <v>45583</v>
      </c>
      <c r="AP28">
        <v>20324.04</v>
      </c>
      <c r="AQ28">
        <v>2603.9499999999998</v>
      </c>
      <c r="AR28">
        <f t="shared" si="0"/>
        <v>4.6702605818282086</v>
      </c>
      <c r="AS28">
        <f t="shared" si="1"/>
        <v>1.3285052498392906</v>
      </c>
      <c r="BF28" s="749">
        <v>45583</v>
      </c>
      <c r="BG28">
        <v>20324.04</v>
      </c>
      <c r="BH28">
        <v>187300</v>
      </c>
      <c r="BI28">
        <v>5208.6180000000004</v>
      </c>
      <c r="BJ28">
        <v>111.15</v>
      </c>
      <c r="BK28">
        <v>5864.67</v>
      </c>
      <c r="BL28">
        <v>753.22</v>
      </c>
      <c r="BM28">
        <v>2392.1</v>
      </c>
      <c r="BN28" s="14">
        <f t="shared" si="10"/>
        <v>2.5685712834027097E-3</v>
      </c>
      <c r="BO28" s="14">
        <f t="shared" si="2"/>
        <v>6.9892473118280396E-3</v>
      </c>
      <c r="BP28" s="14">
        <f t="shared" si="3"/>
        <v>-2.3861944578128957E-2</v>
      </c>
      <c r="BQ28" s="14">
        <f t="shared" si="4"/>
        <v>3.9562289562289576E-2</v>
      </c>
      <c r="BR28" s="14">
        <f t="shared" si="5"/>
        <v>8.5364993817744761E-3</v>
      </c>
      <c r="BS28" s="14">
        <f t="shared" si="6"/>
        <v>-2.3035617006926246E-2</v>
      </c>
      <c r="BT28" s="14">
        <f t="shared" si="7"/>
        <v>-1.1733217532182705E-3</v>
      </c>
      <c r="BV28" s="749">
        <v>45583</v>
      </c>
      <c r="BW28">
        <f t="shared" si="8"/>
        <v>2.8179542374998801</v>
      </c>
      <c r="BX28">
        <f t="shared" si="9"/>
        <v>7.4827004631598317</v>
      </c>
    </row>
    <row r="29" spans="1:76" x14ac:dyDescent="0.3">
      <c r="A29" s="749">
        <v>45576</v>
      </c>
      <c r="B29">
        <v>186000</v>
      </c>
      <c r="C29">
        <v>5335.9440000000004</v>
      </c>
      <c r="D29">
        <v>59300</v>
      </c>
      <c r="E29">
        <v>106.92</v>
      </c>
      <c r="F29">
        <v>20271.97</v>
      </c>
      <c r="G29">
        <v>2605.17</v>
      </c>
      <c r="H29">
        <v>770.98</v>
      </c>
      <c r="I29">
        <v>345.45</v>
      </c>
      <c r="J29">
        <v>2394.91</v>
      </c>
      <c r="K29">
        <v>17690000</v>
      </c>
      <c r="L29">
        <v>5815.03</v>
      </c>
      <c r="M29" s="749">
        <v>45576</v>
      </c>
      <c r="N29">
        <v>0.87463126843657812</v>
      </c>
      <c r="O29">
        <v>1.6607142857142858</v>
      </c>
      <c r="P29">
        <v>1.4821181036872748</v>
      </c>
      <c r="Q29">
        <v>1.414923020870704</v>
      </c>
      <c r="R29">
        <v>0.97369512810450187</v>
      </c>
      <c r="S29">
        <v>1.7101502134024495</v>
      </c>
      <c r="AO29" s="749">
        <v>45576</v>
      </c>
      <c r="AP29">
        <v>20271.97</v>
      </c>
      <c r="AQ29">
        <v>2605.17</v>
      </c>
      <c r="AR29">
        <f t="shared" si="0"/>
        <v>4.6582954179879588</v>
      </c>
      <c r="AS29">
        <f t="shared" si="1"/>
        <v>1.3291276797649052</v>
      </c>
      <c r="BF29" s="749">
        <v>45576</v>
      </c>
      <c r="BG29">
        <v>20271.97</v>
      </c>
      <c r="BH29">
        <v>186000</v>
      </c>
      <c r="BI29">
        <v>5335.9440000000004</v>
      </c>
      <c r="BJ29">
        <v>106.92</v>
      </c>
      <c r="BK29">
        <v>5815.03</v>
      </c>
      <c r="BL29">
        <v>770.98</v>
      </c>
      <c r="BM29">
        <v>2394.91</v>
      </c>
      <c r="BN29" s="14">
        <f t="shared" si="10"/>
        <v>1.1826791288453986E-2</v>
      </c>
      <c r="BO29" s="14">
        <f t="shared" si="2"/>
        <v>6.8351522113727636E-2</v>
      </c>
      <c r="BP29" s="14">
        <f t="shared" si="3"/>
        <v>2.4795864513497357E-2</v>
      </c>
      <c r="BQ29" s="14">
        <f t="shared" si="4"/>
        <v>4.5672371638141751E-2</v>
      </c>
      <c r="BR29" s="14">
        <f t="shared" si="5"/>
        <v>1.1121408711770142E-2</v>
      </c>
      <c r="BS29" s="14">
        <f t="shared" si="6"/>
        <v>2.6008478764076859E-3</v>
      </c>
      <c r="BT29" s="14">
        <f t="shared" si="7"/>
        <v>1.4268047873556844E-2</v>
      </c>
      <c r="BV29" s="749">
        <v>45576</v>
      </c>
      <c r="BW29">
        <f t="shared" si="8"/>
        <v>2.7941023842243342</v>
      </c>
      <c r="BX29">
        <f t="shared" si="9"/>
        <v>7.6656169909551677</v>
      </c>
    </row>
    <row r="30" spans="1:76" x14ac:dyDescent="0.3">
      <c r="A30" s="749">
        <v>45569</v>
      </c>
      <c r="B30">
        <v>174100</v>
      </c>
      <c r="C30">
        <v>5206.8360000000002</v>
      </c>
      <c r="D30">
        <v>60600</v>
      </c>
      <c r="E30">
        <v>102.25</v>
      </c>
      <c r="F30">
        <v>20035.02</v>
      </c>
      <c r="G30">
        <v>2573.42</v>
      </c>
      <c r="H30">
        <v>768.98</v>
      </c>
      <c r="I30">
        <v>341.74</v>
      </c>
      <c r="J30">
        <v>2361.2199999999998</v>
      </c>
      <c r="K30">
        <v>13210000</v>
      </c>
      <c r="L30">
        <v>5751.07</v>
      </c>
      <c r="M30" s="749">
        <v>45569</v>
      </c>
      <c r="N30">
        <v>0.89380530973451322</v>
      </c>
      <c r="O30">
        <v>1.5544642857142856</v>
      </c>
      <c r="P30">
        <v>1.417382866648184</v>
      </c>
      <c r="Q30">
        <v>1.398384617854356</v>
      </c>
      <c r="R30">
        <v>0.96182840911214518</v>
      </c>
      <c r="S30">
        <v>1.6687715794152931</v>
      </c>
      <c r="AO30" s="749">
        <v>45569</v>
      </c>
      <c r="AP30">
        <v>20035.02</v>
      </c>
      <c r="AQ30">
        <v>2573.42</v>
      </c>
      <c r="AR30">
        <f t="shared" si="0"/>
        <v>4.6038466841307049</v>
      </c>
      <c r="AS30">
        <f t="shared" si="1"/>
        <v>1.3129291960450191</v>
      </c>
      <c r="BF30" s="749">
        <v>45569</v>
      </c>
      <c r="BG30">
        <v>20035.02</v>
      </c>
      <c r="BH30">
        <v>174100</v>
      </c>
      <c r="BI30">
        <v>5206.8360000000002</v>
      </c>
      <c r="BJ30">
        <v>102.25</v>
      </c>
      <c r="BK30">
        <v>5751.07</v>
      </c>
      <c r="BL30">
        <v>768.98</v>
      </c>
      <c r="BM30">
        <v>2361.2199999999998</v>
      </c>
      <c r="BN30" s="14">
        <f t="shared" si="10"/>
        <v>1.3194313250990408E-3</v>
      </c>
      <c r="BO30" s="14">
        <f t="shared" si="2"/>
        <v>-5.2774755168661591E-2</v>
      </c>
      <c r="BP30" s="14">
        <f t="shared" si="3"/>
        <v>-1.991862345291362E-3</v>
      </c>
      <c r="BQ30" s="14">
        <f t="shared" si="4"/>
        <v>-4.8837209302325602E-2</v>
      </c>
      <c r="BR30" s="14">
        <f t="shared" si="5"/>
        <v>2.2481034894399343E-3</v>
      </c>
      <c r="BS30" s="14">
        <f t="shared" si="6"/>
        <v>-7.1143591266510375E-3</v>
      </c>
      <c r="BT30" s="14">
        <f t="shared" si="7"/>
        <v>-3.6401922935660136E-2</v>
      </c>
      <c r="BV30" s="749">
        <v>45569</v>
      </c>
      <c r="BW30">
        <f t="shared" si="8"/>
        <v>2.7633698190449651</v>
      </c>
      <c r="BX30">
        <f t="shared" si="9"/>
        <v>7.4801404420130799</v>
      </c>
    </row>
    <row r="31" spans="1:76" x14ac:dyDescent="0.3">
      <c r="A31" s="749">
        <v>45562</v>
      </c>
      <c r="B31">
        <v>183800</v>
      </c>
      <c r="C31">
        <v>5217.2280000000001</v>
      </c>
      <c r="D31">
        <v>64200</v>
      </c>
      <c r="E31">
        <v>107.5</v>
      </c>
      <c r="F31">
        <v>20008.62</v>
      </c>
      <c r="G31">
        <v>2667.43</v>
      </c>
      <c r="H31">
        <v>774.49</v>
      </c>
      <c r="I31">
        <v>353.93</v>
      </c>
      <c r="J31">
        <v>2450.42</v>
      </c>
      <c r="K31">
        <v>29010000</v>
      </c>
      <c r="L31">
        <v>5738.17</v>
      </c>
      <c r="M31" s="749">
        <v>45562</v>
      </c>
      <c r="N31">
        <v>0.94690265486725667</v>
      </c>
      <c r="O31">
        <v>1.6410714285714285</v>
      </c>
      <c r="P31">
        <v>1.4901580260604381</v>
      </c>
      <c r="Q31">
        <v>1.3965419766235831</v>
      </c>
      <c r="R31">
        <v>0.99696510997738774</v>
      </c>
      <c r="S31">
        <v>1.6721021767786983</v>
      </c>
      <c r="AO31" s="749">
        <v>45562</v>
      </c>
      <c r="AP31">
        <v>20008.62</v>
      </c>
      <c r="AQ31">
        <v>2667.43</v>
      </c>
      <c r="AR31">
        <f t="shared" si="0"/>
        <v>4.5977802288708114</v>
      </c>
      <c r="AS31">
        <f t="shared" si="1"/>
        <v>1.3608920135097904</v>
      </c>
      <c r="BF31" s="749">
        <v>45562</v>
      </c>
      <c r="BG31">
        <v>20008.62</v>
      </c>
      <c r="BH31">
        <v>183800</v>
      </c>
      <c r="BI31">
        <v>5217.2280000000001</v>
      </c>
      <c r="BJ31">
        <v>107.5</v>
      </c>
      <c r="BK31">
        <v>5738.17</v>
      </c>
      <c r="BL31">
        <v>774.49</v>
      </c>
      <c r="BM31">
        <v>2450.42</v>
      </c>
      <c r="BN31" s="14">
        <f t="shared" si="10"/>
        <v>1.0970876876879698E-2</v>
      </c>
      <c r="BO31" s="14">
        <f t="shared" si="2"/>
        <v>0.16995544239338001</v>
      </c>
      <c r="BP31" s="14">
        <f t="shared" si="3"/>
        <v>4.343224406727586E-2</v>
      </c>
      <c r="BQ31" s="14">
        <f t="shared" si="4"/>
        <v>0.18261826182618246</v>
      </c>
      <c r="BR31" s="14">
        <f t="shared" si="5"/>
        <v>6.2463283969451666E-3</v>
      </c>
      <c r="BS31" s="14">
        <f t="shared" si="6"/>
        <v>3.4957839455854955E-2</v>
      </c>
      <c r="BT31" s="14">
        <f t="shared" si="7"/>
        <v>2.7498700122440045E-2</v>
      </c>
      <c r="BV31" s="749">
        <v>45562</v>
      </c>
      <c r="BW31">
        <f t="shared" si="8"/>
        <v>2.7571714123718278</v>
      </c>
      <c r="BX31">
        <f t="shared" si="9"/>
        <v>7.4950695889025534</v>
      </c>
    </row>
    <row r="32" spans="1:76" x14ac:dyDescent="0.3">
      <c r="A32" s="749">
        <v>45555</v>
      </c>
      <c r="B32">
        <v>157100</v>
      </c>
      <c r="C32">
        <v>5000.0640000000003</v>
      </c>
      <c r="D32">
        <v>63000</v>
      </c>
      <c r="E32">
        <v>90.9</v>
      </c>
      <c r="F32">
        <v>19791.490000000002</v>
      </c>
      <c r="G32">
        <v>2596.2800000000002</v>
      </c>
      <c r="H32">
        <v>748.33</v>
      </c>
      <c r="I32">
        <v>344.67</v>
      </c>
      <c r="J32">
        <v>2384.84</v>
      </c>
      <c r="K32">
        <v>22160000</v>
      </c>
      <c r="L32">
        <v>5702.55</v>
      </c>
      <c r="M32" s="749">
        <v>45555</v>
      </c>
      <c r="N32">
        <v>0.92920353982300885</v>
      </c>
      <c r="O32">
        <v>1.4026785714285714</v>
      </c>
      <c r="P32">
        <v>1.2600499029664542</v>
      </c>
      <c r="Q32">
        <v>1.3813869504706413</v>
      </c>
      <c r="R32">
        <v>0.97037244678664203</v>
      </c>
      <c r="S32">
        <v>1.6025019221764518</v>
      </c>
      <c r="AO32" s="749">
        <v>45555</v>
      </c>
      <c r="AP32">
        <v>19791.490000000002</v>
      </c>
      <c r="AQ32">
        <v>2596.2800000000002</v>
      </c>
      <c r="AR32">
        <f t="shared" si="0"/>
        <v>4.5478859322579162</v>
      </c>
      <c r="AS32">
        <f t="shared" si="1"/>
        <v>1.3245921043233371</v>
      </c>
      <c r="BF32" s="749">
        <v>45555</v>
      </c>
      <c r="BG32">
        <v>19791.490000000002</v>
      </c>
      <c r="BH32">
        <v>157100</v>
      </c>
      <c r="BI32">
        <v>5000.0640000000003</v>
      </c>
      <c r="BJ32">
        <v>90.9</v>
      </c>
      <c r="BK32">
        <v>5702.55</v>
      </c>
      <c r="BL32">
        <v>748.33</v>
      </c>
      <c r="BM32">
        <v>2384.84</v>
      </c>
      <c r="BN32" s="14">
        <f t="shared" si="10"/>
        <v>1.4189903139088855E-2</v>
      </c>
      <c r="BO32" s="14">
        <f t="shared" si="2"/>
        <v>-3.5012285012285038E-2</v>
      </c>
      <c r="BP32" s="14">
        <f t="shared" si="3"/>
        <v>3.9309416791855067E-3</v>
      </c>
      <c r="BQ32" s="14">
        <f t="shared" si="4"/>
        <v>-3.5080026310019274E-3</v>
      </c>
      <c r="BR32" s="14">
        <f t="shared" si="5"/>
        <v>1.3602866680175296E-2</v>
      </c>
      <c r="BS32" s="14">
        <f t="shared" si="6"/>
        <v>2.0635570103655132E-2</v>
      </c>
      <c r="BT32" s="14">
        <f t="shared" si="7"/>
        <v>1.7347766002580034E-3</v>
      </c>
      <c r="BV32" s="749">
        <v>45555</v>
      </c>
      <c r="BW32">
        <f t="shared" si="8"/>
        <v>2.7400561220077075</v>
      </c>
      <c r="BX32">
        <f t="shared" si="9"/>
        <v>7.1830917929916911</v>
      </c>
    </row>
    <row r="33" spans="1:76" x14ac:dyDescent="0.3">
      <c r="A33" s="749">
        <v>45548</v>
      </c>
      <c r="B33">
        <v>162800</v>
      </c>
      <c r="C33">
        <v>4980.4859999999999</v>
      </c>
      <c r="D33">
        <v>64400</v>
      </c>
      <c r="E33">
        <v>91.22</v>
      </c>
      <c r="F33">
        <v>19514.580000000002</v>
      </c>
      <c r="G33">
        <v>2590.02</v>
      </c>
      <c r="H33">
        <v>733.2</v>
      </c>
      <c r="I33">
        <v>343.69</v>
      </c>
      <c r="J33">
        <v>2380.71</v>
      </c>
      <c r="K33">
        <v>26280000</v>
      </c>
      <c r="L33">
        <v>5626.02</v>
      </c>
      <c r="M33" s="749">
        <v>45548</v>
      </c>
      <c r="N33">
        <v>0.94985250737463123</v>
      </c>
      <c r="O33">
        <v>1.4535714285714285</v>
      </c>
      <c r="P33">
        <v>1.26448572220682</v>
      </c>
      <c r="Q33">
        <v>1.3620594586822603</v>
      </c>
      <c r="R33">
        <v>0.96803274093177094</v>
      </c>
      <c r="S33">
        <v>1.5962272459658331</v>
      </c>
      <c r="AO33" s="749">
        <v>45548</v>
      </c>
      <c r="AP33">
        <v>19514.580000000002</v>
      </c>
      <c r="AQ33">
        <v>2590.02</v>
      </c>
      <c r="AR33">
        <f t="shared" si="0"/>
        <v>4.4842547911209154</v>
      </c>
      <c r="AS33">
        <f t="shared" si="1"/>
        <v>1.3213983245410854</v>
      </c>
      <c r="BF33" s="749">
        <v>45548</v>
      </c>
      <c r="BG33">
        <v>19514.580000000002</v>
      </c>
      <c r="BH33">
        <v>162800</v>
      </c>
      <c r="BI33">
        <v>4980.4859999999999</v>
      </c>
      <c r="BJ33">
        <v>91.22</v>
      </c>
      <c r="BK33">
        <v>5626.02</v>
      </c>
      <c r="BL33">
        <v>733.2</v>
      </c>
      <c r="BM33">
        <v>2380.71</v>
      </c>
      <c r="BN33" s="14">
        <f t="shared" si="10"/>
        <v>5.9348113679211778E-2</v>
      </c>
      <c r="BO33" s="14">
        <f t="shared" si="2"/>
        <v>4.0920716112532007E-2</v>
      </c>
      <c r="BP33" s="14">
        <f t="shared" si="3"/>
        <v>9.9878428917354878E-2</v>
      </c>
      <c r="BQ33" s="14">
        <f t="shared" si="4"/>
        <v>5.6031488770548865E-2</v>
      </c>
      <c r="BR33" s="14">
        <f t="shared" si="5"/>
        <v>4.0233561742616164E-2</v>
      </c>
      <c r="BS33" s="14">
        <f t="shared" si="6"/>
        <v>3.7659746104530267E-2</v>
      </c>
      <c r="BT33" s="14">
        <f t="shared" si="7"/>
        <v>3.7651046893050211E-3</v>
      </c>
      <c r="BV33" s="749">
        <v>45548</v>
      </c>
      <c r="BW33">
        <f t="shared" si="8"/>
        <v>2.7032837140468393</v>
      </c>
      <c r="BX33">
        <f t="shared" si="9"/>
        <v>7.1549660387767062</v>
      </c>
    </row>
    <row r="34" spans="1:76" x14ac:dyDescent="0.3">
      <c r="A34" s="749">
        <v>45541</v>
      </c>
      <c r="B34">
        <v>156400</v>
      </c>
      <c r="C34">
        <v>4528.2150000000001</v>
      </c>
      <c r="D34">
        <v>68900</v>
      </c>
      <c r="E34">
        <v>86.38</v>
      </c>
      <c r="F34">
        <v>18421.310000000001</v>
      </c>
      <c r="G34">
        <v>2582.87</v>
      </c>
      <c r="H34">
        <v>706.59</v>
      </c>
      <c r="I34">
        <v>342.37</v>
      </c>
      <c r="J34">
        <v>2371.7800000000002</v>
      </c>
      <c r="K34">
        <v>25620000</v>
      </c>
      <c r="L34">
        <v>5408.42</v>
      </c>
      <c r="M34" s="749">
        <v>45541</v>
      </c>
      <c r="N34">
        <v>1.0162241887905605</v>
      </c>
      <c r="O34">
        <v>1.3964285714285714</v>
      </c>
      <c r="P34">
        <v>1.197393956196285</v>
      </c>
      <c r="Q34">
        <v>1.2857524746532136</v>
      </c>
      <c r="R34">
        <v>0.96536039319018507</v>
      </c>
      <c r="S34">
        <v>1.4512760719719271</v>
      </c>
      <c r="AO34" s="749">
        <v>45541</v>
      </c>
      <c r="AP34">
        <v>18421.310000000001</v>
      </c>
      <c r="AQ34">
        <v>2582.87</v>
      </c>
      <c r="AR34">
        <f t="shared" si="0"/>
        <v>4.2330323084700581</v>
      </c>
      <c r="AS34">
        <f t="shared" si="1"/>
        <v>1.3177504770262134</v>
      </c>
      <c r="BF34" s="749">
        <v>45541</v>
      </c>
      <c r="BG34">
        <v>18421.310000000001</v>
      </c>
      <c r="BH34">
        <v>156400</v>
      </c>
      <c r="BI34">
        <v>4528.2150000000001</v>
      </c>
      <c r="BJ34">
        <v>86.38</v>
      </c>
      <c r="BK34">
        <v>5408.42</v>
      </c>
      <c r="BL34">
        <v>706.59</v>
      </c>
      <c r="BM34">
        <v>2371.7800000000002</v>
      </c>
      <c r="BN34" s="14">
        <f t="shared" si="10"/>
        <v>-5.8919602097407542E-2</v>
      </c>
      <c r="BO34" s="14">
        <f t="shared" si="2"/>
        <v>-9.9597006332757587E-2</v>
      </c>
      <c r="BP34" s="14">
        <f t="shared" si="3"/>
        <v>-0.12223822502045034</v>
      </c>
      <c r="BQ34" s="14">
        <f t="shared" si="4"/>
        <v>-0.10245220282626766</v>
      </c>
      <c r="BR34" s="14">
        <f t="shared" si="5"/>
        <v>-4.2486367820975812E-2</v>
      </c>
      <c r="BS34" s="14">
        <f t="shared" si="6"/>
        <v>-7.9553448141104099E-2</v>
      </c>
      <c r="BT34" s="14">
        <f t="shared" si="7"/>
        <v>-5.0117745061916241E-2</v>
      </c>
      <c r="BV34" s="749">
        <v>45541</v>
      </c>
      <c r="BW34">
        <f t="shared" si="8"/>
        <v>2.5987276448937626</v>
      </c>
      <c r="BX34">
        <f t="shared" si="9"/>
        <v>6.5052335336911433</v>
      </c>
    </row>
    <row r="35" spans="1:76" x14ac:dyDescent="0.3">
      <c r="A35" s="749">
        <v>45534</v>
      </c>
      <c r="B35">
        <v>173700</v>
      </c>
      <c r="C35">
        <v>5158.82</v>
      </c>
      <c r="D35">
        <v>74300</v>
      </c>
      <c r="E35">
        <v>96.24</v>
      </c>
      <c r="F35">
        <v>19574.64</v>
      </c>
      <c r="G35">
        <v>2722.36</v>
      </c>
      <c r="H35">
        <v>767.66</v>
      </c>
      <c r="I35">
        <v>361.55</v>
      </c>
      <c r="J35">
        <v>2496.92</v>
      </c>
      <c r="K35">
        <v>29080000</v>
      </c>
      <c r="L35">
        <v>5648.4</v>
      </c>
      <c r="M35" s="749">
        <v>45534</v>
      </c>
      <c r="N35">
        <v>1.0958702064896755</v>
      </c>
      <c r="O35">
        <v>1.5508928571428571</v>
      </c>
      <c r="P35">
        <v>1.3340726365400608</v>
      </c>
      <c r="Q35">
        <v>1.3662514674822681</v>
      </c>
      <c r="R35">
        <v>1.0174954682214872</v>
      </c>
      <c r="S35">
        <v>1.6533826299348013</v>
      </c>
      <c r="AO35" s="749">
        <v>45534</v>
      </c>
      <c r="AP35">
        <v>19574.64</v>
      </c>
      <c r="AQ35">
        <v>2722.36</v>
      </c>
      <c r="AR35">
        <f t="shared" si="0"/>
        <v>4.4980559768371702</v>
      </c>
      <c r="AS35">
        <f t="shared" si="1"/>
        <v>1.3889166658163528</v>
      </c>
      <c r="BF35" s="749">
        <v>45534</v>
      </c>
      <c r="BG35">
        <v>19574.64</v>
      </c>
      <c r="BH35">
        <v>173700</v>
      </c>
      <c r="BI35">
        <v>5158.82</v>
      </c>
      <c r="BJ35">
        <v>96.24</v>
      </c>
      <c r="BK35">
        <v>5648.4</v>
      </c>
      <c r="BL35">
        <v>767.66</v>
      </c>
      <c r="BM35">
        <v>2496.92</v>
      </c>
      <c r="BN35" s="14">
        <f t="shared" si="10"/>
        <v>-7.4149872698313635E-3</v>
      </c>
      <c r="BO35" s="14">
        <f t="shared" si="2"/>
        <v>-6.3611859838274887E-2</v>
      </c>
      <c r="BP35" s="14">
        <f t="shared" si="3"/>
        <v>-1.3355829885823511E-2</v>
      </c>
      <c r="BQ35" s="14">
        <f t="shared" si="4"/>
        <v>-6.4268351968886694E-2</v>
      </c>
      <c r="BR35" s="14">
        <f t="shared" si="5"/>
        <v>2.4473743524395797E-3</v>
      </c>
      <c r="BS35" s="14">
        <f t="shared" si="6"/>
        <v>-7.2420660579882723E-3</v>
      </c>
      <c r="BT35" s="14">
        <f t="shared" si="7"/>
        <v>-2.0850244501174453E-2</v>
      </c>
      <c r="BV35" s="749">
        <v>45534</v>
      </c>
      <c r="BW35">
        <f t="shared" si="8"/>
        <v>2.7140372288797701</v>
      </c>
      <c r="BX35">
        <f t="shared" si="9"/>
        <v>7.4111606578478586</v>
      </c>
    </row>
    <row r="36" spans="1:76" x14ac:dyDescent="0.3">
      <c r="A36" s="749">
        <v>45527</v>
      </c>
      <c r="B36">
        <v>185500</v>
      </c>
      <c r="C36">
        <v>5228.6530000000002</v>
      </c>
      <c r="D36">
        <v>77700</v>
      </c>
      <c r="E36">
        <v>102.85</v>
      </c>
      <c r="F36">
        <v>19720.87</v>
      </c>
      <c r="G36">
        <v>2769.6</v>
      </c>
      <c r="H36">
        <v>773.26</v>
      </c>
      <c r="I36">
        <v>367.91</v>
      </c>
      <c r="J36">
        <v>2550.09</v>
      </c>
      <c r="K36">
        <v>20280000</v>
      </c>
      <c r="L36">
        <v>5634.61</v>
      </c>
      <c r="M36" s="749">
        <v>45527</v>
      </c>
      <c r="N36">
        <v>1.1460176991150441</v>
      </c>
      <c r="O36">
        <v>1.65625</v>
      </c>
      <c r="P36">
        <v>1.4257000277238701</v>
      </c>
      <c r="Q36">
        <v>1.3764578851783242</v>
      </c>
      <c r="R36">
        <v>1.0351516510623984</v>
      </c>
      <c r="S36">
        <v>1.6757638468014953</v>
      </c>
      <c r="AO36" s="749">
        <v>45527</v>
      </c>
      <c r="AP36">
        <v>19720.87</v>
      </c>
      <c r="AQ36">
        <v>2769.6</v>
      </c>
      <c r="AR36">
        <f t="shared" si="0"/>
        <v>4.5316581644377036</v>
      </c>
      <c r="AS36">
        <f t="shared" si="1"/>
        <v>1.4130179688376887</v>
      </c>
      <c r="BF36" s="749">
        <v>45527</v>
      </c>
      <c r="BG36">
        <v>19720.87</v>
      </c>
      <c r="BH36">
        <v>185500</v>
      </c>
      <c r="BI36">
        <v>5228.6530000000002</v>
      </c>
      <c r="BJ36">
        <v>102.85</v>
      </c>
      <c r="BK36">
        <v>5634.61</v>
      </c>
      <c r="BL36">
        <v>773.26</v>
      </c>
      <c r="BM36">
        <v>2550.09</v>
      </c>
      <c r="BN36" s="14">
        <f t="shared" si="10"/>
        <v>1.0884987687430847E-2</v>
      </c>
      <c r="BO36" s="14">
        <f t="shared" si="2"/>
        <v>-7.1106659989984999E-2</v>
      </c>
      <c r="BP36" s="14">
        <f t="shared" si="3"/>
        <v>1.1296754545141674E-2</v>
      </c>
      <c r="BQ36" s="14">
        <f t="shared" si="4"/>
        <v>-4.7596999722196554E-2</v>
      </c>
      <c r="BR36" s="14">
        <f t="shared" si="5"/>
        <v>1.4468200027006217E-2</v>
      </c>
      <c r="BS36" s="14">
        <f t="shared" si="6"/>
        <v>-1.6621520226876796E-2</v>
      </c>
      <c r="BT36" s="14">
        <f t="shared" si="7"/>
        <v>-1.2728426296536588E-3</v>
      </c>
      <c r="BV36" s="749">
        <v>45527</v>
      </c>
      <c r="BW36">
        <f t="shared" si="8"/>
        <v>2.7074111801958507</v>
      </c>
      <c r="BX36">
        <f t="shared" si="9"/>
        <v>7.5114827435611593</v>
      </c>
    </row>
    <row r="37" spans="1:76" x14ac:dyDescent="0.3">
      <c r="A37" s="749">
        <v>45520</v>
      </c>
      <c r="B37">
        <v>199700</v>
      </c>
      <c r="C37">
        <v>5170.2460000000001</v>
      </c>
      <c r="D37">
        <v>80200</v>
      </c>
      <c r="E37">
        <v>107.99</v>
      </c>
      <c r="F37">
        <v>19508.52</v>
      </c>
      <c r="G37">
        <v>2777.05</v>
      </c>
      <c r="H37">
        <v>786.33</v>
      </c>
      <c r="I37">
        <v>369.11</v>
      </c>
      <c r="J37">
        <v>2553.34</v>
      </c>
      <c r="K37">
        <v>20030000</v>
      </c>
      <c r="L37">
        <v>5554.25</v>
      </c>
      <c r="M37" s="749">
        <v>45520</v>
      </c>
      <c r="N37">
        <v>1.1828908554572271</v>
      </c>
      <c r="O37">
        <v>1.7830357142857143</v>
      </c>
      <c r="P37">
        <v>1.4969503742722483</v>
      </c>
      <c r="Q37">
        <v>1.3616364887633783</v>
      </c>
      <c r="R37">
        <v>1.0379361252826522</v>
      </c>
      <c r="S37">
        <v>1.6570446204538805</v>
      </c>
      <c r="AO37" s="749">
        <v>45520</v>
      </c>
      <c r="AP37">
        <v>19508.52</v>
      </c>
      <c r="AQ37">
        <v>2777.05</v>
      </c>
      <c r="AR37">
        <f t="shared" si="0"/>
        <v>4.4828622638908033</v>
      </c>
      <c r="AS37">
        <f t="shared" si="1"/>
        <v>1.4168188728916462</v>
      </c>
      <c r="BF37" s="749">
        <v>45520</v>
      </c>
      <c r="BG37">
        <v>19508.52</v>
      </c>
      <c r="BH37">
        <v>199700</v>
      </c>
      <c r="BI37">
        <v>5170.2460000000001</v>
      </c>
      <c r="BJ37">
        <v>107.99</v>
      </c>
      <c r="BK37">
        <v>5554.25</v>
      </c>
      <c r="BL37">
        <v>786.33</v>
      </c>
      <c r="BM37">
        <v>2553.34</v>
      </c>
      <c r="BN37" s="14">
        <f t="shared" si="10"/>
        <v>5.3768412637537955E-2</v>
      </c>
      <c r="BO37" s="14">
        <f t="shared" si="2"/>
        <v>0.16443148688046638</v>
      </c>
      <c r="BP37" s="14">
        <f t="shared" si="3"/>
        <v>9.7844505050693753E-2</v>
      </c>
      <c r="BQ37" s="14">
        <f t="shared" si="4"/>
        <v>0.16018478727975927</v>
      </c>
      <c r="BR37" s="14">
        <f t="shared" si="5"/>
        <v>3.9312071494865375E-2</v>
      </c>
      <c r="BS37" s="14">
        <f t="shared" si="6"/>
        <v>2.8648797142969418E-2</v>
      </c>
      <c r="BT37" s="14">
        <f t="shared" si="7"/>
        <v>5.202569353170694E-2</v>
      </c>
      <c r="BV37" s="749">
        <v>45520</v>
      </c>
      <c r="BW37">
        <f t="shared" si="8"/>
        <v>2.6687984700986944</v>
      </c>
      <c r="BX37">
        <f t="shared" si="9"/>
        <v>7.4275752491064351</v>
      </c>
    </row>
    <row r="38" spans="1:76" x14ac:dyDescent="0.3">
      <c r="A38" s="749">
        <v>45513</v>
      </c>
      <c r="B38">
        <v>171500</v>
      </c>
      <c r="C38">
        <v>4709.4520000000002</v>
      </c>
      <c r="D38">
        <v>74700</v>
      </c>
      <c r="E38">
        <v>93.08</v>
      </c>
      <c r="F38">
        <v>18513.099999999999</v>
      </c>
      <c r="G38">
        <v>2642.05</v>
      </c>
      <c r="H38">
        <v>764.43</v>
      </c>
      <c r="I38">
        <v>351.52</v>
      </c>
      <c r="J38">
        <v>2427.0700000000002</v>
      </c>
      <c r="K38">
        <v>43320000</v>
      </c>
      <c r="L38">
        <v>5344.16</v>
      </c>
      <c r="M38" s="749">
        <v>45513</v>
      </c>
      <c r="N38">
        <v>1.1017699115044248</v>
      </c>
      <c r="O38">
        <v>1.53125</v>
      </c>
      <c r="P38">
        <v>1.2902689215414471</v>
      </c>
      <c r="Q38">
        <v>1.2921591427809642</v>
      </c>
      <c r="R38">
        <v>0.98747920988208027</v>
      </c>
      <c r="S38">
        <v>1.509361856647782</v>
      </c>
      <c r="AO38" s="749">
        <v>45513</v>
      </c>
      <c r="AP38">
        <v>18513.099999999999</v>
      </c>
      <c r="AQ38">
        <v>2642.05</v>
      </c>
      <c r="AR38">
        <f t="shared" si="0"/>
        <v>4.2541247299967822</v>
      </c>
      <c r="AS38">
        <f t="shared" si="1"/>
        <v>1.3479434303031541</v>
      </c>
      <c r="BF38" s="749">
        <v>45513</v>
      </c>
      <c r="BG38">
        <v>18513.099999999999</v>
      </c>
      <c r="BH38">
        <v>171500</v>
      </c>
      <c r="BI38">
        <v>4709.4520000000002</v>
      </c>
      <c r="BJ38">
        <v>93.08</v>
      </c>
      <c r="BK38">
        <v>5344.16</v>
      </c>
      <c r="BL38">
        <v>764.43</v>
      </c>
      <c r="BM38">
        <v>2427.0700000000002</v>
      </c>
      <c r="BN38" s="14">
        <f t="shared" si="10"/>
        <v>3.9179321994375904E-3</v>
      </c>
      <c r="BO38" s="14">
        <f t="shared" si="2"/>
        <v>-9.8152424942262728E-3</v>
      </c>
      <c r="BP38" s="14">
        <f t="shared" si="3"/>
        <v>2.2070169483727309E-2</v>
      </c>
      <c r="BQ38" s="14">
        <f t="shared" si="4"/>
        <v>4.0992448759438194E-3</v>
      </c>
      <c r="BR38" s="14">
        <f t="shared" si="5"/>
        <v>-4.4888676083321144E-4</v>
      </c>
      <c r="BS38" s="14">
        <f t="shared" si="6"/>
        <v>-1.911898682201385E-2</v>
      </c>
      <c r="BT38" s="14">
        <f t="shared" si="7"/>
        <v>-3.8170873309317899E-2</v>
      </c>
      <c r="BV38" s="749">
        <v>45513</v>
      </c>
      <c r="BW38">
        <f t="shared" si="8"/>
        <v>2.5678509307219946</v>
      </c>
      <c r="BX38">
        <f t="shared" si="9"/>
        <v>6.7655986024755501</v>
      </c>
    </row>
    <row r="39" spans="1:76" x14ac:dyDescent="0.3">
      <c r="A39" s="749">
        <v>45506</v>
      </c>
      <c r="B39">
        <v>173200</v>
      </c>
      <c r="C39">
        <v>4607.7579999999998</v>
      </c>
      <c r="D39">
        <v>79600</v>
      </c>
      <c r="E39">
        <v>92.7</v>
      </c>
      <c r="F39">
        <v>18440.849999999999</v>
      </c>
      <c r="G39">
        <v>2746.27</v>
      </c>
      <c r="H39">
        <v>779.33</v>
      </c>
      <c r="I39">
        <v>365.17</v>
      </c>
      <c r="J39">
        <v>2523.39</v>
      </c>
      <c r="K39">
        <v>35130000</v>
      </c>
      <c r="L39">
        <v>5346.56</v>
      </c>
      <c r="M39" s="749">
        <v>45506</v>
      </c>
      <c r="N39">
        <v>1.1740412979351031</v>
      </c>
      <c r="O39">
        <v>1.5464285714285715</v>
      </c>
      <c r="P39">
        <v>1.2850013861935126</v>
      </c>
      <c r="Q39">
        <v>1.2871163083520505</v>
      </c>
      <c r="R39">
        <v>1.0264319485713218</v>
      </c>
      <c r="S39">
        <v>1.4767693077376456</v>
      </c>
      <c r="AO39" s="749">
        <v>45506</v>
      </c>
      <c r="AP39">
        <v>18440.849999999999</v>
      </c>
      <c r="AQ39">
        <v>2746.27</v>
      </c>
      <c r="AR39">
        <f t="shared" si="0"/>
        <v>4.2375224045222657</v>
      </c>
      <c r="AS39">
        <f t="shared" si="1"/>
        <v>1.4011152719814699</v>
      </c>
      <c r="BF39" s="749">
        <v>45506</v>
      </c>
      <c r="BG39">
        <v>18440.849999999999</v>
      </c>
      <c r="BH39">
        <v>173200</v>
      </c>
      <c r="BI39">
        <v>4607.7579999999998</v>
      </c>
      <c r="BJ39">
        <v>92.7</v>
      </c>
      <c r="BK39">
        <v>5346.56</v>
      </c>
      <c r="BL39">
        <v>779.33</v>
      </c>
      <c r="BM39">
        <v>2523.39</v>
      </c>
      <c r="BN39" s="14">
        <f t="shared" si="10"/>
        <v>-3.0636060568786538E-2</v>
      </c>
      <c r="BO39" s="14">
        <f t="shared" si="2"/>
        <v>-9.6976016684045874E-2</v>
      </c>
      <c r="BP39" s="14">
        <f t="shared" si="3"/>
        <v>-9.7071835156790076E-2</v>
      </c>
      <c r="BQ39" s="14">
        <f t="shared" si="4"/>
        <v>-0.15272826981080334</v>
      </c>
      <c r="BR39" s="14">
        <f t="shared" si="5"/>
        <v>-2.0615119708376817E-2</v>
      </c>
      <c r="BS39" s="14">
        <f t="shared" si="6"/>
        <v>-2.2857214504237833E-2</v>
      </c>
      <c r="BT39" s="14">
        <f t="shared" si="7"/>
        <v>-2.4667498966067791E-2</v>
      </c>
      <c r="BV39" s="749">
        <v>45506</v>
      </c>
      <c r="BW39">
        <f t="shared" si="8"/>
        <v>2.5690041226611831</v>
      </c>
      <c r="BX39">
        <f t="shared" si="9"/>
        <v>6.6195050051142958</v>
      </c>
    </row>
    <row r="40" spans="1:76" x14ac:dyDescent="0.3">
      <c r="A40" s="749">
        <v>45499</v>
      </c>
      <c r="B40">
        <v>191800</v>
      </c>
      <c r="C40">
        <v>5103.1279999999997</v>
      </c>
      <c r="D40">
        <v>80900</v>
      </c>
      <c r="E40">
        <v>109.41</v>
      </c>
      <c r="F40">
        <v>19023.66</v>
      </c>
      <c r="G40">
        <v>2813.89</v>
      </c>
      <c r="H40">
        <v>797.56</v>
      </c>
      <c r="I40">
        <v>374.2</v>
      </c>
      <c r="J40">
        <v>2587.21</v>
      </c>
      <c r="K40">
        <v>38750000</v>
      </c>
      <c r="L40">
        <v>5459.1</v>
      </c>
      <c r="M40" s="749">
        <v>45499</v>
      </c>
      <c r="N40">
        <v>1.1932153392330382</v>
      </c>
      <c r="O40">
        <v>1.7124999999999999</v>
      </c>
      <c r="P40">
        <v>1.5166343221513723</v>
      </c>
      <c r="Q40">
        <v>1.3277947074318466</v>
      </c>
      <c r="R40">
        <v>1.0517052568630747</v>
      </c>
      <c r="S40">
        <v>1.6355335509930415</v>
      </c>
      <c r="AO40" s="749">
        <v>45499</v>
      </c>
      <c r="AP40">
        <v>19023.66</v>
      </c>
      <c r="AQ40">
        <v>2813.89</v>
      </c>
      <c r="AR40">
        <f t="shared" si="0"/>
        <v>4.3714462980835513</v>
      </c>
      <c r="AS40">
        <f t="shared" si="1"/>
        <v>1.4356142158913503</v>
      </c>
      <c r="BF40" s="749">
        <v>45499</v>
      </c>
      <c r="BG40">
        <v>19023.66</v>
      </c>
      <c r="BH40">
        <v>191800</v>
      </c>
      <c r="BI40">
        <v>5103.1279999999997</v>
      </c>
      <c r="BJ40">
        <v>109.41</v>
      </c>
      <c r="BK40">
        <v>5459.1</v>
      </c>
      <c r="BL40">
        <v>797.56</v>
      </c>
      <c r="BM40">
        <v>2587.21</v>
      </c>
      <c r="BN40" s="14">
        <f t="shared" si="10"/>
        <v>-2.5558044975520611E-2</v>
      </c>
      <c r="BO40" s="14">
        <f t="shared" si="2"/>
        <v>-8.4486873508353266E-2</v>
      </c>
      <c r="BP40" s="14">
        <f t="shared" si="3"/>
        <v>-3.1142583262596335E-2</v>
      </c>
      <c r="BQ40" s="14">
        <f t="shared" si="4"/>
        <v>-4.2447050586381985E-2</v>
      </c>
      <c r="BR40" s="14">
        <f t="shared" si="5"/>
        <v>-8.3378746594005015E-3</v>
      </c>
      <c r="BS40" s="14">
        <f t="shared" si="6"/>
        <v>-3.7600154455063373E-2</v>
      </c>
      <c r="BT40" s="14">
        <f t="shared" si="7"/>
        <v>-2.5903516929529746E-2</v>
      </c>
      <c r="BV40" s="749">
        <v>45499</v>
      </c>
      <c r="BW40">
        <f t="shared" si="8"/>
        <v>2.6230792146762898</v>
      </c>
      <c r="BX40">
        <f t="shared" si="9"/>
        <v>7.3311535323120065</v>
      </c>
    </row>
    <row r="41" spans="1:76" x14ac:dyDescent="0.3">
      <c r="A41" s="749">
        <v>45492</v>
      </c>
      <c r="B41">
        <v>209500</v>
      </c>
      <c r="C41">
        <v>5267.1610000000001</v>
      </c>
      <c r="D41">
        <v>84400</v>
      </c>
      <c r="E41">
        <v>114.26</v>
      </c>
      <c r="F41">
        <v>19522.62</v>
      </c>
      <c r="G41">
        <v>2887.59</v>
      </c>
      <c r="H41">
        <v>828.72</v>
      </c>
      <c r="I41">
        <v>383.89</v>
      </c>
      <c r="J41">
        <v>2656.01</v>
      </c>
      <c r="K41">
        <v>26700000</v>
      </c>
      <c r="L41">
        <v>5505</v>
      </c>
      <c r="M41" s="749">
        <v>45492</v>
      </c>
      <c r="N41">
        <v>1.2448377581120944</v>
      </c>
      <c r="O41">
        <v>1.8705357142857142</v>
      </c>
      <c r="P41">
        <v>1.5838647075131689</v>
      </c>
      <c r="Q41">
        <v>1.36262062669345</v>
      </c>
      <c r="R41">
        <v>1.0792509951224982</v>
      </c>
      <c r="S41">
        <v>1.6881055176319426</v>
      </c>
      <c r="AO41" s="749">
        <v>45492</v>
      </c>
      <c r="AP41">
        <v>19522.62</v>
      </c>
      <c r="AQ41">
        <v>2887.59</v>
      </c>
      <c r="AR41">
        <f t="shared" si="0"/>
        <v>4.4861023024955191</v>
      </c>
      <c r="AS41">
        <f t="shared" si="1"/>
        <v>1.4732151056600309</v>
      </c>
      <c r="BF41" s="749">
        <v>45492</v>
      </c>
      <c r="BG41">
        <v>19522.62</v>
      </c>
      <c r="BH41">
        <v>209500</v>
      </c>
      <c r="BI41">
        <v>5267.1610000000001</v>
      </c>
      <c r="BJ41">
        <v>114.26</v>
      </c>
      <c r="BK41">
        <v>5505</v>
      </c>
      <c r="BL41">
        <v>828.72</v>
      </c>
      <c r="BM41">
        <v>2656.01</v>
      </c>
      <c r="BN41" s="14">
        <f t="shared" si="10"/>
        <v>-3.9784098460073691E-2</v>
      </c>
      <c r="BO41" s="14">
        <f t="shared" si="2"/>
        <v>-0.10085836909871249</v>
      </c>
      <c r="BP41" s="14">
        <f t="shared" si="3"/>
        <v>-8.7967969208994412E-2</v>
      </c>
      <c r="BQ41" s="14">
        <f t="shared" si="4"/>
        <v>-0.14444028453762636</v>
      </c>
      <c r="BR41" s="14">
        <f t="shared" si="5"/>
        <v>-1.965149100234187E-2</v>
      </c>
      <c r="BS41" s="14">
        <f t="shared" si="6"/>
        <v>-2.5459505862154064E-2</v>
      </c>
      <c r="BT41" s="14">
        <f t="shared" si="7"/>
        <v>-2.5220847570217919E-2</v>
      </c>
      <c r="BV41" s="749">
        <v>45492</v>
      </c>
      <c r="BW41">
        <f t="shared" si="8"/>
        <v>2.6451340105132668</v>
      </c>
      <c r="BX41">
        <f t="shared" si="9"/>
        <v>7.5668033352104906</v>
      </c>
    </row>
    <row r="42" spans="1:76" x14ac:dyDescent="0.3">
      <c r="A42" s="749">
        <v>45485</v>
      </c>
      <c r="B42">
        <v>233000</v>
      </c>
      <c r="C42">
        <v>5775.1930000000002</v>
      </c>
      <c r="D42">
        <v>84400</v>
      </c>
      <c r="E42">
        <v>133.55000000000001</v>
      </c>
      <c r="F42">
        <v>20331.490000000002</v>
      </c>
      <c r="G42">
        <v>2954.81</v>
      </c>
      <c r="H42">
        <v>850.37</v>
      </c>
      <c r="I42">
        <v>392.29</v>
      </c>
      <c r="J42">
        <v>2724.73</v>
      </c>
      <c r="K42">
        <v>20010000</v>
      </c>
      <c r="L42">
        <v>5615.35</v>
      </c>
      <c r="M42" s="749">
        <v>45485</v>
      </c>
      <c r="N42">
        <v>1.2448377581120944</v>
      </c>
      <c r="O42">
        <v>2.0803571428571428</v>
      </c>
      <c r="P42">
        <v>1.8512614360964792</v>
      </c>
      <c r="Q42">
        <v>1.4190773392819005</v>
      </c>
      <c r="R42">
        <v>1.104374801442694</v>
      </c>
      <c r="S42">
        <v>1.8509278848110722</v>
      </c>
      <c r="AO42" s="749">
        <v>45485</v>
      </c>
      <c r="AP42">
        <v>20331.490000000002</v>
      </c>
      <c r="AQ42">
        <v>2954.81</v>
      </c>
      <c r="AR42">
        <f t="shared" si="0"/>
        <v>4.6719725171193529</v>
      </c>
      <c r="AS42">
        <f t="shared" si="1"/>
        <v>1.5075099741844638</v>
      </c>
      <c r="BF42" s="749">
        <v>45485</v>
      </c>
      <c r="BG42">
        <v>20331.490000000002</v>
      </c>
      <c r="BH42">
        <v>233000</v>
      </c>
      <c r="BI42">
        <v>5775.1930000000002</v>
      </c>
      <c r="BJ42">
        <v>133.55000000000001</v>
      </c>
      <c r="BK42">
        <v>5615.35</v>
      </c>
      <c r="BL42">
        <v>850.37</v>
      </c>
      <c r="BM42">
        <v>2724.73</v>
      </c>
      <c r="BN42" s="14">
        <f t="shared" si="10"/>
        <v>-2.9658733315123254E-3</v>
      </c>
      <c r="BO42" s="14">
        <f t="shared" si="2"/>
        <v>-1.2711864406779627E-2</v>
      </c>
      <c r="BP42" s="14">
        <f t="shared" si="3"/>
        <v>2.1017946508933738E-2</v>
      </c>
      <c r="BQ42" s="14">
        <f t="shared" si="4"/>
        <v>1.4817629179331382E-2</v>
      </c>
      <c r="BR42" s="14">
        <f t="shared" si="5"/>
        <v>8.6506837381157276E-3</v>
      </c>
      <c r="BS42" s="14">
        <f t="shared" si="6"/>
        <v>3.3982701860788556E-3</v>
      </c>
      <c r="BT42" s="14">
        <f t="shared" si="7"/>
        <v>-1.2832635907468859E-2</v>
      </c>
      <c r="BV42" s="749">
        <v>45485</v>
      </c>
      <c r="BW42">
        <f t="shared" si="8"/>
        <v>2.6981568148838644</v>
      </c>
      <c r="BX42">
        <f t="shared" si="9"/>
        <v>8.2966420912298453</v>
      </c>
    </row>
    <row r="43" spans="1:76" x14ac:dyDescent="0.3">
      <c r="A43" s="749">
        <v>45478</v>
      </c>
      <c r="B43">
        <v>236000</v>
      </c>
      <c r="C43">
        <v>5656.3090000000002</v>
      </c>
      <c r="D43">
        <v>87100</v>
      </c>
      <c r="E43">
        <v>131.6</v>
      </c>
      <c r="F43">
        <v>20391.97</v>
      </c>
      <c r="G43">
        <v>2984.11</v>
      </c>
      <c r="H43">
        <v>847.49</v>
      </c>
      <c r="I43">
        <v>395.47</v>
      </c>
      <c r="J43">
        <v>2760.15</v>
      </c>
      <c r="K43">
        <v>19010000</v>
      </c>
      <c r="L43">
        <v>5567.19</v>
      </c>
      <c r="M43" s="749">
        <v>45478</v>
      </c>
      <c r="N43">
        <v>1.2846607669616519</v>
      </c>
      <c r="O43">
        <v>2.1071428571428572</v>
      </c>
      <c r="P43">
        <v>1.8242306626004989</v>
      </c>
      <c r="Q43">
        <v>1.4232986628287614</v>
      </c>
      <c r="R43">
        <v>1.1153258208592625</v>
      </c>
      <c r="S43">
        <v>1.8128260048119311</v>
      </c>
      <c r="AO43" s="749">
        <v>45478</v>
      </c>
      <c r="AP43">
        <v>20391.97</v>
      </c>
      <c r="AQ43">
        <v>2984.11</v>
      </c>
      <c r="AR43">
        <f t="shared" si="0"/>
        <v>4.6858702146238338</v>
      </c>
      <c r="AS43">
        <f t="shared" si="1"/>
        <v>1.5224584961684848</v>
      </c>
      <c r="BF43" s="749">
        <v>45478</v>
      </c>
      <c r="BG43">
        <v>20391.97</v>
      </c>
      <c r="BH43">
        <v>236000</v>
      </c>
      <c r="BI43">
        <v>5656.3090000000002</v>
      </c>
      <c r="BJ43">
        <v>131.6</v>
      </c>
      <c r="BK43">
        <v>5567.19</v>
      </c>
      <c r="BL43">
        <v>847.49</v>
      </c>
      <c r="BM43">
        <v>2760.15</v>
      </c>
      <c r="BN43" s="14">
        <f t="shared" si="10"/>
        <v>3.6026250236881108E-2</v>
      </c>
      <c r="BO43" s="14">
        <f t="shared" si="2"/>
        <v>-2.1141649048626032E-3</v>
      </c>
      <c r="BP43" s="14">
        <f t="shared" si="3"/>
        <v>3.3633276495136588E-2</v>
      </c>
      <c r="BQ43" s="14">
        <f t="shared" si="4"/>
        <v>5.3219797764758603E-4</v>
      </c>
      <c r="BR43" s="14">
        <f t="shared" si="5"/>
        <v>1.9542238045006988E-2</v>
      </c>
      <c r="BS43" s="14">
        <f t="shared" si="6"/>
        <v>8.3884631859501013E-3</v>
      </c>
      <c r="BT43" s="14">
        <f t="shared" si="7"/>
        <v>3.5237416547895917E-2</v>
      </c>
      <c r="BV43" s="749">
        <v>45478</v>
      </c>
      <c r="BW43">
        <f t="shared" si="8"/>
        <v>2.6750160966374845</v>
      </c>
      <c r="BX43">
        <f t="shared" si="9"/>
        <v>8.1258533403822515</v>
      </c>
    </row>
    <row r="44" spans="1:76" x14ac:dyDescent="0.3">
      <c r="A44" s="749">
        <v>45471</v>
      </c>
      <c r="B44">
        <v>236500</v>
      </c>
      <c r="C44">
        <v>5472.259</v>
      </c>
      <c r="D44">
        <v>81500</v>
      </c>
      <c r="E44">
        <v>131.53</v>
      </c>
      <c r="F44">
        <v>19682.87</v>
      </c>
      <c r="G44">
        <v>2889.55</v>
      </c>
      <c r="H44">
        <v>840.44</v>
      </c>
      <c r="I44">
        <v>384.02</v>
      </c>
      <c r="J44">
        <v>2666.2</v>
      </c>
      <c r="K44">
        <v>22110000</v>
      </c>
      <c r="L44">
        <v>5460.48</v>
      </c>
      <c r="M44" s="749">
        <v>45471</v>
      </c>
      <c r="N44">
        <v>1.2020648967551621</v>
      </c>
      <c r="O44">
        <v>2.1116071428571428</v>
      </c>
      <c r="P44">
        <v>1.823260327141669</v>
      </c>
      <c r="Q44">
        <v>1.3738055985582727</v>
      </c>
      <c r="R44">
        <v>1.0799835547831287</v>
      </c>
      <c r="S44">
        <v>1.7538386640945771</v>
      </c>
      <c r="AO44" s="749">
        <v>45471</v>
      </c>
      <c r="AP44">
        <v>19682.87</v>
      </c>
      <c r="AQ44">
        <v>2889.55</v>
      </c>
      <c r="AR44">
        <f t="shared" si="0"/>
        <v>4.5229261455030096</v>
      </c>
      <c r="AS44">
        <f t="shared" si="1"/>
        <v>1.4742150750487231</v>
      </c>
      <c r="BF44" s="749">
        <v>45471</v>
      </c>
      <c r="BG44">
        <v>19682.87</v>
      </c>
      <c r="BH44">
        <v>236500</v>
      </c>
      <c r="BI44">
        <v>5472.259</v>
      </c>
      <c r="BJ44">
        <v>131.53</v>
      </c>
      <c r="BK44">
        <v>5460.48</v>
      </c>
      <c r="BL44">
        <v>840.44</v>
      </c>
      <c r="BM44">
        <v>2666.2</v>
      </c>
      <c r="BN44" s="14">
        <f t="shared" si="10"/>
        <v>-8.913511024887244E-4</v>
      </c>
      <c r="BO44" s="14">
        <f t="shared" si="2"/>
        <v>1.0683760683760646E-2</v>
      </c>
      <c r="BP44" s="14">
        <f t="shared" si="3"/>
        <v>-1.1966519672346632E-2</v>
      </c>
      <c r="BQ44" s="14">
        <f t="shared" si="4"/>
        <v>-5.7402895227174899E-2</v>
      </c>
      <c r="BR44" s="14">
        <f t="shared" si="5"/>
        <v>-7.5760071148589514E-4</v>
      </c>
      <c r="BS44" s="14">
        <f t="shared" si="6"/>
        <v>-1.4343180831974722E-2</v>
      </c>
      <c r="BT44" s="14">
        <f t="shared" si="7"/>
        <v>8.8962383026385261E-3</v>
      </c>
      <c r="BV44" s="749">
        <v>45471</v>
      </c>
      <c r="BW44">
        <f t="shared" si="8"/>
        <v>2.6237423000413229</v>
      </c>
      <c r="BX44">
        <f t="shared" si="9"/>
        <v>7.8614471158819006</v>
      </c>
    </row>
    <row r="45" spans="1:76" x14ac:dyDescent="0.3">
      <c r="A45" s="749">
        <v>45464</v>
      </c>
      <c r="B45">
        <v>234000</v>
      </c>
      <c r="C45">
        <v>5538.5360000000001</v>
      </c>
      <c r="D45">
        <v>80000</v>
      </c>
      <c r="E45">
        <v>139.54</v>
      </c>
      <c r="F45">
        <v>19700.43</v>
      </c>
      <c r="G45">
        <v>2865.39</v>
      </c>
      <c r="H45">
        <v>852.67</v>
      </c>
      <c r="I45">
        <v>380.88</v>
      </c>
      <c r="J45">
        <v>2642.69</v>
      </c>
      <c r="K45">
        <v>15870000</v>
      </c>
      <c r="L45">
        <v>5464.62</v>
      </c>
      <c r="M45" s="749">
        <v>45464</v>
      </c>
      <c r="N45">
        <v>1.1799410029498525</v>
      </c>
      <c r="O45">
        <v>2.0892857142857144</v>
      </c>
      <c r="P45">
        <v>1.9342944275020792</v>
      </c>
      <c r="Q45">
        <v>1.3750312341648019</v>
      </c>
      <c r="R45">
        <v>1.0709536357010707</v>
      </c>
      <c r="S45">
        <v>1.7750801961821843</v>
      </c>
      <c r="AO45" s="749">
        <v>45464</v>
      </c>
      <c r="AP45">
        <v>19700.43</v>
      </c>
      <c r="AQ45">
        <v>2865.39</v>
      </c>
      <c r="AR45">
        <f t="shared" si="0"/>
        <v>4.5269612574107265</v>
      </c>
      <c r="AS45">
        <f t="shared" si="1"/>
        <v>1.4618889217677009</v>
      </c>
      <c r="BF45" s="749">
        <v>45464</v>
      </c>
      <c r="BG45">
        <v>19700.43</v>
      </c>
      <c r="BH45">
        <v>234000</v>
      </c>
      <c r="BI45">
        <v>5538.5360000000001</v>
      </c>
      <c r="BJ45">
        <v>139.54</v>
      </c>
      <c r="BK45">
        <v>5464.62</v>
      </c>
      <c r="BL45">
        <v>852.67</v>
      </c>
      <c r="BM45">
        <v>2642.69</v>
      </c>
      <c r="BN45" s="14">
        <f t="shared" si="10"/>
        <v>2.0666537808116114E-3</v>
      </c>
      <c r="BO45" s="14">
        <f t="shared" si="2"/>
        <v>5.8823529411764719E-2</v>
      </c>
      <c r="BP45" s="14">
        <f t="shared" si="3"/>
        <v>-1.0677504219128831E-2</v>
      </c>
      <c r="BQ45" s="14">
        <f t="shared" si="4"/>
        <v>-1.2874929258630652E-2</v>
      </c>
      <c r="BR45" s="14">
        <f t="shared" si="5"/>
        <v>6.079240002945685E-3</v>
      </c>
      <c r="BS45" s="14">
        <f t="shared" si="6"/>
        <v>-1.1041649752374871E-2</v>
      </c>
      <c r="BT45" s="14">
        <f t="shared" si="7"/>
        <v>1.4857910906298066E-2</v>
      </c>
      <c r="BV45" s="749">
        <v>45464</v>
      </c>
      <c r="BW45">
        <f t="shared" si="8"/>
        <v>2.6257315561364227</v>
      </c>
      <c r="BX45">
        <f t="shared" si="9"/>
        <v>7.9566606521014593</v>
      </c>
    </row>
    <row r="46" spans="1:76" x14ac:dyDescent="0.3">
      <c r="A46" s="749">
        <v>45457</v>
      </c>
      <c r="B46">
        <v>221000</v>
      </c>
      <c r="C46">
        <v>5598.3119999999999</v>
      </c>
      <c r="D46">
        <v>79600</v>
      </c>
      <c r="E46">
        <v>141.36000000000001</v>
      </c>
      <c r="F46">
        <v>19659.8</v>
      </c>
      <c r="G46">
        <v>2827.84</v>
      </c>
      <c r="H46">
        <v>862.19</v>
      </c>
      <c r="I46">
        <v>376</v>
      </c>
      <c r="J46">
        <v>2604</v>
      </c>
      <c r="K46">
        <v>16760000</v>
      </c>
      <c r="L46">
        <v>5431.6</v>
      </c>
      <c r="M46" s="749">
        <v>45457</v>
      </c>
      <c r="N46">
        <v>1.1740412979351031</v>
      </c>
      <c r="O46">
        <v>1.9732142857142858</v>
      </c>
      <c r="P46">
        <v>1.9595231494316607</v>
      </c>
      <c r="Q46">
        <v>1.3721953813918362</v>
      </c>
      <c r="R46">
        <v>1.056919138121134</v>
      </c>
      <c r="S46">
        <v>1.7942381819399704</v>
      </c>
      <c r="AO46" s="749">
        <v>45457</v>
      </c>
      <c r="AP46">
        <v>19659.8</v>
      </c>
      <c r="AQ46">
        <v>2827.84</v>
      </c>
      <c r="AR46">
        <f t="shared" si="0"/>
        <v>4.5176248908497634</v>
      </c>
      <c r="AS46">
        <f t="shared" si="1"/>
        <v>1.4427313449588279</v>
      </c>
      <c r="BF46" s="749">
        <v>45457</v>
      </c>
      <c r="BG46">
        <v>19659.8</v>
      </c>
      <c r="BH46">
        <v>221000</v>
      </c>
      <c r="BI46">
        <v>5598.3119999999999</v>
      </c>
      <c r="BJ46">
        <v>141.36000000000001</v>
      </c>
      <c r="BK46">
        <v>5431.6</v>
      </c>
      <c r="BL46">
        <v>862.19</v>
      </c>
      <c r="BM46">
        <v>2604</v>
      </c>
      <c r="BN46" s="14">
        <f t="shared" si="10"/>
        <v>3.4674582060370662E-2</v>
      </c>
      <c r="BO46" s="14">
        <f t="shared" si="2"/>
        <v>6.5060240963855431E-2</v>
      </c>
      <c r="BP46" s="14">
        <f t="shared" si="3"/>
        <v>5.8833675918871897E-2</v>
      </c>
      <c r="BQ46" s="14">
        <f t="shared" si="4"/>
        <v>7.9578432870016869E-2</v>
      </c>
      <c r="BR46" s="14">
        <f t="shared" si="5"/>
        <v>1.5823856038631234E-2</v>
      </c>
      <c r="BS46" s="14">
        <f t="shared" si="6"/>
        <v>-4.6064328430579504E-3</v>
      </c>
      <c r="BT46" s="14">
        <f t="shared" si="7"/>
        <v>1.1993129017465076E-2</v>
      </c>
      <c r="BV46" s="749">
        <v>45457</v>
      </c>
      <c r="BW46">
        <f t="shared" si="8"/>
        <v>2.6098655570397566</v>
      </c>
      <c r="BX46">
        <f t="shared" si="9"/>
        <v>8.042534851915276</v>
      </c>
    </row>
    <row r="47" spans="1:76" x14ac:dyDescent="0.3">
      <c r="A47" s="749">
        <v>45450</v>
      </c>
      <c r="B47">
        <v>207500</v>
      </c>
      <c r="C47">
        <v>5287.2439999999997</v>
      </c>
      <c r="D47">
        <v>77300</v>
      </c>
      <c r="E47">
        <v>130.94</v>
      </c>
      <c r="F47">
        <v>19000.95</v>
      </c>
      <c r="G47">
        <v>2793.72</v>
      </c>
      <c r="H47">
        <v>866.18</v>
      </c>
      <c r="I47">
        <v>371.39</v>
      </c>
      <c r="J47">
        <v>2573.14</v>
      </c>
      <c r="K47">
        <v>12490000</v>
      </c>
      <c r="L47">
        <v>5346.99</v>
      </c>
      <c r="M47" s="749">
        <v>45450</v>
      </c>
      <c r="N47">
        <v>1.140117994100295</v>
      </c>
      <c r="O47">
        <v>1.8526785714285714</v>
      </c>
      <c r="P47">
        <v>1.8150817854172443</v>
      </c>
      <c r="Q47">
        <v>1.3262096171912843</v>
      </c>
      <c r="R47">
        <v>1.0441666199473003</v>
      </c>
      <c r="S47">
        <v>1.694542044465013</v>
      </c>
      <c r="AO47" s="749">
        <v>45450</v>
      </c>
      <c r="AP47">
        <v>19000.95</v>
      </c>
      <c r="AQ47">
        <v>2793.72</v>
      </c>
      <c r="AR47">
        <f t="shared" si="0"/>
        <v>4.3662277678202122</v>
      </c>
      <c r="AS47">
        <f t="shared" si="1"/>
        <v>1.4253237145801658</v>
      </c>
      <c r="BF47" s="749">
        <v>45450</v>
      </c>
      <c r="BG47">
        <v>19000.95</v>
      </c>
      <c r="BH47">
        <v>207500</v>
      </c>
      <c r="BI47">
        <v>5287.2439999999997</v>
      </c>
      <c r="BJ47">
        <v>130.94</v>
      </c>
      <c r="BK47">
        <v>5346.99</v>
      </c>
      <c r="BL47">
        <v>866.18</v>
      </c>
      <c r="BM47">
        <v>2573.14</v>
      </c>
      <c r="BN47" s="14">
        <f t="shared" si="10"/>
        <v>2.5047675820603965E-2</v>
      </c>
      <c r="BO47" s="14">
        <f t="shared" si="2"/>
        <v>9.6723044397462932E-2</v>
      </c>
      <c r="BP47" s="14">
        <f t="shared" si="3"/>
        <v>3.1988206170290301E-2</v>
      </c>
      <c r="BQ47" s="14">
        <f t="shared" si="4"/>
        <v>4.7520000000000007E-2</v>
      </c>
      <c r="BR47" s="14">
        <f t="shared" si="5"/>
        <v>1.3165299544671605E-2</v>
      </c>
      <c r="BS47" s="14">
        <f t="shared" si="6"/>
        <v>3.1191218838543699E-2</v>
      </c>
      <c r="BT47" s="14">
        <f t="shared" si="7"/>
        <v>4.3235353740117555E-2</v>
      </c>
      <c r="BV47" s="749">
        <v>45450</v>
      </c>
      <c r="BW47">
        <f t="shared" si="8"/>
        <v>2.5692107362169541</v>
      </c>
      <c r="BX47">
        <f t="shared" si="9"/>
        <v>7.5956545724103846</v>
      </c>
    </row>
    <row r="48" spans="1:76" x14ac:dyDescent="0.3">
      <c r="A48" s="749">
        <v>45443</v>
      </c>
      <c r="B48">
        <v>189200</v>
      </c>
      <c r="C48">
        <v>5123.357</v>
      </c>
      <c r="D48">
        <v>73500</v>
      </c>
      <c r="E48">
        <v>125</v>
      </c>
      <c r="F48">
        <v>18536.650000000001</v>
      </c>
      <c r="G48">
        <v>2683.29</v>
      </c>
      <c r="H48">
        <v>839.98</v>
      </c>
      <c r="I48">
        <v>358.21</v>
      </c>
      <c r="J48">
        <v>2466.5</v>
      </c>
      <c r="K48">
        <v>18290000</v>
      </c>
      <c r="L48">
        <v>5277.51</v>
      </c>
      <c r="M48" s="749">
        <v>45443</v>
      </c>
      <c r="N48">
        <v>1.084070796460177</v>
      </c>
      <c r="O48">
        <v>1.6892857142857143</v>
      </c>
      <c r="P48">
        <v>1.7327418907679513</v>
      </c>
      <c r="Q48">
        <v>1.2938028625152334</v>
      </c>
      <c r="R48">
        <v>1.0028928631496328</v>
      </c>
      <c r="S48">
        <v>1.6420168702832962</v>
      </c>
      <c r="AO48" s="749">
        <v>45443</v>
      </c>
      <c r="AP48">
        <v>18536.650000000001</v>
      </c>
      <c r="AQ48">
        <v>2683.29</v>
      </c>
      <c r="AR48">
        <f t="shared" si="0"/>
        <v>4.2595362838365736</v>
      </c>
      <c r="AS48">
        <f t="shared" si="1"/>
        <v>1.3689836025427793</v>
      </c>
      <c r="BF48" s="749">
        <v>45443</v>
      </c>
      <c r="BG48">
        <v>18536.650000000001</v>
      </c>
      <c r="BH48">
        <v>189200</v>
      </c>
      <c r="BI48">
        <v>5123.357</v>
      </c>
      <c r="BJ48">
        <v>125</v>
      </c>
      <c r="BK48">
        <v>5277.51</v>
      </c>
      <c r="BL48">
        <v>839.98</v>
      </c>
      <c r="BM48">
        <v>2466.5</v>
      </c>
      <c r="BN48" s="14">
        <f t="shared" si="10"/>
        <v>-1.4445711612129597E-2</v>
      </c>
      <c r="BO48" s="14">
        <f t="shared" si="2"/>
        <v>-4.733131923464251E-2</v>
      </c>
      <c r="BP48" s="14">
        <f t="shared" si="3"/>
        <v>-1.8685996611705002E-2</v>
      </c>
      <c r="BQ48" s="14">
        <f t="shared" si="4"/>
        <v>-3.4674492238782939E-2</v>
      </c>
      <c r="BR48" s="14">
        <f t="shared" si="5"/>
        <v>-5.1293941998823422E-3</v>
      </c>
      <c r="BS48" s="14">
        <f t="shared" si="6"/>
        <v>6.790483792187274E-4</v>
      </c>
      <c r="BT48" s="14">
        <f t="shared" si="7"/>
        <v>-2.4994762286884353E-2</v>
      </c>
      <c r="BV48" s="749">
        <v>45443</v>
      </c>
      <c r="BW48">
        <f t="shared" si="8"/>
        <v>2.5358258295774516</v>
      </c>
      <c r="BX48">
        <f t="shared" si="9"/>
        <v>7.3602145131075387</v>
      </c>
    </row>
    <row r="49" spans="1:76" x14ac:dyDescent="0.3">
      <c r="A49" s="749">
        <v>45436</v>
      </c>
      <c r="B49">
        <v>198600</v>
      </c>
      <c r="C49">
        <v>5220.915</v>
      </c>
      <c r="D49">
        <v>75900</v>
      </c>
      <c r="E49">
        <v>129.49</v>
      </c>
      <c r="F49">
        <v>18808.349999999999</v>
      </c>
      <c r="G49">
        <v>2749.01</v>
      </c>
      <c r="H49">
        <v>839.41</v>
      </c>
      <c r="I49">
        <v>366.08</v>
      </c>
      <c r="J49">
        <v>2529.73</v>
      </c>
      <c r="K49">
        <v>18490000</v>
      </c>
      <c r="L49">
        <v>5304.72</v>
      </c>
      <c r="M49" s="749">
        <v>45436</v>
      </c>
      <c r="N49">
        <v>1.1194690265486726</v>
      </c>
      <c r="O49">
        <v>1.7732142857142856</v>
      </c>
      <c r="P49">
        <v>1.794981979484336</v>
      </c>
      <c r="Q49">
        <v>1.3127667118486017</v>
      </c>
      <c r="R49">
        <v>1.0274560370764889</v>
      </c>
      <c r="S49">
        <v>1.6732838465707378</v>
      </c>
      <c r="AO49" s="749">
        <v>45436</v>
      </c>
      <c r="AP49">
        <v>18808.349999999999</v>
      </c>
      <c r="AQ49">
        <v>2749.01</v>
      </c>
      <c r="AR49">
        <f t="shared" si="0"/>
        <v>4.321970219219633</v>
      </c>
      <c r="AS49">
        <f t="shared" si="1"/>
        <v>1.4025131883717847</v>
      </c>
      <c r="BF49" s="749">
        <v>45436</v>
      </c>
      <c r="BG49">
        <v>18808.349999999999</v>
      </c>
      <c r="BH49">
        <v>198600</v>
      </c>
      <c r="BI49">
        <v>5220.915</v>
      </c>
      <c r="BJ49">
        <v>129.49</v>
      </c>
      <c r="BK49">
        <v>5304.72</v>
      </c>
      <c r="BL49">
        <v>839.41</v>
      </c>
      <c r="BM49">
        <v>2529.73</v>
      </c>
      <c r="BN49" s="14">
        <f t="shared" si="10"/>
        <v>1.4133330601421301E-2</v>
      </c>
      <c r="BO49" s="14">
        <f t="shared" si="2"/>
        <v>4.5813586097946279E-2</v>
      </c>
      <c r="BP49" s="14">
        <f t="shared" si="3"/>
        <v>4.7740077563327654E-2</v>
      </c>
      <c r="BQ49" s="14">
        <f t="shared" si="4"/>
        <v>3.3522228430042267E-2</v>
      </c>
      <c r="BR49" s="14">
        <f t="shared" si="5"/>
        <v>2.7341621301579799E-4</v>
      </c>
      <c r="BS49" s="14">
        <f t="shared" si="6"/>
        <v>-1.8302809159591149E-2</v>
      </c>
      <c r="BT49" s="14">
        <f t="shared" si="7"/>
        <v>-1.1074798871019365E-2</v>
      </c>
      <c r="BV49" s="749">
        <v>45436</v>
      </c>
      <c r="BW49">
        <f t="shared" si="8"/>
        <v>2.5489001431879994</v>
      </c>
      <c r="BX49">
        <f t="shared" si="9"/>
        <v>7.5003663329923809</v>
      </c>
    </row>
    <row r="50" spans="1:76" x14ac:dyDescent="0.3">
      <c r="A50" s="749">
        <v>45429</v>
      </c>
      <c r="B50">
        <v>189900</v>
      </c>
      <c r="C50">
        <v>4983.0249999999996</v>
      </c>
      <c r="D50">
        <v>77400</v>
      </c>
      <c r="E50">
        <v>125.29</v>
      </c>
      <c r="F50">
        <v>18546.23</v>
      </c>
      <c r="G50">
        <v>2786.36</v>
      </c>
      <c r="H50">
        <v>855.06</v>
      </c>
      <c r="I50">
        <v>370.58</v>
      </c>
      <c r="J50">
        <v>2558.06</v>
      </c>
      <c r="K50">
        <v>13920000</v>
      </c>
      <c r="L50">
        <v>5303.27</v>
      </c>
      <c r="M50" s="749">
        <v>45429</v>
      </c>
      <c r="N50">
        <v>1.1415929203539823</v>
      </c>
      <c r="O50">
        <v>1.6955357142857144</v>
      </c>
      <c r="P50">
        <v>1.7367618519545329</v>
      </c>
      <c r="Q50">
        <v>1.2944715179315514</v>
      </c>
      <c r="R50">
        <v>1.0414157836706472</v>
      </c>
      <c r="S50">
        <v>1.5970409860260415</v>
      </c>
      <c r="AO50" s="749">
        <v>45429</v>
      </c>
      <c r="AP50">
        <v>18546.23</v>
      </c>
      <c r="AQ50">
        <v>2786.36</v>
      </c>
      <c r="AR50">
        <f t="shared" si="0"/>
        <v>4.261737671768004</v>
      </c>
      <c r="AS50">
        <f t="shared" si="1"/>
        <v>1.4215687274879341</v>
      </c>
      <c r="BF50" s="749">
        <v>45429</v>
      </c>
      <c r="BG50">
        <v>18546.23</v>
      </c>
      <c r="BH50">
        <v>189900</v>
      </c>
      <c r="BI50">
        <v>4983.0249999999996</v>
      </c>
      <c r="BJ50">
        <v>125.29</v>
      </c>
      <c r="BK50">
        <v>5303.27</v>
      </c>
      <c r="BL50">
        <v>855.06</v>
      </c>
      <c r="BM50">
        <v>2558.06</v>
      </c>
      <c r="BN50" s="14">
        <f t="shared" si="10"/>
        <v>2.1201816181547706E-2</v>
      </c>
      <c r="BO50" s="14">
        <f t="shared" si="2"/>
        <v>5.5586436909394132E-2</v>
      </c>
      <c r="BP50" s="14">
        <f t="shared" si="3"/>
        <v>3.6396834627418828E-2</v>
      </c>
      <c r="BQ50" s="14">
        <f t="shared" si="4"/>
        <v>3.340481689211483E-2</v>
      </c>
      <c r="BR50" s="14">
        <f t="shared" si="5"/>
        <v>1.5430775004403818E-2</v>
      </c>
      <c r="BS50" s="14">
        <f t="shared" si="6"/>
        <v>-1.0530457322718068E-2</v>
      </c>
      <c r="BT50" s="14">
        <f t="shared" si="7"/>
        <v>-6.2117867677224936E-4</v>
      </c>
      <c r="BV50" s="749">
        <v>45429</v>
      </c>
      <c r="BW50">
        <f t="shared" si="8"/>
        <v>2.548203423058073</v>
      </c>
      <c r="BX50">
        <f t="shared" si="9"/>
        <v>7.1586135661008381</v>
      </c>
    </row>
    <row r="51" spans="1:76" x14ac:dyDescent="0.3">
      <c r="A51" s="749">
        <v>45422</v>
      </c>
      <c r="B51">
        <v>179900</v>
      </c>
      <c r="C51">
        <v>4808.0280000000002</v>
      </c>
      <c r="D51">
        <v>79200</v>
      </c>
      <c r="E51">
        <v>121.24</v>
      </c>
      <c r="F51">
        <v>18161.18</v>
      </c>
      <c r="G51">
        <v>2790.15</v>
      </c>
      <c r="H51">
        <v>864.16</v>
      </c>
      <c r="I51">
        <v>371.08</v>
      </c>
      <c r="J51">
        <v>2559.65</v>
      </c>
      <c r="K51">
        <v>12330000</v>
      </c>
      <c r="L51">
        <v>5222.68</v>
      </c>
      <c r="M51" s="749">
        <v>45422</v>
      </c>
      <c r="N51">
        <v>1.168141592920354</v>
      </c>
      <c r="O51">
        <v>1.60625</v>
      </c>
      <c r="P51">
        <v>1.6806210146936511</v>
      </c>
      <c r="Q51">
        <v>1.2675961767986341</v>
      </c>
      <c r="R51">
        <v>1.042832314851152</v>
      </c>
      <c r="S51">
        <v>1.5409550981503839</v>
      </c>
      <c r="AO51" s="749">
        <v>45422</v>
      </c>
      <c r="AP51">
        <v>18161.18</v>
      </c>
      <c r="AQ51">
        <v>2790.15</v>
      </c>
      <c r="AR51">
        <f t="shared" si="0"/>
        <v>4.173257043062641</v>
      </c>
      <c r="AS51">
        <f t="shared" si="1"/>
        <v>1.4235023417650481</v>
      </c>
      <c r="BF51" s="749">
        <v>45422</v>
      </c>
      <c r="BG51">
        <v>18161.18</v>
      </c>
      <c r="BH51">
        <v>179900</v>
      </c>
      <c r="BI51">
        <v>4808.0280000000002</v>
      </c>
      <c r="BJ51">
        <v>121.24</v>
      </c>
      <c r="BK51">
        <v>5222.68</v>
      </c>
      <c r="BL51">
        <v>864.16</v>
      </c>
      <c r="BM51">
        <v>2559.65</v>
      </c>
      <c r="BN51" s="14">
        <f t="shared" si="10"/>
        <v>1.5112795403223966E-2</v>
      </c>
      <c r="BO51" s="14">
        <f t="shared" si="2"/>
        <v>3.8683602771362624E-2</v>
      </c>
      <c r="BP51" s="14">
        <f t="shared" si="3"/>
        <v>1.9473354327690151E-2</v>
      </c>
      <c r="BQ51" s="14">
        <f t="shared" si="4"/>
        <v>5.7018308631211712E-2</v>
      </c>
      <c r="BR51" s="14">
        <f t="shared" si="5"/>
        <v>1.8505047983634393E-2</v>
      </c>
      <c r="BS51" s="14">
        <f t="shared" si="6"/>
        <v>-1.6520523573516632E-3</v>
      </c>
      <c r="BT51" s="14">
        <f t="shared" si="7"/>
        <v>1.9382870433058086E-2</v>
      </c>
      <c r="BV51" s="749">
        <v>45422</v>
      </c>
      <c r="BW51">
        <f t="shared" si="8"/>
        <v>2.509480198733411</v>
      </c>
      <c r="BX51">
        <f t="shared" si="9"/>
        <v>6.9072128811299729</v>
      </c>
    </row>
    <row r="52" spans="1:76" x14ac:dyDescent="0.3">
      <c r="A52" s="749">
        <v>45415</v>
      </c>
      <c r="B52">
        <v>173200</v>
      </c>
      <c r="C52">
        <v>4716.1880000000001</v>
      </c>
      <c r="D52">
        <v>77600</v>
      </c>
      <c r="E52">
        <v>114.7</v>
      </c>
      <c r="F52">
        <v>17890.8</v>
      </c>
      <c r="G52">
        <v>2735.27</v>
      </c>
      <c r="H52">
        <v>865.59</v>
      </c>
      <c r="I52">
        <v>363.58</v>
      </c>
      <c r="J52">
        <v>2510.98</v>
      </c>
      <c r="K52">
        <v>12050000</v>
      </c>
      <c r="L52">
        <v>5127.79</v>
      </c>
      <c r="M52" s="749">
        <v>45415</v>
      </c>
      <c r="N52">
        <v>1.1445427728613569</v>
      </c>
      <c r="O52">
        <v>1.5464285714285715</v>
      </c>
      <c r="P52">
        <v>1.589963958968672</v>
      </c>
      <c r="Q52">
        <v>1.2487244595268041</v>
      </c>
      <c r="R52">
        <v>1.0223206443534973</v>
      </c>
      <c r="S52">
        <v>1.5115207196038922</v>
      </c>
      <c r="AO52" s="749">
        <v>45415</v>
      </c>
      <c r="AP52">
        <v>17890.8</v>
      </c>
      <c r="AQ52">
        <v>2735.27</v>
      </c>
      <c r="AR52">
        <f t="shared" si="0"/>
        <v>4.1111264304425754</v>
      </c>
      <c r="AS52">
        <f t="shared" si="1"/>
        <v>1.3955031988816669</v>
      </c>
      <c r="BF52" s="749">
        <v>45415</v>
      </c>
      <c r="BG52">
        <v>17890.8</v>
      </c>
      <c r="BH52">
        <v>173200</v>
      </c>
      <c r="BI52">
        <v>4716.1880000000001</v>
      </c>
      <c r="BJ52">
        <v>114.7</v>
      </c>
      <c r="BK52">
        <v>5127.79</v>
      </c>
      <c r="BL52">
        <v>865.59</v>
      </c>
      <c r="BM52">
        <v>2510.98</v>
      </c>
      <c r="BN52" s="14">
        <f t="shared" si="10"/>
        <v>9.7356969912463232E-3</v>
      </c>
      <c r="BO52" s="14">
        <f t="shared" si="2"/>
        <v>-2.5871766029246346E-2</v>
      </c>
      <c r="BP52" s="14">
        <f t="shared" si="3"/>
        <v>-4.0337559122578526E-3</v>
      </c>
      <c r="BQ52" s="14">
        <f t="shared" si="4"/>
        <v>-1.2190874259839779E-3</v>
      </c>
      <c r="BR52" s="14">
        <f t="shared" si="5"/>
        <v>5.4569055443571823E-3</v>
      </c>
      <c r="BS52" s="14">
        <f t="shared" si="6"/>
        <v>1.0235522046637469E-2</v>
      </c>
      <c r="BT52" s="14">
        <f t="shared" si="7"/>
        <v>6.7639358328219767E-3</v>
      </c>
      <c r="BV52" s="749">
        <v>45415</v>
      </c>
      <c r="BW52">
        <f t="shared" si="8"/>
        <v>2.4638858724377517</v>
      </c>
      <c r="BX52">
        <f t="shared" si="9"/>
        <v>6.7752755398742694</v>
      </c>
    </row>
    <row r="53" spans="1:76" x14ac:dyDescent="0.3">
      <c r="A53" s="749">
        <v>45408</v>
      </c>
      <c r="B53">
        <v>177800</v>
      </c>
      <c r="C53">
        <v>4735.2889999999998</v>
      </c>
      <c r="D53">
        <v>76700</v>
      </c>
      <c r="E53">
        <v>114.84</v>
      </c>
      <c r="F53">
        <v>17718.3</v>
      </c>
      <c r="G53">
        <v>2718.7</v>
      </c>
      <c r="H53">
        <v>856.82</v>
      </c>
      <c r="I53">
        <v>361.02</v>
      </c>
      <c r="J53">
        <v>2494.11</v>
      </c>
      <c r="K53">
        <v>24920000</v>
      </c>
      <c r="L53">
        <v>5099.96</v>
      </c>
      <c r="M53" s="749">
        <v>45408</v>
      </c>
      <c r="N53">
        <v>1.1312684365781711</v>
      </c>
      <c r="O53">
        <v>1.5874999999999999</v>
      </c>
      <c r="P53">
        <v>1.5919046298863322</v>
      </c>
      <c r="Q53">
        <v>1.2366844742120964</v>
      </c>
      <c r="R53">
        <v>1.0161275251817381</v>
      </c>
      <c r="S53">
        <v>1.5176425190879572</v>
      </c>
      <c r="AO53" s="749">
        <v>45408</v>
      </c>
      <c r="AP53">
        <v>17718.3</v>
      </c>
      <c r="AQ53">
        <v>2718.7</v>
      </c>
      <c r="AR53">
        <f t="shared" si="0"/>
        <v>4.0714876602785051</v>
      </c>
      <c r="AS53">
        <f t="shared" si="1"/>
        <v>1.3870493760395088</v>
      </c>
      <c r="BF53" s="749">
        <v>45408</v>
      </c>
      <c r="BG53">
        <v>17718.3</v>
      </c>
      <c r="BH53">
        <v>177800</v>
      </c>
      <c r="BI53">
        <v>4735.2889999999998</v>
      </c>
      <c r="BJ53">
        <v>114.84</v>
      </c>
      <c r="BK53">
        <v>5099.96</v>
      </c>
      <c r="BL53">
        <v>856.82</v>
      </c>
      <c r="BM53">
        <v>2494.11</v>
      </c>
      <c r="BN53" s="14">
        <f t="shared" si="10"/>
        <v>3.9949758329346885E-2</v>
      </c>
      <c r="BO53" s="14">
        <f t="shared" si="2"/>
        <v>2.5966532025389455E-2</v>
      </c>
      <c r="BP53" s="14">
        <f t="shared" si="3"/>
        <v>9.9473399475721314E-2</v>
      </c>
      <c r="BQ53" s="14">
        <f t="shared" si="4"/>
        <v>7.5583028940713781E-2</v>
      </c>
      <c r="BR53" s="14">
        <f t="shared" si="5"/>
        <v>2.6721130287907124E-2</v>
      </c>
      <c r="BS53" s="14">
        <f t="shared" si="6"/>
        <v>1.7709731443978693E-2</v>
      </c>
      <c r="BT53" s="14">
        <f t="shared" si="7"/>
        <v>2.5690480498758106E-2</v>
      </c>
      <c r="BV53" s="749">
        <v>45408</v>
      </c>
      <c r="BW53">
        <f t="shared" si="8"/>
        <v>2.4505136509095804</v>
      </c>
      <c r="BX53">
        <f t="shared" si="9"/>
        <v>6.8027160359035062</v>
      </c>
    </row>
    <row r="54" spans="1:76" x14ac:dyDescent="0.3">
      <c r="A54" s="749">
        <v>45401</v>
      </c>
      <c r="B54">
        <v>173300</v>
      </c>
      <c r="C54">
        <v>4306.87</v>
      </c>
      <c r="D54">
        <v>77600</v>
      </c>
      <c r="E54">
        <v>106.77</v>
      </c>
      <c r="F54">
        <v>17037.650000000001</v>
      </c>
      <c r="G54">
        <v>2653.04</v>
      </c>
      <c r="H54">
        <v>841.91</v>
      </c>
      <c r="I54">
        <v>352.58</v>
      </c>
      <c r="J54">
        <v>2431.64</v>
      </c>
      <c r="K54">
        <v>23680000</v>
      </c>
      <c r="L54">
        <v>4967.2299999999996</v>
      </c>
      <c r="M54" s="749">
        <v>45401</v>
      </c>
      <c r="N54">
        <v>1.1445427728613569</v>
      </c>
      <c r="O54">
        <v>1.5473214285714285</v>
      </c>
      <c r="P54">
        <v>1.4800388134183531</v>
      </c>
      <c r="Q54">
        <v>1.1891771350558307</v>
      </c>
      <c r="R54">
        <v>0.99158677655061567</v>
      </c>
      <c r="S54">
        <v>1.3803358224142921</v>
      </c>
      <c r="AO54" s="749">
        <v>45401</v>
      </c>
      <c r="AP54">
        <v>17037.650000000001</v>
      </c>
      <c r="AQ54">
        <v>2653.04</v>
      </c>
      <c r="AR54">
        <f t="shared" si="0"/>
        <v>3.915081115860104</v>
      </c>
      <c r="AS54">
        <f t="shared" si="1"/>
        <v>1.3535504015183208</v>
      </c>
      <c r="BF54" s="749">
        <v>45401</v>
      </c>
      <c r="BG54">
        <v>17037.650000000001</v>
      </c>
      <c r="BH54">
        <v>173300</v>
      </c>
      <c r="BI54">
        <v>4306.87</v>
      </c>
      <c r="BJ54">
        <v>106.77</v>
      </c>
      <c r="BK54">
        <v>4967.2299999999996</v>
      </c>
      <c r="BL54">
        <v>841.91</v>
      </c>
      <c r="BM54">
        <v>2431.64</v>
      </c>
      <c r="BN54" s="14">
        <f t="shared" si="10"/>
        <v>-5.3647376147624715E-2</v>
      </c>
      <c r="BO54" s="14">
        <f t="shared" si="2"/>
        <v>-7.5240128068303047E-2</v>
      </c>
      <c r="BP54" s="14">
        <f t="shared" si="3"/>
        <v>-9.2344462617772738E-2</v>
      </c>
      <c r="BQ54" s="14">
        <f t="shared" si="4"/>
        <v>-0.12855044074436828</v>
      </c>
      <c r="BR54" s="14">
        <f t="shared" si="5"/>
        <v>-3.0483603693633787E-2</v>
      </c>
      <c r="BS54" s="14">
        <f t="shared" si="6"/>
        <v>-2.1569607307634242E-2</v>
      </c>
      <c r="BT54" s="14">
        <f t="shared" si="7"/>
        <v>-4.3275378398901609E-2</v>
      </c>
      <c r="BV54" s="749">
        <v>45401</v>
      </c>
      <c r="BW54">
        <f t="shared" si="8"/>
        <v>2.3867373317060512</v>
      </c>
      <c r="BX54">
        <f t="shared" si="9"/>
        <v>6.1872493133052142</v>
      </c>
    </row>
    <row r="55" spans="1:76" x14ac:dyDescent="0.3">
      <c r="A55" s="749">
        <v>45394</v>
      </c>
      <c r="B55">
        <v>187400</v>
      </c>
      <c r="C55">
        <v>4745.049</v>
      </c>
      <c r="D55">
        <v>83700</v>
      </c>
      <c r="E55">
        <v>122.52</v>
      </c>
      <c r="F55">
        <v>18003.490000000002</v>
      </c>
      <c r="G55">
        <v>2767.25</v>
      </c>
      <c r="H55">
        <v>860.47</v>
      </c>
      <c r="I55">
        <v>367.25</v>
      </c>
      <c r="J55">
        <v>2541.63</v>
      </c>
      <c r="K55">
        <v>12780000</v>
      </c>
      <c r="L55">
        <v>5123.41</v>
      </c>
      <c r="M55" s="749">
        <v>45394</v>
      </c>
      <c r="N55">
        <v>1.2345132743362832</v>
      </c>
      <c r="O55">
        <v>1.6732142857142858</v>
      </c>
      <c r="P55">
        <v>1.6983642916551149</v>
      </c>
      <c r="Q55">
        <v>1.2565898852955835</v>
      </c>
      <c r="R55">
        <v>1.0342733269794995</v>
      </c>
      <c r="S55">
        <v>1.5207705628010861</v>
      </c>
      <c r="AO55" s="749">
        <v>45394</v>
      </c>
      <c r="AP55">
        <v>18003.490000000002</v>
      </c>
      <c r="AQ55">
        <v>2767.25</v>
      </c>
      <c r="AR55">
        <f t="shared" si="0"/>
        <v>4.1370214623833821</v>
      </c>
      <c r="AS55">
        <f t="shared" si="1"/>
        <v>1.4118190259481853</v>
      </c>
      <c r="BF55" s="749">
        <v>45394</v>
      </c>
      <c r="BG55">
        <v>18003.490000000002</v>
      </c>
      <c r="BH55">
        <v>187400</v>
      </c>
      <c r="BI55">
        <v>4745.049</v>
      </c>
      <c r="BJ55">
        <v>122.52</v>
      </c>
      <c r="BK55">
        <v>5123.41</v>
      </c>
      <c r="BL55">
        <v>860.47</v>
      </c>
      <c r="BM55">
        <v>2541.63</v>
      </c>
      <c r="BN55" s="14">
        <f t="shared" si="10"/>
        <v>-5.7967380992087758E-3</v>
      </c>
      <c r="BO55" s="14">
        <f t="shared" si="2"/>
        <v>2.5164113785558051E-2</v>
      </c>
      <c r="BP55" s="14">
        <f t="shared" si="3"/>
        <v>-1.5371663788897982E-2</v>
      </c>
      <c r="BQ55" s="14">
        <f t="shared" si="4"/>
        <v>-8.5774397151643367E-3</v>
      </c>
      <c r="BR55" s="14">
        <f t="shared" si="5"/>
        <v>-1.5550482866223292E-2</v>
      </c>
      <c r="BS55" s="14">
        <f t="shared" si="6"/>
        <v>-1.3550539384837523E-2</v>
      </c>
      <c r="BT55" s="14">
        <f t="shared" si="7"/>
        <v>-1.164653637063584E-2</v>
      </c>
      <c r="BV55" s="749">
        <v>45394</v>
      </c>
      <c r="BW55">
        <f t="shared" si="8"/>
        <v>2.4617812971487329</v>
      </c>
      <c r="BX55">
        <f t="shared" si="9"/>
        <v>6.8167372516118654</v>
      </c>
    </row>
    <row r="56" spans="1:76" x14ac:dyDescent="0.3">
      <c r="A56" s="749">
        <v>45387</v>
      </c>
      <c r="B56">
        <v>182800</v>
      </c>
      <c r="C56">
        <v>4819.1270000000004</v>
      </c>
      <c r="D56">
        <v>84500</v>
      </c>
      <c r="E56">
        <v>123.58</v>
      </c>
      <c r="F56">
        <v>18108.46</v>
      </c>
      <c r="G56">
        <v>2803.2</v>
      </c>
      <c r="H56">
        <v>872.29</v>
      </c>
      <c r="I56">
        <v>371.57</v>
      </c>
      <c r="J56">
        <v>2571.58</v>
      </c>
      <c r="K56">
        <v>21730000</v>
      </c>
      <c r="L56">
        <v>5204.34</v>
      </c>
      <c r="M56" s="749">
        <v>45387</v>
      </c>
      <c r="N56">
        <v>1.2463126843657817</v>
      </c>
      <c r="O56">
        <v>1.6321428571428571</v>
      </c>
      <c r="P56">
        <v>1.7130579428888273</v>
      </c>
      <c r="Q56">
        <v>1.2639164780983942</v>
      </c>
      <c r="R56">
        <v>1.0477098166732073</v>
      </c>
      <c r="S56">
        <v>1.5445122863852219</v>
      </c>
      <c r="AO56" s="749">
        <v>45387</v>
      </c>
      <c r="AP56">
        <v>18108.46</v>
      </c>
      <c r="AQ56">
        <v>2803.2</v>
      </c>
      <c r="AR56">
        <f t="shared" si="0"/>
        <v>4.1611425157406128</v>
      </c>
      <c r="AS56">
        <f t="shared" si="1"/>
        <v>1.4301603012152688</v>
      </c>
      <c r="BF56" s="749">
        <v>45387</v>
      </c>
      <c r="BG56">
        <v>18108.46</v>
      </c>
      <c r="BH56">
        <v>182800</v>
      </c>
      <c r="BI56">
        <v>4819.1270000000004</v>
      </c>
      <c r="BJ56">
        <v>123.58</v>
      </c>
      <c r="BK56">
        <v>5204.34</v>
      </c>
      <c r="BL56">
        <v>872.29</v>
      </c>
      <c r="BM56">
        <v>2571.58</v>
      </c>
      <c r="BN56" s="14">
        <f t="shared" si="10"/>
        <v>-8.0105441396155497E-3</v>
      </c>
      <c r="BO56" s="14">
        <f t="shared" si="2"/>
        <v>-1.0928961748634114E-3</v>
      </c>
      <c r="BP56" s="14">
        <f t="shared" si="3"/>
        <v>-1.7548899047705846E-2</v>
      </c>
      <c r="BQ56" s="14">
        <f t="shared" si="4"/>
        <v>4.8265332089235669E-2</v>
      </c>
      <c r="BR56" s="14">
        <f t="shared" si="5"/>
        <v>-9.5178280853007724E-3</v>
      </c>
      <c r="BS56" s="14">
        <f t="shared" si="6"/>
        <v>-3.6675869685256823E-2</v>
      </c>
      <c r="BT56" s="14">
        <f t="shared" si="7"/>
        <v>-1.3635683682823752E-2</v>
      </c>
      <c r="BV56" s="749">
        <v>45387</v>
      </c>
      <c r="BW56">
        <f t="shared" si="8"/>
        <v>2.5006678903314468</v>
      </c>
      <c r="BX56">
        <f t="shared" si="9"/>
        <v>6.9231577041983208</v>
      </c>
    </row>
    <row r="57" spans="1:76" x14ac:dyDescent="0.3">
      <c r="A57" s="749">
        <v>45380</v>
      </c>
      <c r="B57">
        <v>183000</v>
      </c>
      <c r="C57">
        <v>4905.2079999999996</v>
      </c>
      <c r="D57">
        <v>82400</v>
      </c>
      <c r="E57">
        <v>117.89</v>
      </c>
      <c r="F57">
        <v>18254.689999999999</v>
      </c>
      <c r="G57">
        <v>2833.21</v>
      </c>
      <c r="H57">
        <v>905.5</v>
      </c>
      <c r="I57">
        <v>374.63</v>
      </c>
      <c r="J57">
        <v>2607.13</v>
      </c>
      <c r="K57">
        <v>22220000</v>
      </c>
      <c r="L57">
        <v>5254.35</v>
      </c>
      <c r="M57" s="749">
        <v>45380</v>
      </c>
      <c r="N57">
        <v>1.2153392330383481</v>
      </c>
      <c r="O57">
        <v>1.6339285714285714</v>
      </c>
      <c r="P57">
        <v>1.63418353202107</v>
      </c>
      <c r="Q57">
        <v>1.2741228957944504</v>
      </c>
      <c r="R57">
        <v>1.05892620208929</v>
      </c>
      <c r="S57">
        <v>1.572100926843198</v>
      </c>
      <c r="AO57" s="749">
        <v>45380</v>
      </c>
      <c r="AP57">
        <v>18254.689999999999</v>
      </c>
      <c r="AQ57">
        <v>2833.21</v>
      </c>
      <c r="AR57">
        <f t="shared" si="0"/>
        <v>4.1947447033411454</v>
      </c>
      <c r="AS57">
        <f t="shared" si="1"/>
        <v>1.445471057008459</v>
      </c>
      <c r="BF57" s="749">
        <v>45380</v>
      </c>
      <c r="BG57">
        <v>18254.689999999999</v>
      </c>
      <c r="BH57">
        <v>183000</v>
      </c>
      <c r="BI57">
        <v>4905.2079999999996</v>
      </c>
      <c r="BJ57">
        <v>117.89</v>
      </c>
      <c r="BK57">
        <v>5254.35</v>
      </c>
      <c r="BL57">
        <v>905.5</v>
      </c>
      <c r="BM57">
        <v>2607.13</v>
      </c>
      <c r="BN57" s="14">
        <f t="shared" si="10"/>
        <v>-4.6211879970162739E-3</v>
      </c>
      <c r="BO57" s="14">
        <f t="shared" si="2"/>
        <v>7.7738515901060179E-2</v>
      </c>
      <c r="BP57" s="14">
        <f t="shared" si="3"/>
        <v>-6.2221617346425173E-4</v>
      </c>
      <c r="BQ57" s="14">
        <f t="shared" si="4"/>
        <v>6.9685146538426723E-2</v>
      </c>
      <c r="BR57" s="14">
        <f t="shared" si="5"/>
        <v>3.8535166922040176E-3</v>
      </c>
      <c r="BS57" s="14">
        <f t="shared" si="6"/>
        <v>1.6814531294939705E-3</v>
      </c>
      <c r="BT57" s="14">
        <f t="shared" si="7"/>
        <v>4.6976037981609764E-3</v>
      </c>
      <c r="BV57" s="749">
        <v>45380</v>
      </c>
      <c r="BW57">
        <f t="shared" si="8"/>
        <v>2.524697527364284</v>
      </c>
      <c r="BX57">
        <f t="shared" si="9"/>
        <v>7.0468216662261094</v>
      </c>
    </row>
    <row r="58" spans="1:76" x14ac:dyDescent="0.3">
      <c r="A58" s="749">
        <v>45373</v>
      </c>
      <c r="B58">
        <v>169800</v>
      </c>
      <c r="C58">
        <v>4908.2619999999997</v>
      </c>
      <c r="D58">
        <v>78900</v>
      </c>
      <c r="E58">
        <v>110.21</v>
      </c>
      <c r="F58">
        <v>18339.439999999999</v>
      </c>
      <c r="G58">
        <v>2821.22</v>
      </c>
      <c r="H58">
        <v>903.98</v>
      </c>
      <c r="I58">
        <v>372.65</v>
      </c>
      <c r="J58">
        <v>2594.94</v>
      </c>
      <c r="K58">
        <v>27160000</v>
      </c>
      <c r="L58">
        <v>5234.18</v>
      </c>
      <c r="M58" s="749">
        <v>45373</v>
      </c>
      <c r="N58">
        <v>1.163716814159292</v>
      </c>
      <c r="O58">
        <v>1.5160714285714285</v>
      </c>
      <c r="P58">
        <v>1.5277238702522871</v>
      </c>
      <c r="Q58">
        <v>1.2800381929273286</v>
      </c>
      <c r="R58">
        <v>1.0544448804918614</v>
      </c>
      <c r="S58">
        <v>1.5730797224886792</v>
      </c>
      <c r="AO58" s="749">
        <v>45373</v>
      </c>
      <c r="AP58">
        <v>18339.439999999999</v>
      </c>
      <c r="AQ58">
        <v>2821.22</v>
      </c>
      <c r="AR58">
        <f t="shared" si="0"/>
        <v>4.2142194034652327</v>
      </c>
      <c r="AS58">
        <f t="shared" si="1"/>
        <v>1.4393538973296736</v>
      </c>
      <c r="BF58" s="749">
        <v>45373</v>
      </c>
      <c r="BG58">
        <v>18339.439999999999</v>
      </c>
      <c r="BH58">
        <v>169800</v>
      </c>
      <c r="BI58">
        <v>4908.2619999999997</v>
      </c>
      <c r="BJ58">
        <v>110.21</v>
      </c>
      <c r="BK58">
        <v>5234.18</v>
      </c>
      <c r="BL58">
        <v>903.98</v>
      </c>
      <c r="BM58">
        <v>2594.94</v>
      </c>
      <c r="BN58" s="14">
        <f t="shared" si="10"/>
        <v>2.9828309912540485E-2</v>
      </c>
      <c r="BO58" s="14">
        <f t="shared" si="2"/>
        <v>5.3349875930521096E-2</v>
      </c>
      <c r="BP58" s="14">
        <f t="shared" si="3"/>
        <v>3.1644445528066223E-2</v>
      </c>
      <c r="BQ58" s="14">
        <f t="shared" si="4"/>
        <v>0.18187667560321708</v>
      </c>
      <c r="BR58" s="14">
        <f t="shared" si="5"/>
        <v>2.2882145907146434E-2</v>
      </c>
      <c r="BS58" s="14">
        <f t="shared" si="6"/>
        <v>2.6713308952138526E-2</v>
      </c>
      <c r="BT58" s="14">
        <f t="shared" si="7"/>
        <v>3.4273301580342475E-2</v>
      </c>
      <c r="BV58" s="749">
        <v>45373</v>
      </c>
      <c r="BW58">
        <f t="shared" si="8"/>
        <v>2.5150059101086888</v>
      </c>
      <c r="BX58">
        <f t="shared" si="9"/>
        <v>7.0512090425348521</v>
      </c>
    </row>
    <row r="59" spans="1:76" x14ac:dyDescent="0.3">
      <c r="A59" s="749">
        <v>45366</v>
      </c>
      <c r="B59">
        <v>161200</v>
      </c>
      <c r="C59">
        <v>4757.7070000000003</v>
      </c>
      <c r="D59">
        <v>72300</v>
      </c>
      <c r="E59">
        <v>93.25</v>
      </c>
      <c r="F59">
        <v>17808.25</v>
      </c>
      <c r="G59">
        <v>2725.17</v>
      </c>
      <c r="H59">
        <v>880.46</v>
      </c>
      <c r="I59">
        <v>359.39</v>
      </c>
      <c r="J59">
        <v>2508.9499999999998</v>
      </c>
      <c r="K59">
        <v>19380000</v>
      </c>
      <c r="L59">
        <v>5117.09</v>
      </c>
      <c r="M59" s="749">
        <v>45366</v>
      </c>
      <c r="N59">
        <v>1.0663716814159292</v>
      </c>
      <c r="O59">
        <v>1.4392857142857143</v>
      </c>
      <c r="P59">
        <v>1.2926254505128916</v>
      </c>
      <c r="Q59">
        <v>1.2429627158298238</v>
      </c>
      <c r="R59">
        <v>1.0185457195716767</v>
      </c>
      <c r="S59">
        <v>1.5248274047396915</v>
      </c>
      <c r="AO59" s="749">
        <v>45366</v>
      </c>
      <c r="AP59">
        <v>17808.25</v>
      </c>
      <c r="AQ59">
        <v>2725.17</v>
      </c>
      <c r="AR59">
        <f t="shared" si="0"/>
        <v>4.0921572682568135</v>
      </c>
      <c r="AS59">
        <f t="shared" si="1"/>
        <v>1.3903502953991205</v>
      </c>
      <c r="BF59" s="749">
        <v>45366</v>
      </c>
      <c r="BG59">
        <v>17808.25</v>
      </c>
      <c r="BH59">
        <v>161200</v>
      </c>
      <c r="BI59">
        <v>4757.7070000000003</v>
      </c>
      <c r="BJ59">
        <v>93.25</v>
      </c>
      <c r="BK59">
        <v>5117.09</v>
      </c>
      <c r="BL59">
        <v>880.46</v>
      </c>
      <c r="BM59">
        <v>2508.9499999999998</v>
      </c>
      <c r="BN59" s="14">
        <f t="shared" si="10"/>
        <v>-1.1665820311958064E-2</v>
      </c>
      <c r="BO59" s="14">
        <f t="shared" si="2"/>
        <v>-6.2245491564863253E-2</v>
      </c>
      <c r="BP59" s="14">
        <f t="shared" si="3"/>
        <v>-4.0355167102043121E-2</v>
      </c>
      <c r="BQ59" s="14">
        <f t="shared" si="4"/>
        <v>-4.4765416922761814E-2</v>
      </c>
      <c r="BR59" s="14">
        <f t="shared" si="5"/>
        <v>-1.2881341377014577E-3</v>
      </c>
      <c r="BS59" s="14">
        <f t="shared" si="6"/>
        <v>8.3373416706751247E-3</v>
      </c>
      <c r="BT59" s="14">
        <f t="shared" si="7"/>
        <v>-7.3785409083716447E-3</v>
      </c>
      <c r="BV59" s="749">
        <v>45366</v>
      </c>
      <c r="BW59">
        <f t="shared" si="8"/>
        <v>2.4587445583755372</v>
      </c>
      <c r="BX59">
        <f t="shared" si="9"/>
        <v>6.834921734033629</v>
      </c>
    </row>
    <row r="60" spans="1:76" x14ac:dyDescent="0.3">
      <c r="A60" s="749">
        <v>45359</v>
      </c>
      <c r="B60">
        <v>171900</v>
      </c>
      <c r="C60">
        <v>4957.7790000000005</v>
      </c>
      <c r="D60">
        <v>73300</v>
      </c>
      <c r="E60">
        <v>97.62</v>
      </c>
      <c r="F60">
        <v>18018.45</v>
      </c>
      <c r="G60">
        <v>2742.95</v>
      </c>
      <c r="H60">
        <v>873.18</v>
      </c>
      <c r="I60">
        <v>361.71</v>
      </c>
      <c r="J60">
        <v>2527.6</v>
      </c>
      <c r="K60">
        <v>19660000</v>
      </c>
      <c r="L60">
        <v>5123.6899999999996</v>
      </c>
      <c r="M60" s="749">
        <v>45359</v>
      </c>
      <c r="N60">
        <v>1.0811209439528024</v>
      </c>
      <c r="O60">
        <v>1.5348214285714286</v>
      </c>
      <c r="P60">
        <v>1.3532021070141391</v>
      </c>
      <c r="Q60">
        <v>1.257634048659688</v>
      </c>
      <c r="R60">
        <v>1.0251910822073964</v>
      </c>
      <c r="S60">
        <v>1.5889497368885774</v>
      </c>
      <c r="AO60" s="749">
        <v>45359</v>
      </c>
      <c r="AP60">
        <v>18018.45</v>
      </c>
      <c r="AQ60">
        <v>2742.95</v>
      </c>
      <c r="AR60">
        <f t="shared" si="0"/>
        <v>4.1404591203639871</v>
      </c>
      <c r="AS60">
        <f t="shared" si="1"/>
        <v>1.3994214462822565</v>
      </c>
      <c r="BF60" s="749">
        <v>45359</v>
      </c>
      <c r="BG60">
        <v>18018.45</v>
      </c>
      <c r="BH60">
        <v>171900</v>
      </c>
      <c r="BI60">
        <v>4957.7790000000005</v>
      </c>
      <c r="BJ60">
        <v>97.62</v>
      </c>
      <c r="BK60">
        <v>5123.6899999999996</v>
      </c>
      <c r="BL60">
        <v>873.18</v>
      </c>
      <c r="BM60">
        <v>2527.6</v>
      </c>
      <c r="BN60" s="14">
        <f t="shared" si="10"/>
        <v>-1.5541790895546082E-2</v>
      </c>
      <c r="BO60" s="14">
        <f t="shared" si="2"/>
        <v>0.10051216389244555</v>
      </c>
      <c r="BP60" s="14">
        <f t="shared" si="3"/>
        <v>5.7197535775339592E-3</v>
      </c>
      <c r="BQ60" s="14">
        <f t="shared" si="4"/>
        <v>2.5959012086179678E-2</v>
      </c>
      <c r="BR60" s="14">
        <f t="shared" si="5"/>
        <v>-2.6065391233931479E-3</v>
      </c>
      <c r="BS60" s="14">
        <f t="shared" si="6"/>
        <v>1.1842959117456031E-2</v>
      </c>
      <c r="BT60" s="14">
        <f t="shared" si="7"/>
        <v>2.1215390147428792E-2</v>
      </c>
      <c r="BV60" s="749">
        <v>45359</v>
      </c>
      <c r="BW60">
        <f t="shared" si="8"/>
        <v>2.4619158362083051</v>
      </c>
      <c r="BX60">
        <f t="shared" si="9"/>
        <v>7.1223451632552219</v>
      </c>
    </row>
    <row r="61" spans="1:76" x14ac:dyDescent="0.3">
      <c r="A61" s="749">
        <v>45352</v>
      </c>
      <c r="B61">
        <v>156200</v>
      </c>
      <c r="C61">
        <v>4929.5829999999996</v>
      </c>
      <c r="D61">
        <v>73400</v>
      </c>
      <c r="E61">
        <v>95.15</v>
      </c>
      <c r="F61">
        <v>18302.91</v>
      </c>
      <c r="G61">
        <v>2694.48</v>
      </c>
      <c r="H61">
        <v>862.96</v>
      </c>
      <c r="I61">
        <v>355.57</v>
      </c>
      <c r="J61">
        <v>2475.09</v>
      </c>
      <c r="K61">
        <v>17490000</v>
      </c>
      <c r="L61">
        <v>5137.08</v>
      </c>
      <c r="M61" s="749">
        <v>45352</v>
      </c>
      <c r="N61">
        <v>1.0825958702064897</v>
      </c>
      <c r="O61">
        <v>1.3946428571428571</v>
      </c>
      <c r="P61">
        <v>1.3189631272525646</v>
      </c>
      <c r="Q61">
        <v>1.2774885079212634</v>
      </c>
      <c r="R61">
        <v>1.0070751808039469</v>
      </c>
      <c r="S61">
        <v>1.5799130237189682</v>
      </c>
      <c r="AO61" s="749">
        <v>45352</v>
      </c>
      <c r="AP61">
        <v>18302.91</v>
      </c>
      <c r="AQ61">
        <v>2694.48</v>
      </c>
      <c r="AR61">
        <f t="shared" si="0"/>
        <v>4.2058251757893279</v>
      </c>
      <c r="AS61">
        <f t="shared" si="1"/>
        <v>1.3746926114506699</v>
      </c>
      <c r="BF61" s="749">
        <v>45352</v>
      </c>
      <c r="BG61">
        <v>18302.91</v>
      </c>
      <c r="BH61">
        <v>156200</v>
      </c>
      <c r="BI61">
        <v>4929.5829999999996</v>
      </c>
      <c r="BJ61">
        <v>95.15</v>
      </c>
      <c r="BK61">
        <v>5137.08</v>
      </c>
      <c r="BL61">
        <v>862.96</v>
      </c>
      <c r="BM61">
        <v>2475.09</v>
      </c>
      <c r="BN61" s="14">
        <f t="shared" si="10"/>
        <v>2.0365031907818132E-2</v>
      </c>
      <c r="BO61" s="14">
        <f t="shared" si="2"/>
        <v>-3.2218091697645557E-2</v>
      </c>
      <c r="BP61" s="14">
        <f t="shared" si="3"/>
        <v>6.8157461028456101E-2</v>
      </c>
      <c r="BQ61" s="14">
        <f t="shared" si="4"/>
        <v>0.10639534883720936</v>
      </c>
      <c r="BR61" s="14">
        <f t="shared" si="5"/>
        <v>9.4875019650997316E-3</v>
      </c>
      <c r="BS61" s="14">
        <f t="shared" si="6"/>
        <v>-6.4588922021253659E-3</v>
      </c>
      <c r="BT61" s="14">
        <f t="shared" si="7"/>
        <v>-1.0355899063970497E-2</v>
      </c>
      <c r="BV61" s="749">
        <v>45352</v>
      </c>
      <c r="BW61">
        <f t="shared" si="8"/>
        <v>2.4683496862356935</v>
      </c>
      <c r="BX61">
        <f t="shared" si="9"/>
        <v>7.0818387904977529</v>
      </c>
    </row>
    <row r="62" spans="1:76" x14ac:dyDescent="0.3">
      <c r="A62" s="749">
        <v>45345</v>
      </c>
      <c r="B62">
        <v>161400</v>
      </c>
      <c r="C62">
        <v>4615.0339999999997</v>
      </c>
      <c r="D62">
        <v>72900</v>
      </c>
      <c r="E62">
        <v>86</v>
      </c>
      <c r="F62">
        <v>17937.61</v>
      </c>
      <c r="G62">
        <v>2714.46</v>
      </c>
      <c r="H62">
        <v>868.57</v>
      </c>
      <c r="I62">
        <v>358.57</v>
      </c>
      <c r="J62">
        <v>2500.9899999999998</v>
      </c>
      <c r="K62">
        <v>24760000</v>
      </c>
      <c r="L62">
        <v>5088.8</v>
      </c>
      <c r="M62" s="749">
        <v>45345</v>
      </c>
      <c r="N62">
        <v>1.0752212389380531</v>
      </c>
      <c r="O62">
        <v>1.4410714285714286</v>
      </c>
      <c r="P62">
        <v>1.1921264208483504</v>
      </c>
      <c r="Q62">
        <v>1.2519916578606098</v>
      </c>
      <c r="R62">
        <v>1.0145428042832314</v>
      </c>
      <c r="S62">
        <v>1.4791012386860805</v>
      </c>
      <c r="AO62" s="749">
        <v>45345</v>
      </c>
      <c r="AP62">
        <v>17937.61</v>
      </c>
      <c r="AQ62">
        <v>2714.46</v>
      </c>
      <c r="AR62">
        <f t="shared" si="0"/>
        <v>4.121882899030286</v>
      </c>
      <c r="AS62">
        <f t="shared" si="1"/>
        <v>1.3848861769537668</v>
      </c>
      <c r="BF62" s="749">
        <v>45345</v>
      </c>
      <c r="BG62">
        <v>17937.61</v>
      </c>
      <c r="BH62">
        <v>161400</v>
      </c>
      <c r="BI62">
        <v>4615.0339999999997</v>
      </c>
      <c r="BJ62">
        <v>86</v>
      </c>
      <c r="BK62">
        <v>5088.8</v>
      </c>
      <c r="BL62">
        <v>868.57</v>
      </c>
      <c r="BM62">
        <v>2500.9899999999998</v>
      </c>
      <c r="BN62" s="14">
        <f t="shared" si="10"/>
        <v>1.4227653768691395E-2</v>
      </c>
      <c r="BO62" s="14">
        <f t="shared" si="2"/>
        <v>9.9455040871934575E-2</v>
      </c>
      <c r="BP62" s="14">
        <f t="shared" si="3"/>
        <v>1.929354974148989E-2</v>
      </c>
      <c r="BQ62" s="14">
        <f t="shared" si="4"/>
        <v>8.1761006289308158E-2</v>
      </c>
      <c r="BR62" s="14">
        <f t="shared" si="5"/>
        <v>1.6627476990632495E-2</v>
      </c>
      <c r="BS62" s="14">
        <f t="shared" si="6"/>
        <v>1.2791511194029992E-2</v>
      </c>
      <c r="BT62" s="14">
        <f t="shared" si="7"/>
        <v>9.1188231069363468E-3</v>
      </c>
      <c r="BV62" s="749">
        <v>45345</v>
      </c>
      <c r="BW62">
        <f t="shared" si="8"/>
        <v>2.4451513083923548</v>
      </c>
      <c r="BX62">
        <f t="shared" si="9"/>
        <v>6.6299577064968798</v>
      </c>
    </row>
    <row r="63" spans="1:76" x14ac:dyDescent="0.3">
      <c r="A63" s="749">
        <v>45338</v>
      </c>
      <c r="B63">
        <v>146800</v>
      </c>
      <c r="C63">
        <v>4527.6790000000001</v>
      </c>
      <c r="D63">
        <v>72800</v>
      </c>
      <c r="E63">
        <v>79.5</v>
      </c>
      <c r="F63">
        <v>17685.98</v>
      </c>
      <c r="G63">
        <v>2691.34</v>
      </c>
      <c r="H63">
        <v>857.6</v>
      </c>
      <c r="I63">
        <v>355.52</v>
      </c>
      <c r="J63">
        <v>2478.39</v>
      </c>
      <c r="K63">
        <v>18130000</v>
      </c>
      <c r="L63">
        <v>5005.57</v>
      </c>
      <c r="M63" s="749">
        <v>45338</v>
      </c>
      <c r="N63">
        <v>1.0737463126843658</v>
      </c>
      <c r="O63">
        <v>1.3107142857142857</v>
      </c>
      <c r="P63">
        <v>1.102023842528417</v>
      </c>
      <c r="Q63">
        <v>1.2344286346447262</v>
      </c>
      <c r="R63">
        <v>1.0059015903272224</v>
      </c>
      <c r="S63">
        <v>1.4511042859647307</v>
      </c>
      <c r="AO63" s="749">
        <v>45338</v>
      </c>
      <c r="AP63">
        <v>17685.98</v>
      </c>
      <c r="AQ63">
        <v>2691.34</v>
      </c>
      <c r="AR63">
        <f t="shared" si="0"/>
        <v>4.0640608483845764</v>
      </c>
      <c r="AS63">
        <f t="shared" si="1"/>
        <v>1.373090619674908</v>
      </c>
      <c r="BF63" s="749">
        <v>45338</v>
      </c>
      <c r="BG63">
        <v>17685.98</v>
      </c>
      <c r="BH63">
        <v>146800</v>
      </c>
      <c r="BI63">
        <v>4527.6790000000001</v>
      </c>
      <c r="BJ63">
        <v>79.5</v>
      </c>
      <c r="BK63">
        <v>5005.57</v>
      </c>
      <c r="BL63">
        <v>857.6</v>
      </c>
      <c r="BM63">
        <v>2478.39</v>
      </c>
      <c r="BN63" s="14">
        <f t="shared" si="10"/>
        <v>-1.5388812185454182E-2</v>
      </c>
      <c r="BO63" s="14">
        <f t="shared" si="2"/>
        <v>2.8011204481792618E-2</v>
      </c>
      <c r="BP63" s="14">
        <f t="shared" si="3"/>
        <v>-8.6751453429498859E-3</v>
      </c>
      <c r="BQ63" s="14">
        <f t="shared" si="4"/>
        <v>-7.0827489481065986E-2</v>
      </c>
      <c r="BR63" s="14">
        <f t="shared" si="5"/>
        <v>-4.1857235791119551E-3</v>
      </c>
      <c r="BS63" s="14">
        <f t="shared" si="6"/>
        <v>3.7528127948897927E-2</v>
      </c>
      <c r="BT63" s="14">
        <f t="shared" si="7"/>
        <v>7.9550029892265783E-3</v>
      </c>
      <c r="BV63" s="749">
        <v>45338</v>
      </c>
      <c r="BW63">
        <f t="shared" si="8"/>
        <v>2.4051595729345854</v>
      </c>
      <c r="BX63">
        <f t="shared" si="9"/>
        <v>6.5044635161071591</v>
      </c>
    </row>
    <row r="64" spans="1:76" x14ac:dyDescent="0.3">
      <c r="A64" s="749">
        <v>45331</v>
      </c>
      <c r="B64">
        <v>142800</v>
      </c>
      <c r="C64">
        <v>4567.3010000000004</v>
      </c>
      <c r="D64">
        <v>74100</v>
      </c>
      <c r="E64">
        <v>85.56</v>
      </c>
      <c r="F64">
        <v>17962.400000000001</v>
      </c>
      <c r="G64">
        <v>2671.29</v>
      </c>
      <c r="H64">
        <v>826.58</v>
      </c>
      <c r="I64">
        <v>353.29</v>
      </c>
      <c r="J64">
        <v>2458.83</v>
      </c>
      <c r="K64">
        <v>17100000</v>
      </c>
      <c r="L64">
        <v>5026.6099999999997</v>
      </c>
      <c r="M64" s="749">
        <v>45331</v>
      </c>
      <c r="N64">
        <v>1.0929203539823009</v>
      </c>
      <c r="O64">
        <v>1.2749999999999999</v>
      </c>
      <c r="P64">
        <v>1.1860271693928472</v>
      </c>
      <c r="Q64">
        <v>1.253721925895112</v>
      </c>
      <c r="R64">
        <v>0.99840780400291518</v>
      </c>
      <c r="S64">
        <v>1.4638029896534186</v>
      </c>
      <c r="AO64" s="749">
        <v>45331</v>
      </c>
      <c r="AP64">
        <v>17962.400000000001</v>
      </c>
      <c r="AQ64">
        <v>2671.29</v>
      </c>
      <c r="AR64">
        <f t="shared" si="0"/>
        <v>4.1275793924353144</v>
      </c>
      <c r="AS64">
        <f t="shared" si="1"/>
        <v>1.3628613409793577</v>
      </c>
      <c r="BF64" s="749">
        <v>45331</v>
      </c>
      <c r="BG64">
        <v>17962.400000000001</v>
      </c>
      <c r="BH64">
        <v>142800</v>
      </c>
      <c r="BI64">
        <v>4567.3010000000004</v>
      </c>
      <c r="BJ64">
        <v>85.56</v>
      </c>
      <c r="BK64">
        <v>5026.6099999999997</v>
      </c>
      <c r="BL64">
        <v>826.58</v>
      </c>
      <c r="BM64">
        <v>2458.83</v>
      </c>
      <c r="BN64" s="14">
        <f t="shared" si="10"/>
        <v>1.8119077943152817E-2</v>
      </c>
      <c r="BO64" s="14">
        <f t="shared" si="2"/>
        <v>5.8561897702001486E-2</v>
      </c>
      <c r="BP64" s="14">
        <f t="shared" si="3"/>
        <v>5.3167988939121447E-2</v>
      </c>
      <c r="BQ64" s="14">
        <f t="shared" si="4"/>
        <v>-1.0638297872340496E-2</v>
      </c>
      <c r="BR64" s="14">
        <f t="shared" si="5"/>
        <v>1.3713520522888434E-2</v>
      </c>
      <c r="BS64" s="14">
        <f t="shared" si="6"/>
        <v>1.4494888127938088E-2</v>
      </c>
      <c r="BT64" s="14">
        <f t="shared" si="7"/>
        <v>-3.1712344640011381E-4</v>
      </c>
      <c r="BV64" s="749">
        <v>45331</v>
      </c>
      <c r="BW64">
        <f t="shared" si="8"/>
        <v>2.4152692222681362</v>
      </c>
      <c r="BX64">
        <f t="shared" si="9"/>
        <v>6.5613844801232037</v>
      </c>
    </row>
    <row r="65" spans="1:76" x14ac:dyDescent="0.3">
      <c r="A65" s="749">
        <v>45324</v>
      </c>
      <c r="B65">
        <v>134900</v>
      </c>
      <c r="C65">
        <v>4336.7259999999997</v>
      </c>
      <c r="D65">
        <v>75200</v>
      </c>
      <c r="E65">
        <v>86.48</v>
      </c>
      <c r="F65">
        <v>17642.73</v>
      </c>
      <c r="G65">
        <v>2671.45</v>
      </c>
      <c r="H65">
        <v>814.77</v>
      </c>
      <c r="I65">
        <v>353.43</v>
      </c>
      <c r="J65">
        <v>2459.61</v>
      </c>
      <c r="K65">
        <v>14910000</v>
      </c>
      <c r="L65">
        <v>4958.6099999999997</v>
      </c>
      <c r="M65" s="749">
        <v>45324</v>
      </c>
      <c r="N65">
        <v>1.1091445427728615</v>
      </c>
      <c r="O65">
        <v>1.2044642857142858</v>
      </c>
      <c r="P65">
        <v>1.1987801497088995</v>
      </c>
      <c r="Q65">
        <v>1.2314099136890095</v>
      </c>
      <c r="R65">
        <v>0.99846760479153807</v>
      </c>
      <c r="S65">
        <v>1.3899045594121584</v>
      </c>
      <c r="AO65" s="749">
        <v>45324</v>
      </c>
      <c r="AP65">
        <v>17642.73</v>
      </c>
      <c r="AQ65">
        <v>2671.45</v>
      </c>
      <c r="AR65">
        <f t="shared" si="0"/>
        <v>4.0541224320970626</v>
      </c>
      <c r="AS65">
        <f t="shared" si="1"/>
        <v>1.3629429711335366</v>
      </c>
      <c r="BF65" s="749">
        <v>45324</v>
      </c>
      <c r="BG65">
        <v>17642.73</v>
      </c>
      <c r="BH65">
        <v>134900</v>
      </c>
      <c r="BI65">
        <v>4336.7259999999997</v>
      </c>
      <c r="BJ65">
        <v>86.48</v>
      </c>
      <c r="BK65">
        <v>4958.6099999999997</v>
      </c>
      <c r="BL65">
        <v>814.77</v>
      </c>
      <c r="BM65">
        <v>2459.61</v>
      </c>
      <c r="BN65" s="14">
        <f t="shared" si="10"/>
        <v>1.2727161054382208E-2</v>
      </c>
      <c r="BO65" s="14">
        <f t="shared" si="2"/>
        <v>-8.0882352941176183E-3</v>
      </c>
      <c r="BP65" s="14">
        <f t="shared" si="3"/>
        <v>-1.2381100213675333E-3</v>
      </c>
      <c r="BQ65" s="14">
        <f t="shared" si="4"/>
        <v>-1.7830777967064115E-2</v>
      </c>
      <c r="BR65" s="14">
        <f t="shared" si="5"/>
        <v>1.3829567549995092E-2</v>
      </c>
      <c r="BS65" s="14">
        <f t="shared" si="6"/>
        <v>-2.6838182599971394E-2</v>
      </c>
      <c r="BT65" s="14">
        <f t="shared" si="7"/>
        <v>6.4724750983727874E-2</v>
      </c>
      <c r="BV65" s="749">
        <v>45324</v>
      </c>
      <c r="BW65">
        <f t="shared" si="8"/>
        <v>2.3825954506577998</v>
      </c>
      <c r="BX65">
        <f t="shared" si="9"/>
        <v>6.230140442013079</v>
      </c>
    </row>
    <row r="66" spans="1:76" x14ac:dyDescent="0.3">
      <c r="A66" s="749">
        <v>45317</v>
      </c>
      <c r="B66">
        <v>136000</v>
      </c>
      <c r="C66">
        <v>4342.1019999999999</v>
      </c>
      <c r="D66">
        <v>73400</v>
      </c>
      <c r="E66">
        <v>88.05</v>
      </c>
      <c r="F66">
        <v>17421.009999999998</v>
      </c>
      <c r="G66">
        <v>2521.1</v>
      </c>
      <c r="H66">
        <v>837.24</v>
      </c>
      <c r="I66">
        <v>334.21</v>
      </c>
      <c r="J66">
        <v>2310.09</v>
      </c>
      <c r="K66">
        <v>17230000</v>
      </c>
      <c r="L66">
        <v>4890.97</v>
      </c>
      <c r="M66" s="749">
        <v>45317</v>
      </c>
      <c r="N66">
        <v>1.0825958702064897</v>
      </c>
      <c r="O66">
        <v>1.2142857142857142</v>
      </c>
      <c r="P66">
        <v>1.2205433878569447</v>
      </c>
      <c r="Q66">
        <v>1.2159345192311717</v>
      </c>
      <c r="R66">
        <v>0.94227355123245682</v>
      </c>
      <c r="S66">
        <v>1.391627547424636</v>
      </c>
      <c r="AO66" s="749">
        <v>45317</v>
      </c>
      <c r="AP66">
        <v>17421.009999999998</v>
      </c>
      <c r="AQ66">
        <v>2521.1</v>
      </c>
      <c r="AR66">
        <f t="shared" si="0"/>
        <v>4.0031733995128445</v>
      </c>
      <c r="AS66">
        <f t="shared" si="1"/>
        <v>1.2862361356285013</v>
      </c>
      <c r="BF66" s="749">
        <v>45317</v>
      </c>
      <c r="BG66">
        <v>17421.009999999998</v>
      </c>
      <c r="BH66">
        <v>136000</v>
      </c>
      <c r="BI66">
        <v>4342.1019999999999</v>
      </c>
      <c r="BJ66">
        <v>88.05</v>
      </c>
      <c r="BK66">
        <v>4890.97</v>
      </c>
      <c r="BL66">
        <v>837.24</v>
      </c>
      <c r="BM66">
        <v>2310.09</v>
      </c>
      <c r="BN66" s="14">
        <f t="shared" si="10"/>
        <v>6.1805475337874949E-3</v>
      </c>
      <c r="BO66" s="14">
        <f t="shared" si="2"/>
        <v>-3.7508846426043907E-2</v>
      </c>
      <c r="BP66" s="14">
        <f t="shared" si="3"/>
        <v>-7.6678823325612155E-3</v>
      </c>
      <c r="BQ66" s="14">
        <f t="shared" si="4"/>
        <v>6.1707233459031841E-3</v>
      </c>
      <c r="BR66" s="14">
        <f t="shared" si="5"/>
        <v>1.0570662897923633E-2</v>
      </c>
      <c r="BS66" s="14">
        <f t="shared" si="6"/>
        <v>-6.4438036241944996E-3</v>
      </c>
      <c r="BT66" s="14">
        <f t="shared" si="7"/>
        <v>3.4751030585251641E-3</v>
      </c>
      <c r="BV66" s="749">
        <v>45317</v>
      </c>
      <c r="BW66">
        <f t="shared" si="8"/>
        <v>2.3500946578383419</v>
      </c>
      <c r="BX66">
        <f t="shared" si="9"/>
        <v>6.2378636034524373</v>
      </c>
    </row>
    <row r="67" spans="1:76" x14ac:dyDescent="0.3">
      <c r="A67" s="749">
        <v>45310</v>
      </c>
      <c r="B67">
        <v>141300</v>
      </c>
      <c r="C67">
        <v>4375.6540000000005</v>
      </c>
      <c r="D67">
        <v>74700</v>
      </c>
      <c r="E67">
        <v>87.51</v>
      </c>
      <c r="F67">
        <v>17314</v>
      </c>
      <c r="G67">
        <v>2511.15</v>
      </c>
      <c r="H67">
        <v>842.67</v>
      </c>
      <c r="I67">
        <v>332.99</v>
      </c>
      <c r="J67">
        <v>2302.09</v>
      </c>
      <c r="K67">
        <v>17350000</v>
      </c>
      <c r="L67">
        <v>4839.8100000000004</v>
      </c>
      <c r="M67" s="749">
        <v>45310</v>
      </c>
      <c r="N67">
        <v>1.1017699115044248</v>
      </c>
      <c r="O67">
        <v>1.2616071428571429</v>
      </c>
      <c r="P67">
        <v>1.2130579428888273</v>
      </c>
      <c r="Q67">
        <v>1.2084655405150739</v>
      </c>
      <c r="R67">
        <v>0.93855468968997025</v>
      </c>
      <c r="S67">
        <v>1.402380838681081</v>
      </c>
      <c r="AO67" s="749">
        <v>45310</v>
      </c>
      <c r="AP67">
        <v>17314</v>
      </c>
      <c r="AQ67">
        <v>2511.15</v>
      </c>
      <c r="AR67">
        <f t="shared" ref="AR67:AR130" si="11">+AP67/$AP$524</f>
        <v>3.9785835746128035</v>
      </c>
      <c r="AS67">
        <f t="shared" ref="AS67:AS130" si="12">+AQ67/$AQ$524</f>
        <v>1.2811597604154976</v>
      </c>
      <c r="BF67" s="749">
        <v>45310</v>
      </c>
      <c r="BG67">
        <v>17314</v>
      </c>
      <c r="BH67">
        <v>141300</v>
      </c>
      <c r="BI67">
        <v>4375.6540000000005</v>
      </c>
      <c r="BJ67">
        <v>87.51</v>
      </c>
      <c r="BK67">
        <v>4839.8100000000004</v>
      </c>
      <c r="BL67">
        <v>842.67</v>
      </c>
      <c r="BM67">
        <v>2302.09</v>
      </c>
      <c r="BN67" s="14">
        <f t="shared" si="10"/>
        <v>2.8579711660246865E-2</v>
      </c>
      <c r="BO67" s="14">
        <f t="shared" ref="BO67:BO130" si="13">+BH67/BH68-1</f>
        <v>5.3691275167785157E-2</v>
      </c>
      <c r="BP67" s="14">
        <f t="shared" ref="BP67:BP130" si="14">+BI67/BI68-1</f>
        <v>7.9761870978488192E-2</v>
      </c>
      <c r="BQ67" s="14">
        <f t="shared" ref="BQ67:BQ130" si="15">+BJ67/BJ68-1</f>
        <v>6.2143464012623051E-2</v>
      </c>
      <c r="BR67" s="14">
        <f t="shared" ref="BR67:BR130" si="16">+BK67/BK68-1</f>
        <v>1.1701920845849534E-2</v>
      </c>
      <c r="BS67" s="14">
        <f t="shared" ref="BS67:BS130" si="17">+BL67/BL68-1</f>
        <v>-2.9271495714680795E-2</v>
      </c>
      <c r="BT67" s="14">
        <f t="shared" ref="BT67:BT130" si="18">+BM67/BM68-1</f>
        <v>-1.6818494364651104E-2</v>
      </c>
      <c r="BV67" s="749">
        <v>45310</v>
      </c>
      <c r="BW67">
        <f t="shared" ref="BW67:BW130" si="19">+L67/$L$524</f>
        <v>2.3255124496679773</v>
      </c>
      <c r="BX67">
        <f t="shared" ref="BX67:BX130" si="20">+C67/$C$524</f>
        <v>6.2860644056498609</v>
      </c>
    </row>
    <row r="68" spans="1:76" x14ac:dyDescent="0.3">
      <c r="A68" s="749">
        <v>45303</v>
      </c>
      <c r="B68">
        <v>134100</v>
      </c>
      <c r="C68">
        <v>4052.4250000000002</v>
      </c>
      <c r="D68">
        <v>73100</v>
      </c>
      <c r="E68">
        <v>82.39</v>
      </c>
      <c r="F68">
        <v>16832.919999999998</v>
      </c>
      <c r="G68">
        <v>2551.56</v>
      </c>
      <c r="H68">
        <v>868.08</v>
      </c>
      <c r="I68">
        <v>338.22</v>
      </c>
      <c r="J68">
        <v>2341.4699999999998</v>
      </c>
      <c r="K68">
        <v>15220000</v>
      </c>
      <c r="L68">
        <v>4783.83</v>
      </c>
      <c r="M68" s="749">
        <v>45303</v>
      </c>
      <c r="N68">
        <v>1.0781710914454277</v>
      </c>
      <c r="O68">
        <v>1.1973214285714286</v>
      </c>
      <c r="P68">
        <v>1.142084835042972</v>
      </c>
      <c r="Q68">
        <v>1.1748875919052211</v>
      </c>
      <c r="R68">
        <v>0.95365812636654135</v>
      </c>
      <c r="S68">
        <v>1.2987871459197138</v>
      </c>
      <c r="AO68" s="749">
        <v>45303</v>
      </c>
      <c r="AP68">
        <v>16832.919999999998</v>
      </c>
      <c r="AQ68">
        <v>2551.56</v>
      </c>
      <c r="AR68">
        <f t="shared" si="11"/>
        <v>3.8680362148995813</v>
      </c>
      <c r="AS68">
        <f t="shared" si="12"/>
        <v>1.3017764762303194</v>
      </c>
      <c r="BF68" s="749">
        <v>45303</v>
      </c>
      <c r="BG68">
        <v>16832.919999999998</v>
      </c>
      <c r="BH68">
        <v>134100</v>
      </c>
      <c r="BI68">
        <v>4052.4250000000002</v>
      </c>
      <c r="BJ68">
        <v>82.39</v>
      </c>
      <c r="BK68">
        <v>4783.83</v>
      </c>
      <c r="BL68">
        <v>868.08</v>
      </c>
      <c r="BM68">
        <v>2341.4699999999998</v>
      </c>
      <c r="BN68" s="14">
        <f t="shared" ref="BN68:BN131" si="21">+BG68/BG69-1</f>
        <v>3.2315751644488522E-2</v>
      </c>
      <c r="BO68" s="14">
        <f t="shared" si="13"/>
        <v>-2.4727272727272709E-2</v>
      </c>
      <c r="BP68" s="14">
        <f t="shared" si="14"/>
        <v>3.0237555186417353E-2</v>
      </c>
      <c r="BQ68" s="14">
        <f t="shared" si="15"/>
        <v>-1.2702216896345098E-2</v>
      </c>
      <c r="BR68" s="14">
        <f t="shared" si="16"/>
        <v>1.8434229462407803E-2</v>
      </c>
      <c r="BS68" s="14">
        <f t="shared" si="17"/>
        <v>-1.1669873509956408E-2</v>
      </c>
      <c r="BT68" s="14">
        <f t="shared" si="18"/>
        <v>-2.7677192166503328E-2</v>
      </c>
      <c r="BV68" s="749">
        <v>45303</v>
      </c>
      <c r="BW68">
        <f t="shared" si="19"/>
        <v>2.2986142476864089</v>
      </c>
      <c r="BX68">
        <f t="shared" si="20"/>
        <v>5.8217136339083568</v>
      </c>
    </row>
    <row r="69" spans="1:76" x14ac:dyDescent="0.3">
      <c r="A69" s="749">
        <v>45296</v>
      </c>
      <c r="B69">
        <v>137500</v>
      </c>
      <c r="C69">
        <v>3933.4859999999999</v>
      </c>
      <c r="D69">
        <v>76600</v>
      </c>
      <c r="E69">
        <v>83.45</v>
      </c>
      <c r="F69">
        <v>16305.98</v>
      </c>
      <c r="G69">
        <v>2620.0500000000002</v>
      </c>
      <c r="H69">
        <v>878.33</v>
      </c>
      <c r="I69">
        <v>347.22</v>
      </c>
      <c r="J69">
        <v>2408.12</v>
      </c>
      <c r="K69">
        <v>9910000</v>
      </c>
      <c r="L69">
        <v>4697.24</v>
      </c>
      <c r="M69" s="749">
        <v>45296</v>
      </c>
      <c r="N69">
        <v>1.1297935103244838</v>
      </c>
      <c r="O69">
        <v>1.2276785714285714</v>
      </c>
      <c r="P69">
        <v>1.1567784862766843</v>
      </c>
      <c r="Q69">
        <v>1.1381087521270641</v>
      </c>
      <c r="R69">
        <v>0.97925660144643156</v>
      </c>
      <c r="S69">
        <v>1.2606676386250582</v>
      </c>
      <c r="AO69" s="749">
        <v>45296</v>
      </c>
      <c r="AP69">
        <v>16305.98</v>
      </c>
      <c r="AQ69">
        <v>2620.0500000000002</v>
      </c>
      <c r="AR69">
        <f t="shared" si="11"/>
        <v>3.7469506870720157</v>
      </c>
      <c r="AS69">
        <f t="shared" si="12"/>
        <v>1.336719284103548</v>
      </c>
      <c r="BF69" s="749">
        <v>45296</v>
      </c>
      <c r="BG69">
        <v>16305.98</v>
      </c>
      <c r="BH69">
        <v>137500</v>
      </c>
      <c r="BI69">
        <v>3933.4859999999999</v>
      </c>
      <c r="BJ69">
        <v>83.45</v>
      </c>
      <c r="BK69">
        <v>4697.24</v>
      </c>
      <c r="BL69">
        <v>878.33</v>
      </c>
      <c r="BM69">
        <v>2408.12</v>
      </c>
      <c r="BN69" s="14">
        <f t="shared" si="21"/>
        <v>-3.0901709444886571E-2</v>
      </c>
      <c r="BO69" s="14">
        <f t="shared" si="13"/>
        <v>-2.8268551236749095E-2</v>
      </c>
      <c r="BP69" s="14">
        <f t="shared" si="14"/>
        <v>-5.7954617846979861E-2</v>
      </c>
      <c r="BQ69" s="14">
        <f t="shared" si="15"/>
        <v>-2.2146707288493106E-2</v>
      </c>
      <c r="BR69" s="14">
        <f t="shared" si="16"/>
        <v>-1.5218571731067998E-2</v>
      </c>
      <c r="BS69" s="14">
        <f t="shared" si="17"/>
        <v>1.3570744429186377E-2</v>
      </c>
      <c r="BT69" s="14">
        <f t="shared" si="18"/>
        <v>-3.0282041782774827E-2</v>
      </c>
      <c r="BV69" s="749">
        <v>45296</v>
      </c>
      <c r="BW69">
        <f t="shared" si="19"/>
        <v>2.257008043513776</v>
      </c>
      <c r="BX69">
        <f t="shared" si="20"/>
        <v>5.6508458700624056</v>
      </c>
    </row>
    <row r="70" spans="1:76" x14ac:dyDescent="0.3">
      <c r="A70" s="749">
        <v>45289</v>
      </c>
      <c r="B70">
        <v>141500</v>
      </c>
      <c r="C70">
        <v>4175.4740000000002</v>
      </c>
      <c r="D70">
        <v>78500</v>
      </c>
      <c r="E70">
        <v>85.34</v>
      </c>
      <c r="F70">
        <v>16825.93</v>
      </c>
      <c r="G70">
        <v>2701.73</v>
      </c>
      <c r="H70">
        <v>866.57</v>
      </c>
      <c r="I70">
        <v>357.99</v>
      </c>
      <c r="J70">
        <v>2483.3200000000002</v>
      </c>
      <c r="K70">
        <v>7040000</v>
      </c>
      <c r="L70">
        <v>4769.83</v>
      </c>
      <c r="M70" s="749">
        <v>45289</v>
      </c>
      <c r="N70">
        <v>1.1578171091445428</v>
      </c>
      <c r="O70">
        <v>1.2633928571428572</v>
      </c>
      <c r="P70">
        <v>1.1829775436650958</v>
      </c>
      <c r="Q70">
        <v>1.1743997107611643</v>
      </c>
      <c r="R70">
        <v>1.0097849040384219</v>
      </c>
      <c r="S70">
        <v>1.33822389293373</v>
      </c>
      <c r="AO70" s="749">
        <v>45289</v>
      </c>
      <c r="AP70">
        <v>16825.93</v>
      </c>
      <c r="AQ70">
        <v>2701.73</v>
      </c>
      <c r="AR70">
        <f t="shared" si="11"/>
        <v>3.866429982995542</v>
      </c>
      <c r="AS70">
        <f t="shared" si="12"/>
        <v>1.3783914778119037</v>
      </c>
      <c r="BF70" s="749">
        <v>45289</v>
      </c>
      <c r="BG70">
        <v>16825.93</v>
      </c>
      <c r="BH70">
        <v>141500</v>
      </c>
      <c r="BI70">
        <v>4175.4740000000002</v>
      </c>
      <c r="BJ70">
        <v>85.34</v>
      </c>
      <c r="BK70">
        <v>4769.83</v>
      </c>
      <c r="BL70">
        <v>866.57</v>
      </c>
      <c r="BM70">
        <v>2483.3200000000002</v>
      </c>
      <c r="BN70" s="14">
        <f t="shared" si="21"/>
        <v>2.8925816872698018E-3</v>
      </c>
      <c r="BO70" s="14">
        <f t="shared" si="13"/>
        <v>6.4011379800854584E-3</v>
      </c>
      <c r="BP70" s="14">
        <f t="shared" si="14"/>
        <v>1.0312241779593112E-2</v>
      </c>
      <c r="BQ70" s="14">
        <f t="shared" si="15"/>
        <v>-1.3296334836397139E-2</v>
      </c>
      <c r="BR70" s="14">
        <f t="shared" si="16"/>
        <v>3.1968838795026766E-3</v>
      </c>
      <c r="BS70" s="14">
        <f t="shared" si="17"/>
        <v>1.3982822775034487E-2</v>
      </c>
      <c r="BT70" s="14">
        <f t="shared" si="18"/>
        <v>2.8149362612976292E-2</v>
      </c>
      <c r="BV70" s="749">
        <v>45289</v>
      </c>
      <c r="BW70">
        <f t="shared" si="19"/>
        <v>2.2918872947078102</v>
      </c>
      <c r="BX70">
        <f t="shared" si="20"/>
        <v>5.9984858236314951</v>
      </c>
    </row>
    <row r="71" spans="1:76" x14ac:dyDescent="0.3">
      <c r="A71" s="749">
        <v>45282</v>
      </c>
      <c r="B71">
        <v>140600</v>
      </c>
      <c r="C71">
        <v>4132.8549999999996</v>
      </c>
      <c r="D71">
        <v>75900</v>
      </c>
      <c r="E71">
        <v>86.49</v>
      </c>
      <c r="F71">
        <v>16777.400000000001</v>
      </c>
      <c r="G71">
        <v>2632.02</v>
      </c>
      <c r="H71">
        <v>854.62</v>
      </c>
      <c r="I71">
        <v>349.15</v>
      </c>
      <c r="J71">
        <v>2415.33</v>
      </c>
      <c r="K71">
        <v>13880000</v>
      </c>
      <c r="L71">
        <v>4754.63</v>
      </c>
      <c r="M71" s="749">
        <v>45282</v>
      </c>
      <c r="N71">
        <v>1.1194690265486726</v>
      </c>
      <c r="O71">
        <v>1.2553571428571428</v>
      </c>
      <c r="P71">
        <v>1.1989187690601608</v>
      </c>
      <c r="Q71">
        <v>1.1710124615592934</v>
      </c>
      <c r="R71">
        <v>0.98373044794528219</v>
      </c>
      <c r="S71">
        <v>1.3245646618876397</v>
      </c>
      <c r="AO71" s="749">
        <v>45282</v>
      </c>
      <c r="AP71">
        <v>16777.400000000001</v>
      </c>
      <c r="AQ71">
        <v>2632.02</v>
      </c>
      <c r="AR71">
        <f t="shared" si="11"/>
        <v>3.8552782756560506</v>
      </c>
      <c r="AS71">
        <f t="shared" si="12"/>
        <v>1.3428262400130608</v>
      </c>
      <c r="BF71" s="749">
        <v>45282</v>
      </c>
      <c r="BG71">
        <v>16777.400000000001</v>
      </c>
      <c r="BH71">
        <v>140600</v>
      </c>
      <c r="BI71">
        <v>4132.8549999999996</v>
      </c>
      <c r="BJ71">
        <v>86.49</v>
      </c>
      <c r="BK71">
        <v>4754.63</v>
      </c>
      <c r="BL71">
        <v>854.62</v>
      </c>
      <c r="BM71">
        <v>2415.33</v>
      </c>
      <c r="BN71" s="14">
        <f t="shared" si="21"/>
        <v>9.2610138088062843E-3</v>
      </c>
      <c r="BO71" s="14">
        <f t="shared" si="13"/>
        <v>4.2857142857142261E-3</v>
      </c>
      <c r="BP71" s="14">
        <f t="shared" si="14"/>
        <v>3.8503736820205692E-3</v>
      </c>
      <c r="BQ71" s="14">
        <f t="shared" si="15"/>
        <v>6.240019653605211E-2</v>
      </c>
      <c r="BR71" s="14">
        <f t="shared" si="16"/>
        <v>7.5097633280287734E-3</v>
      </c>
      <c r="BS71" s="14">
        <f t="shared" si="17"/>
        <v>1.9455809903257792E-2</v>
      </c>
      <c r="BT71" s="14">
        <f t="shared" si="18"/>
        <v>1.4179781319807239E-2</v>
      </c>
      <c r="BV71" s="749">
        <v>45282</v>
      </c>
      <c r="BW71">
        <f t="shared" si="19"/>
        <v>2.2845837457596172</v>
      </c>
      <c r="BX71">
        <f t="shared" si="20"/>
        <v>5.9372593695050044</v>
      </c>
    </row>
    <row r="72" spans="1:76" x14ac:dyDescent="0.3">
      <c r="A72" s="749">
        <v>45275</v>
      </c>
      <c r="B72">
        <v>140000</v>
      </c>
      <c r="C72">
        <v>4117.0029999999997</v>
      </c>
      <c r="D72">
        <v>73300</v>
      </c>
      <c r="E72">
        <v>81.41</v>
      </c>
      <c r="F72">
        <v>16623.45</v>
      </c>
      <c r="G72">
        <v>2595.1</v>
      </c>
      <c r="H72">
        <v>838.31</v>
      </c>
      <c r="I72">
        <v>343.99</v>
      </c>
      <c r="J72">
        <v>2381.56</v>
      </c>
      <c r="K72">
        <v>22910000</v>
      </c>
      <c r="L72">
        <v>4719.1899999999996</v>
      </c>
      <c r="M72" s="749">
        <v>45275</v>
      </c>
      <c r="N72">
        <v>1.0811209439528024</v>
      </c>
      <c r="O72">
        <v>1.25</v>
      </c>
      <c r="P72">
        <v>1.1285001386193512</v>
      </c>
      <c r="Q72">
        <v>1.1602672108972687</v>
      </c>
      <c r="R72">
        <v>0.96993141597054799</v>
      </c>
      <c r="S72">
        <v>1.3194841548240619</v>
      </c>
      <c r="AO72" s="749">
        <v>45275</v>
      </c>
      <c r="AP72">
        <v>16623.45</v>
      </c>
      <c r="AQ72">
        <v>2595.1</v>
      </c>
      <c r="AR72">
        <f t="shared" si="11"/>
        <v>3.8199021094719425</v>
      </c>
      <c r="AS72">
        <f t="shared" si="12"/>
        <v>1.3239900819362673</v>
      </c>
      <c r="BF72" s="749">
        <v>45275</v>
      </c>
      <c r="BG72">
        <v>16623.45</v>
      </c>
      <c r="BH72">
        <v>140000</v>
      </c>
      <c r="BI72">
        <v>4117.0029999999997</v>
      </c>
      <c r="BJ72">
        <v>81.41</v>
      </c>
      <c r="BK72">
        <v>4719.1899999999996</v>
      </c>
      <c r="BL72">
        <v>838.31</v>
      </c>
      <c r="BM72">
        <v>2381.56</v>
      </c>
      <c r="BN72" s="14">
        <f t="shared" si="21"/>
        <v>3.3495205689385354E-2</v>
      </c>
      <c r="BO72" s="14">
        <f t="shared" si="13"/>
        <v>9.8039215686274606E-2</v>
      </c>
      <c r="BP72" s="14">
        <f t="shared" si="14"/>
        <v>9.0835793695731581E-2</v>
      </c>
      <c r="BQ72" s="14">
        <f t="shared" si="15"/>
        <v>8.6045891141942388E-2</v>
      </c>
      <c r="BR72" s="14">
        <f t="shared" si="16"/>
        <v>2.493717924493466E-2</v>
      </c>
      <c r="BS72" s="14">
        <f t="shared" si="17"/>
        <v>9.5620024808218407E-3</v>
      </c>
      <c r="BT72" s="14">
        <f t="shared" si="18"/>
        <v>2.5354441224969548E-2</v>
      </c>
      <c r="BV72" s="749">
        <v>45275</v>
      </c>
      <c r="BW72">
        <f t="shared" si="19"/>
        <v>2.2675549447909358</v>
      </c>
      <c r="BX72">
        <f t="shared" si="20"/>
        <v>5.914486386778683</v>
      </c>
    </row>
    <row r="73" spans="1:76" x14ac:dyDescent="0.3">
      <c r="A73" s="749">
        <v>45268</v>
      </c>
      <c r="B73">
        <v>127500</v>
      </c>
      <c r="C73">
        <v>3774.1729999999998</v>
      </c>
      <c r="D73">
        <v>72600</v>
      </c>
      <c r="E73">
        <v>74.959999999999994</v>
      </c>
      <c r="F73">
        <v>16084.69</v>
      </c>
      <c r="G73">
        <v>2535.75</v>
      </c>
      <c r="H73">
        <v>830.37</v>
      </c>
      <c r="I73">
        <v>336.6</v>
      </c>
      <c r="J73">
        <v>2322.67</v>
      </c>
      <c r="K73">
        <v>14970000</v>
      </c>
      <c r="L73">
        <v>4604.37</v>
      </c>
      <c r="M73" s="749">
        <v>45268</v>
      </c>
      <c r="N73">
        <v>1.0707964601769913</v>
      </c>
      <c r="O73">
        <v>1.1383928571428572</v>
      </c>
      <c r="P73">
        <v>1.0390906570557248</v>
      </c>
      <c r="Q73">
        <v>1.1226633703862428</v>
      </c>
      <c r="R73">
        <v>0.94774906094074107</v>
      </c>
      <c r="S73">
        <v>1.2096084144375883</v>
      </c>
      <c r="AO73" s="749">
        <v>45268</v>
      </c>
      <c r="AP73">
        <v>16084.69</v>
      </c>
      <c r="AQ73">
        <v>2535.75</v>
      </c>
      <c r="AR73">
        <f t="shared" si="11"/>
        <v>3.6961004641757431</v>
      </c>
      <c r="AS73">
        <f t="shared" si="12"/>
        <v>1.2937103966205117</v>
      </c>
      <c r="BF73" s="749">
        <v>45268</v>
      </c>
      <c r="BG73">
        <v>16084.69</v>
      </c>
      <c r="BH73">
        <v>127500</v>
      </c>
      <c r="BI73">
        <v>3774.1729999999998</v>
      </c>
      <c r="BJ73">
        <v>74.959999999999994</v>
      </c>
      <c r="BK73">
        <v>4604.37</v>
      </c>
      <c r="BL73">
        <v>830.37</v>
      </c>
      <c r="BM73">
        <v>2322.67</v>
      </c>
      <c r="BN73" s="14">
        <f t="shared" si="21"/>
        <v>5.4451985862862262E-3</v>
      </c>
      <c r="BO73" s="14">
        <f t="shared" si="13"/>
        <v>-3.8461538461538436E-2</v>
      </c>
      <c r="BP73" s="14">
        <f t="shared" si="14"/>
        <v>9.6055255579794441E-3</v>
      </c>
      <c r="BQ73" s="14">
        <f t="shared" si="15"/>
        <v>-1.2774924272356269E-2</v>
      </c>
      <c r="BR73" s="14">
        <f t="shared" si="16"/>
        <v>2.1198660175030248E-3</v>
      </c>
      <c r="BS73" s="14">
        <f t="shared" si="17"/>
        <v>3.7836661670131999E-3</v>
      </c>
      <c r="BT73" s="14">
        <f t="shared" si="18"/>
        <v>4.1980838406199261E-3</v>
      </c>
      <c r="BV73" s="749">
        <v>45268</v>
      </c>
      <c r="BW73">
        <f t="shared" si="19"/>
        <v>2.2123843204336002</v>
      </c>
      <c r="BX73">
        <f t="shared" si="20"/>
        <v>5.4219768190228823</v>
      </c>
    </row>
    <row r="74" spans="1:76" x14ac:dyDescent="0.3">
      <c r="A74" s="749">
        <v>45261</v>
      </c>
      <c r="B74">
        <v>132600</v>
      </c>
      <c r="C74">
        <v>3738.2649999999999</v>
      </c>
      <c r="D74">
        <v>72000</v>
      </c>
      <c r="E74">
        <v>75.930000000000007</v>
      </c>
      <c r="F74">
        <v>15997.58</v>
      </c>
      <c r="G74">
        <v>2521.86</v>
      </c>
      <c r="H74">
        <v>827.24</v>
      </c>
      <c r="I74">
        <v>334.8</v>
      </c>
      <c r="J74">
        <v>2312.96</v>
      </c>
      <c r="K74">
        <v>14320000</v>
      </c>
      <c r="L74">
        <v>4594.63</v>
      </c>
      <c r="M74" s="749">
        <v>45261</v>
      </c>
      <c r="N74">
        <v>1.0619469026548674</v>
      </c>
      <c r="O74">
        <v>1.1839285714285714</v>
      </c>
      <c r="P74">
        <v>1.0525367341280845</v>
      </c>
      <c r="Q74">
        <v>1.1165833522948561</v>
      </c>
      <c r="R74">
        <v>0.94255760497841568</v>
      </c>
      <c r="S74">
        <v>1.1981000339405563</v>
      </c>
      <c r="AO74" s="749">
        <v>45261</v>
      </c>
      <c r="AP74">
        <v>15997.58</v>
      </c>
      <c r="AQ74">
        <v>2521.86</v>
      </c>
      <c r="AR74">
        <f t="shared" si="11"/>
        <v>3.6760834597178178</v>
      </c>
      <c r="AS74">
        <f t="shared" si="12"/>
        <v>1.2866238788608513</v>
      </c>
      <c r="BF74" s="749">
        <v>45261</v>
      </c>
      <c r="BG74">
        <v>15997.58</v>
      </c>
      <c r="BH74">
        <v>132600</v>
      </c>
      <c r="BI74">
        <v>3738.2649999999999</v>
      </c>
      <c r="BJ74">
        <v>75.930000000000007</v>
      </c>
      <c r="BK74">
        <v>4594.63</v>
      </c>
      <c r="BL74">
        <v>827.24</v>
      </c>
      <c r="BM74">
        <v>2312.96</v>
      </c>
      <c r="BN74" s="14">
        <f t="shared" si="21"/>
        <v>9.7422038904992903E-4</v>
      </c>
      <c r="BO74" s="14">
        <f t="shared" si="13"/>
        <v>3.5937499999999956E-2</v>
      </c>
      <c r="BP74" s="14">
        <f t="shared" si="14"/>
        <v>-2.5774261758173544E-3</v>
      </c>
      <c r="BQ74" s="14">
        <f t="shared" si="15"/>
        <v>-1.2228437621959132E-2</v>
      </c>
      <c r="BR74" s="14">
        <f t="shared" si="16"/>
        <v>7.740155373365365E-3</v>
      </c>
      <c r="BS74" s="14">
        <f t="shared" si="17"/>
        <v>1.5018404907975569E-2</v>
      </c>
      <c r="BT74" s="14">
        <f t="shared" si="18"/>
        <v>2.1577310028684238E-3</v>
      </c>
      <c r="BV74" s="749">
        <v>45261</v>
      </c>
      <c r="BW74">
        <f t="shared" si="19"/>
        <v>2.207704283147061</v>
      </c>
      <c r="BX74">
        <f t="shared" si="20"/>
        <v>5.3703913872958591</v>
      </c>
    </row>
    <row r="75" spans="1:76" x14ac:dyDescent="0.3">
      <c r="A75" s="749">
        <v>45254</v>
      </c>
      <c r="B75">
        <v>128000</v>
      </c>
      <c r="C75">
        <v>3747.9250000000002</v>
      </c>
      <c r="D75">
        <v>71700</v>
      </c>
      <c r="E75">
        <v>76.87</v>
      </c>
      <c r="F75">
        <v>15982.01</v>
      </c>
      <c r="G75">
        <v>2516.4499999999998</v>
      </c>
      <c r="H75">
        <v>815</v>
      </c>
      <c r="I75">
        <v>334</v>
      </c>
      <c r="J75">
        <v>2307.98</v>
      </c>
      <c r="K75">
        <v>10340000</v>
      </c>
      <c r="L75">
        <v>4559.34</v>
      </c>
      <c r="M75" s="749">
        <v>45254</v>
      </c>
      <c r="N75">
        <v>1.0575221238938053</v>
      </c>
      <c r="O75">
        <v>1.1428571428571428</v>
      </c>
      <c r="P75">
        <v>1.0655669531466594</v>
      </c>
      <c r="Q75">
        <v>1.1154966127507981</v>
      </c>
      <c r="R75">
        <v>0.94053559081310367</v>
      </c>
      <c r="S75">
        <v>1.201196028025477</v>
      </c>
      <c r="AO75" s="749">
        <v>45254</v>
      </c>
      <c r="AP75">
        <v>15982.01</v>
      </c>
      <c r="AQ75">
        <v>2516.4499999999998</v>
      </c>
      <c r="AR75">
        <f t="shared" si="11"/>
        <v>3.6725056298543128</v>
      </c>
      <c r="AS75">
        <f t="shared" si="12"/>
        <v>1.2838637592726754</v>
      </c>
      <c r="BF75" s="749">
        <v>45254</v>
      </c>
      <c r="BG75">
        <v>15982.01</v>
      </c>
      <c r="BH75">
        <v>128000</v>
      </c>
      <c r="BI75">
        <v>3747.9250000000002</v>
      </c>
      <c r="BJ75">
        <v>76.87</v>
      </c>
      <c r="BK75">
        <v>4559.34</v>
      </c>
      <c r="BL75">
        <v>815</v>
      </c>
      <c r="BM75">
        <v>2307.98</v>
      </c>
      <c r="BN75" s="14">
        <f t="shared" si="21"/>
        <v>9.0933256050800271E-3</v>
      </c>
      <c r="BO75" s="14">
        <f t="shared" si="13"/>
        <v>-1.4626635873749017E-2</v>
      </c>
      <c r="BP75" s="14">
        <f t="shared" si="14"/>
        <v>-1.9340295839831434E-4</v>
      </c>
      <c r="BQ75" s="14">
        <f t="shared" si="15"/>
        <v>-8.8963383187209422E-3</v>
      </c>
      <c r="BR75" s="14">
        <f t="shared" si="16"/>
        <v>1.003983145843379E-2</v>
      </c>
      <c r="BS75" s="14">
        <f t="shared" si="17"/>
        <v>1.9948439416314301E-2</v>
      </c>
      <c r="BT75" s="14">
        <f t="shared" si="18"/>
        <v>5.9056061854143582E-3</v>
      </c>
      <c r="BV75" s="749">
        <v>45254</v>
      </c>
      <c r="BW75">
        <f t="shared" si="19"/>
        <v>2.1907475566745789</v>
      </c>
      <c r="BX75">
        <f t="shared" si="20"/>
        <v>5.3842689430072062</v>
      </c>
    </row>
    <row r="76" spans="1:76" x14ac:dyDescent="0.3">
      <c r="A76" s="749">
        <v>45247</v>
      </c>
      <c r="B76">
        <v>129900</v>
      </c>
      <c r="C76">
        <v>3748.65</v>
      </c>
      <c r="D76">
        <v>72500</v>
      </c>
      <c r="E76">
        <v>77.56</v>
      </c>
      <c r="F76">
        <v>15837.99</v>
      </c>
      <c r="G76">
        <v>2504.98</v>
      </c>
      <c r="H76">
        <v>799.06</v>
      </c>
      <c r="I76">
        <v>332.06</v>
      </c>
      <c r="J76">
        <v>2294.4299999999998</v>
      </c>
      <c r="K76">
        <v>13750000</v>
      </c>
      <c r="L76">
        <v>4514.0200000000004</v>
      </c>
      <c r="M76" s="749">
        <v>45247</v>
      </c>
      <c r="N76">
        <v>1.0693215339233038</v>
      </c>
      <c r="O76">
        <v>1.1598214285714286</v>
      </c>
      <c r="P76">
        <v>1.0751316883836983</v>
      </c>
      <c r="Q76">
        <v>1.1054444464608026</v>
      </c>
      <c r="R76">
        <v>0.93624862177869961</v>
      </c>
      <c r="S76">
        <v>1.201428387829987</v>
      </c>
      <c r="AO76" s="749">
        <v>45247</v>
      </c>
      <c r="AP76">
        <v>15837.99</v>
      </c>
      <c r="AQ76">
        <v>2504.98</v>
      </c>
      <c r="AR76">
        <f t="shared" si="11"/>
        <v>3.6394112780918237</v>
      </c>
      <c r="AS76">
        <f t="shared" si="12"/>
        <v>1.2780118975949717</v>
      </c>
      <c r="BF76" s="749">
        <v>45247</v>
      </c>
      <c r="BG76">
        <v>15837.99</v>
      </c>
      <c r="BH76">
        <v>129900</v>
      </c>
      <c r="BI76">
        <v>3748.65</v>
      </c>
      <c r="BJ76">
        <v>77.56</v>
      </c>
      <c r="BK76">
        <v>4514.0200000000004</v>
      </c>
      <c r="BL76">
        <v>799.06</v>
      </c>
      <c r="BM76">
        <v>2294.4299999999998</v>
      </c>
      <c r="BN76" s="14">
        <f t="shared" si="21"/>
        <v>1.9889729746437546E-2</v>
      </c>
      <c r="BO76" s="14">
        <f t="shared" si="13"/>
        <v>-4.5977011494252595E-3</v>
      </c>
      <c r="BP76" s="14">
        <f t="shared" si="14"/>
        <v>4.3686928166809524E-2</v>
      </c>
      <c r="BQ76" s="14">
        <f t="shared" si="15"/>
        <v>2.9193205944798351E-2</v>
      </c>
      <c r="BR76" s="14">
        <f t="shared" si="16"/>
        <v>2.2372509761643844E-2</v>
      </c>
      <c r="BS76" s="14">
        <f t="shared" si="17"/>
        <v>1.235256109766758E-2</v>
      </c>
      <c r="BT76" s="14">
        <f t="shared" si="18"/>
        <v>2.7339849644259617E-2</v>
      </c>
      <c r="BV76" s="749">
        <v>45247</v>
      </c>
      <c r="BW76">
        <f t="shared" si="19"/>
        <v>2.1689714488895726</v>
      </c>
      <c r="BX76">
        <f t="shared" si="20"/>
        <v>5.3853104779855423</v>
      </c>
    </row>
    <row r="77" spans="1:76" x14ac:dyDescent="0.3">
      <c r="A77" s="749">
        <v>45240</v>
      </c>
      <c r="B77">
        <v>130500</v>
      </c>
      <c r="C77">
        <v>3591.7379999999998</v>
      </c>
      <c r="D77">
        <v>70500</v>
      </c>
      <c r="E77">
        <v>75.36</v>
      </c>
      <c r="F77">
        <v>15529.12</v>
      </c>
      <c r="G77">
        <v>2440.14</v>
      </c>
      <c r="H77">
        <v>789.31</v>
      </c>
      <c r="I77">
        <v>323.75</v>
      </c>
      <c r="J77">
        <v>2233.37</v>
      </c>
      <c r="K77">
        <v>20080000</v>
      </c>
      <c r="L77">
        <v>4415.24</v>
      </c>
      <c r="M77" s="749">
        <v>45240</v>
      </c>
      <c r="N77">
        <v>1.0398230088495575</v>
      </c>
      <c r="O77">
        <v>1.1651785714285714</v>
      </c>
      <c r="P77">
        <v>1.0446354311061825</v>
      </c>
      <c r="Q77">
        <v>1.0838862420309257</v>
      </c>
      <c r="R77">
        <v>0.91201435218926941</v>
      </c>
      <c r="S77">
        <v>1.1511386752157982</v>
      </c>
      <c r="AO77" s="749">
        <v>45240</v>
      </c>
      <c r="AP77">
        <v>15529.12</v>
      </c>
      <c r="AQ77">
        <v>2440.14</v>
      </c>
      <c r="AR77">
        <f t="shared" si="11"/>
        <v>3.5684360494508018</v>
      </c>
      <c r="AS77">
        <f t="shared" si="12"/>
        <v>1.2449312776139505</v>
      </c>
      <c r="BF77" s="749">
        <v>45240</v>
      </c>
      <c r="BG77">
        <v>15529.12</v>
      </c>
      <c r="BH77">
        <v>130500</v>
      </c>
      <c r="BI77">
        <v>3591.7379999999998</v>
      </c>
      <c r="BJ77">
        <v>75.36</v>
      </c>
      <c r="BK77">
        <v>4415.24</v>
      </c>
      <c r="BL77">
        <v>789.31</v>
      </c>
      <c r="BM77">
        <v>2233.37</v>
      </c>
      <c r="BN77" s="14">
        <f t="shared" si="21"/>
        <v>2.8453278885578248E-2</v>
      </c>
      <c r="BO77" s="14">
        <f t="shared" si="13"/>
        <v>3.7360890302066796E-2</v>
      </c>
      <c r="BP77" s="14">
        <f t="shared" si="14"/>
        <v>3.9707448055703587E-2</v>
      </c>
      <c r="BQ77" s="14">
        <f t="shared" si="15"/>
        <v>3.8302562689446207E-2</v>
      </c>
      <c r="BR77" s="14">
        <f t="shared" si="16"/>
        <v>1.3055429360719906E-2</v>
      </c>
      <c r="BS77" s="14">
        <f t="shared" si="17"/>
        <v>9.2832939070390808E-3</v>
      </c>
      <c r="BT77" s="14">
        <f t="shared" si="18"/>
        <v>1.5588266055504674E-2</v>
      </c>
      <c r="BV77" s="749">
        <v>45240</v>
      </c>
      <c r="BW77">
        <f t="shared" si="19"/>
        <v>2.1215079906591452</v>
      </c>
      <c r="BX77">
        <f t="shared" si="20"/>
        <v>5.1598907034742734</v>
      </c>
    </row>
    <row r="78" spans="1:76" x14ac:dyDescent="0.3">
      <c r="A78" s="749">
        <v>45233</v>
      </c>
      <c r="B78">
        <v>125800</v>
      </c>
      <c r="C78">
        <v>3454.5659999999998</v>
      </c>
      <c r="D78">
        <v>69600</v>
      </c>
      <c r="E78">
        <v>72.58</v>
      </c>
      <c r="F78">
        <v>15099.49</v>
      </c>
      <c r="G78">
        <v>2399.9499999999998</v>
      </c>
      <c r="H78">
        <v>782.05</v>
      </c>
      <c r="I78">
        <v>318.24</v>
      </c>
      <c r="J78">
        <v>2199.09</v>
      </c>
      <c r="K78">
        <v>15210000</v>
      </c>
      <c r="L78">
        <v>4358.34</v>
      </c>
      <c r="M78" s="749">
        <v>45233</v>
      </c>
      <c r="N78">
        <v>1.0265486725663717</v>
      </c>
      <c r="O78">
        <v>1.1232142857142857</v>
      </c>
      <c r="P78">
        <v>1.0060992514555032</v>
      </c>
      <c r="Q78">
        <v>1.05389934991059</v>
      </c>
      <c r="R78">
        <v>0.89699314159705468</v>
      </c>
      <c r="S78">
        <v>1.1071755592099253</v>
      </c>
      <c r="AO78" s="749">
        <v>45233</v>
      </c>
      <c r="AP78">
        <v>15099.49</v>
      </c>
      <c r="AQ78">
        <v>2399.9499999999998</v>
      </c>
      <c r="AR78">
        <f t="shared" si="11"/>
        <v>3.4697113837952109</v>
      </c>
      <c r="AS78">
        <f t="shared" si="12"/>
        <v>1.2244268032611245</v>
      </c>
      <c r="BF78" s="749">
        <v>45233</v>
      </c>
      <c r="BG78">
        <v>15099.49</v>
      </c>
      <c r="BH78">
        <v>125800</v>
      </c>
      <c r="BI78">
        <v>3454.5659999999998</v>
      </c>
      <c r="BJ78">
        <v>72.58</v>
      </c>
      <c r="BK78">
        <v>4358.34</v>
      </c>
      <c r="BL78">
        <v>782.05</v>
      </c>
      <c r="BM78">
        <v>2199.09</v>
      </c>
      <c r="BN78" s="14">
        <f t="shared" si="21"/>
        <v>6.4812607807102962E-2</v>
      </c>
      <c r="BO78" s="14">
        <f t="shared" si="13"/>
        <v>5.6255247691015864E-2</v>
      </c>
      <c r="BP78" s="14">
        <f t="shared" si="14"/>
        <v>7.0488517064739131E-2</v>
      </c>
      <c r="BQ78" s="14">
        <f t="shared" si="15"/>
        <v>0.10555978674790545</v>
      </c>
      <c r="BR78" s="14">
        <f t="shared" si="16"/>
        <v>5.852522362576118E-2</v>
      </c>
      <c r="BS78" s="14">
        <f t="shared" si="17"/>
        <v>4.4836938369249957E-2</v>
      </c>
      <c r="BT78" s="14">
        <f t="shared" si="18"/>
        <v>3.09410292111445E-2</v>
      </c>
      <c r="BV78" s="749">
        <v>45233</v>
      </c>
      <c r="BW78">
        <f t="shared" si="19"/>
        <v>2.0941677317675551</v>
      </c>
      <c r="BX78">
        <f t="shared" si="20"/>
        <v>4.9628294123731482</v>
      </c>
    </row>
    <row r="79" spans="1:76" x14ac:dyDescent="0.3">
      <c r="A79" s="749">
        <v>45226</v>
      </c>
      <c r="B79">
        <v>119100</v>
      </c>
      <c r="C79">
        <v>3227.0929999999998</v>
      </c>
      <c r="D79">
        <v>67300</v>
      </c>
      <c r="E79">
        <v>65.650000000000006</v>
      </c>
      <c r="F79">
        <v>14180.42</v>
      </c>
      <c r="G79">
        <v>2326.35</v>
      </c>
      <c r="H79">
        <v>748.49</v>
      </c>
      <c r="I79">
        <v>308.52999999999997</v>
      </c>
      <c r="J79">
        <v>2133.09</v>
      </c>
      <c r="K79">
        <v>19730000</v>
      </c>
      <c r="L79">
        <v>4117.37</v>
      </c>
      <c r="M79" s="749">
        <v>45226</v>
      </c>
      <c r="N79">
        <v>0.99262536873156337</v>
      </c>
      <c r="O79">
        <v>1.0633928571428573</v>
      </c>
      <c r="P79">
        <v>0.91003604103132807</v>
      </c>
      <c r="Q79">
        <v>0.98975100612399025</v>
      </c>
      <c r="R79">
        <v>0.86948477883052078</v>
      </c>
      <c r="S79">
        <v>1.0342713084356865</v>
      </c>
      <c r="AO79" s="749">
        <v>45226</v>
      </c>
      <c r="AP79">
        <v>14180.42</v>
      </c>
      <c r="AQ79">
        <v>2326.35</v>
      </c>
      <c r="AR79">
        <f t="shared" si="11"/>
        <v>3.2585183142607654</v>
      </c>
      <c r="AS79">
        <f t="shared" si="12"/>
        <v>1.186876932338806</v>
      </c>
      <c r="BF79" s="749">
        <v>45226</v>
      </c>
      <c r="BG79">
        <v>14180.42</v>
      </c>
      <c r="BH79">
        <v>119100</v>
      </c>
      <c r="BI79">
        <v>3227.0929999999998</v>
      </c>
      <c r="BJ79">
        <v>65.650000000000006</v>
      </c>
      <c r="BK79">
        <v>4117.37</v>
      </c>
      <c r="BL79">
        <v>748.49</v>
      </c>
      <c r="BM79">
        <v>2133.09</v>
      </c>
      <c r="BN79" s="14">
        <f t="shared" si="21"/>
        <v>-2.6128915285339893E-2</v>
      </c>
      <c r="BO79" s="14">
        <f t="shared" si="13"/>
        <v>-5.6259904912836722E-2</v>
      </c>
      <c r="BP79" s="14">
        <f t="shared" si="14"/>
        <v>-2.6852899198194558E-2</v>
      </c>
      <c r="BQ79" s="14">
        <f t="shared" si="15"/>
        <v>-2.3356144004760382E-2</v>
      </c>
      <c r="BR79" s="14">
        <f t="shared" si="16"/>
        <v>-2.5280765880080325E-2</v>
      </c>
      <c r="BS79" s="14">
        <f t="shared" si="17"/>
        <v>-2.6987325316867095E-2</v>
      </c>
      <c r="BT79" s="14">
        <f t="shared" si="18"/>
        <v>-3.3204160717927644E-2</v>
      </c>
      <c r="BV79" s="749">
        <v>45226</v>
      </c>
      <c r="BW79">
        <f t="shared" si="19"/>
        <v>1.9783824561066319</v>
      </c>
      <c r="BX79">
        <f t="shared" si="20"/>
        <v>4.6360417073703326</v>
      </c>
    </row>
    <row r="80" spans="1:76" x14ac:dyDescent="0.3">
      <c r="A80" s="749">
        <v>45219</v>
      </c>
      <c r="B80">
        <v>126200</v>
      </c>
      <c r="C80">
        <v>3316.1410000000001</v>
      </c>
      <c r="D80">
        <v>68800</v>
      </c>
      <c r="E80">
        <v>67.22</v>
      </c>
      <c r="F80">
        <v>14560.88</v>
      </c>
      <c r="G80">
        <v>2400.13</v>
      </c>
      <c r="H80">
        <v>769.25</v>
      </c>
      <c r="I80">
        <v>317.95999999999998</v>
      </c>
      <c r="J80">
        <v>2206.35</v>
      </c>
      <c r="K80">
        <v>23140000</v>
      </c>
      <c r="L80">
        <v>4224.16</v>
      </c>
      <c r="M80" s="749">
        <v>45219</v>
      </c>
      <c r="N80">
        <v>1.0147492625368733</v>
      </c>
      <c r="O80">
        <v>1.1267857142857143</v>
      </c>
      <c r="P80">
        <v>0.93179927917937344</v>
      </c>
      <c r="Q80">
        <v>1.0163059789520117</v>
      </c>
      <c r="R80">
        <v>0.89706041748425558</v>
      </c>
      <c r="S80">
        <v>1.0628108613626028</v>
      </c>
      <c r="AO80" s="749">
        <v>45219</v>
      </c>
      <c r="AP80">
        <v>14560.88</v>
      </c>
      <c r="AQ80">
        <v>2400.13</v>
      </c>
      <c r="AR80">
        <f t="shared" si="11"/>
        <v>3.3459442069948064</v>
      </c>
      <c r="AS80">
        <f t="shared" si="12"/>
        <v>1.224518637184576</v>
      </c>
      <c r="BF80" s="749">
        <v>45219</v>
      </c>
      <c r="BG80">
        <v>14560.88</v>
      </c>
      <c r="BH80">
        <v>126200</v>
      </c>
      <c r="BI80">
        <v>3316.1410000000001</v>
      </c>
      <c r="BJ80">
        <v>67.22</v>
      </c>
      <c r="BK80">
        <v>4224.16</v>
      </c>
      <c r="BL80">
        <v>769.25</v>
      </c>
      <c r="BM80">
        <v>2206.35</v>
      </c>
      <c r="BN80" s="14">
        <f t="shared" si="21"/>
        <v>-2.8958754581490664E-2</v>
      </c>
      <c r="BO80" s="14">
        <f t="shared" si="13"/>
        <v>1.2028869286287103E-2</v>
      </c>
      <c r="BP80" s="14">
        <f t="shared" si="14"/>
        <v>-3.9626466491165524E-2</v>
      </c>
      <c r="BQ80" s="14">
        <f t="shared" si="15"/>
        <v>-2.8753070365554079E-2</v>
      </c>
      <c r="BR80" s="14">
        <f t="shared" si="16"/>
        <v>-2.3942991556872073E-2</v>
      </c>
      <c r="BS80" s="14">
        <f t="shared" si="17"/>
        <v>-6.505991881183304E-2</v>
      </c>
      <c r="BT80" s="14">
        <f t="shared" si="18"/>
        <v>-2.1695753964031228E-2</v>
      </c>
      <c r="BV80" s="749">
        <v>45219</v>
      </c>
      <c r="BW80">
        <f t="shared" si="19"/>
        <v>2.0296946924340999</v>
      </c>
      <c r="BX80">
        <f t="shared" si="20"/>
        <v>4.7639680615094644</v>
      </c>
    </row>
    <row r="81" spans="1:76" x14ac:dyDescent="0.3">
      <c r="A81" s="749">
        <v>45212</v>
      </c>
      <c r="B81">
        <v>124700</v>
      </c>
      <c r="C81">
        <v>3452.97</v>
      </c>
      <c r="D81">
        <v>68000</v>
      </c>
      <c r="E81">
        <v>69.209999999999994</v>
      </c>
      <c r="F81">
        <v>14995.12</v>
      </c>
      <c r="G81">
        <v>2456.9</v>
      </c>
      <c r="H81">
        <v>822.78</v>
      </c>
      <c r="I81">
        <v>325.77</v>
      </c>
      <c r="J81">
        <v>2255.2800000000002</v>
      </c>
      <c r="K81">
        <v>17100000</v>
      </c>
      <c r="L81">
        <v>4327.78</v>
      </c>
      <c r="M81" s="749">
        <v>45212</v>
      </c>
      <c r="N81">
        <v>1.0029498525073746</v>
      </c>
      <c r="O81">
        <v>1.1133928571428571</v>
      </c>
      <c r="P81">
        <v>0.95938453008039914</v>
      </c>
      <c r="Q81">
        <v>1.0466146353175694</v>
      </c>
      <c r="R81">
        <v>0.91827848479751828</v>
      </c>
      <c r="S81">
        <v>1.106664047143721</v>
      </c>
      <c r="AO81" s="749">
        <v>45212</v>
      </c>
      <c r="AP81">
        <v>14995.12</v>
      </c>
      <c r="AQ81">
        <v>2456.9</v>
      </c>
      <c r="AR81">
        <f t="shared" si="11"/>
        <v>3.445728204421159</v>
      </c>
      <c r="AS81">
        <f t="shared" si="12"/>
        <v>1.2534820362641961</v>
      </c>
      <c r="BF81" s="749">
        <v>45212</v>
      </c>
      <c r="BG81">
        <v>14995.12</v>
      </c>
      <c r="BH81">
        <v>124700</v>
      </c>
      <c r="BI81">
        <v>3452.97</v>
      </c>
      <c r="BJ81">
        <v>69.209999999999994</v>
      </c>
      <c r="BK81">
        <v>4327.78</v>
      </c>
      <c r="BL81">
        <v>822.78</v>
      </c>
      <c r="BM81">
        <v>2255.2800000000002</v>
      </c>
      <c r="BN81" s="14">
        <f t="shared" si="21"/>
        <v>1.4612735787311593E-3</v>
      </c>
      <c r="BO81" s="14">
        <f t="shared" si="13"/>
        <v>3.5714285714285809E-2</v>
      </c>
      <c r="BP81" s="14">
        <f t="shared" si="14"/>
        <v>-6.4004709927133474E-3</v>
      </c>
      <c r="BQ81" s="14">
        <f t="shared" si="15"/>
        <v>-1.0720411663807883E-2</v>
      </c>
      <c r="BR81" s="14">
        <f t="shared" si="16"/>
        <v>4.4748752466055031E-3</v>
      </c>
      <c r="BS81" s="14">
        <f t="shared" si="17"/>
        <v>7.8271414397530492E-3</v>
      </c>
      <c r="BT81" s="14">
        <f t="shared" si="18"/>
        <v>2.3866055903863925E-2</v>
      </c>
      <c r="BV81" s="749">
        <v>45212</v>
      </c>
      <c r="BW81">
        <f t="shared" si="19"/>
        <v>2.0794837544085567</v>
      </c>
      <c r="BX81">
        <f t="shared" si="20"/>
        <v>4.9605365988208385</v>
      </c>
    </row>
    <row r="82" spans="1:76" x14ac:dyDescent="0.3">
      <c r="A82" s="749">
        <v>45205</v>
      </c>
      <c r="B82">
        <v>120400</v>
      </c>
      <c r="C82">
        <v>3475.2130000000002</v>
      </c>
      <c r="D82">
        <v>66000</v>
      </c>
      <c r="E82">
        <v>69.959999999999994</v>
      </c>
      <c r="F82">
        <v>14973.24</v>
      </c>
      <c r="G82">
        <v>2403.1999999999998</v>
      </c>
      <c r="H82">
        <v>816.39</v>
      </c>
      <c r="I82">
        <v>318.94</v>
      </c>
      <c r="J82">
        <v>2202.71</v>
      </c>
      <c r="K82">
        <v>14720000</v>
      </c>
      <c r="L82">
        <v>4308.5</v>
      </c>
      <c r="M82" s="749">
        <v>45205</v>
      </c>
      <c r="N82">
        <v>0.97345132743362828</v>
      </c>
      <c r="O82">
        <v>1.075</v>
      </c>
      <c r="P82">
        <v>0.96978098142500679</v>
      </c>
      <c r="Q82">
        <v>1.0450874766005502</v>
      </c>
      <c r="R82">
        <v>0.8982078451159573</v>
      </c>
      <c r="S82">
        <v>1.1137928459460906</v>
      </c>
      <c r="AO82" s="749">
        <v>45205</v>
      </c>
      <c r="AP82">
        <v>14973.24</v>
      </c>
      <c r="AQ82">
        <v>2403.1999999999998</v>
      </c>
      <c r="AR82">
        <f t="shared" si="11"/>
        <v>3.4407003998345509</v>
      </c>
      <c r="AS82">
        <f t="shared" si="12"/>
        <v>1.2260849157678846</v>
      </c>
      <c r="BF82" s="749">
        <v>45205</v>
      </c>
      <c r="BG82">
        <v>14973.24</v>
      </c>
      <c r="BH82">
        <v>120400</v>
      </c>
      <c r="BI82">
        <v>3475.2130000000002</v>
      </c>
      <c r="BJ82">
        <v>69.959999999999994</v>
      </c>
      <c r="BK82">
        <v>4308.5</v>
      </c>
      <c r="BL82">
        <v>816.39</v>
      </c>
      <c r="BM82">
        <v>2202.71</v>
      </c>
      <c r="BN82" s="14">
        <f t="shared" si="21"/>
        <v>1.7532843501023354E-2</v>
      </c>
      <c r="BO82" s="14">
        <f t="shared" si="13"/>
        <v>4.9694856146468958E-2</v>
      </c>
      <c r="BP82" s="14">
        <f t="shared" si="14"/>
        <v>1.1914821503342665E-2</v>
      </c>
      <c r="BQ82" s="14">
        <f t="shared" si="15"/>
        <v>2.8369836836689588E-2</v>
      </c>
      <c r="BR82" s="14">
        <f t="shared" si="16"/>
        <v>4.7690675248655001E-3</v>
      </c>
      <c r="BS82" s="14">
        <f t="shared" si="17"/>
        <v>-2.9285867161304102E-2</v>
      </c>
      <c r="BT82" s="14">
        <f t="shared" si="18"/>
        <v>-2.0586835985611507E-2</v>
      </c>
      <c r="BV82" s="749">
        <v>45205</v>
      </c>
      <c r="BW82">
        <f t="shared" si="19"/>
        <v>2.070219779163744</v>
      </c>
      <c r="BX82">
        <f t="shared" si="20"/>
        <v>4.9924908919561899</v>
      </c>
    </row>
    <row r="83" spans="1:76" x14ac:dyDescent="0.3">
      <c r="A83" s="749">
        <v>45198</v>
      </c>
      <c r="B83">
        <v>114700</v>
      </c>
      <c r="C83">
        <v>3434.2939999999999</v>
      </c>
      <c r="D83">
        <v>68400</v>
      </c>
      <c r="E83">
        <v>68.03</v>
      </c>
      <c r="F83">
        <v>14715.24</v>
      </c>
      <c r="G83">
        <v>2459.9299999999998</v>
      </c>
      <c r="H83">
        <v>841.02</v>
      </c>
      <c r="I83">
        <v>326.70999999999998</v>
      </c>
      <c r="J83">
        <v>2249.0100000000002</v>
      </c>
      <c r="K83">
        <v>8480000</v>
      </c>
      <c r="L83">
        <v>4288.05</v>
      </c>
      <c r="M83" s="749">
        <v>45198</v>
      </c>
      <c r="N83">
        <v>1.0088495575221239</v>
      </c>
      <c r="O83">
        <v>1.0241071428571429</v>
      </c>
      <c r="P83">
        <v>0.9430274466315498</v>
      </c>
      <c r="Q83">
        <v>1.0270798463907265</v>
      </c>
      <c r="R83">
        <v>0.91941096223206431</v>
      </c>
      <c r="S83">
        <v>1.1006784585795413</v>
      </c>
      <c r="AO83" s="749">
        <v>45198</v>
      </c>
      <c r="AP83">
        <v>14715.24</v>
      </c>
      <c r="AQ83">
        <v>2459.9299999999998</v>
      </c>
      <c r="AR83">
        <f t="shared" si="11"/>
        <v>3.3814145870674204</v>
      </c>
      <c r="AS83">
        <f t="shared" si="12"/>
        <v>1.2550279073089599</v>
      </c>
      <c r="BF83" s="749">
        <v>45198</v>
      </c>
      <c r="BG83">
        <v>14715.24</v>
      </c>
      <c r="BH83">
        <v>114700</v>
      </c>
      <c r="BI83">
        <v>3434.2939999999999</v>
      </c>
      <c r="BJ83">
        <v>68.03</v>
      </c>
      <c r="BK83">
        <v>4288.05</v>
      </c>
      <c r="BL83">
        <v>841.02</v>
      </c>
      <c r="BM83">
        <v>2249.0100000000002</v>
      </c>
      <c r="BN83" s="14">
        <f t="shared" si="21"/>
        <v>9.6183278802253191E-4</v>
      </c>
      <c r="BO83" s="14">
        <f t="shared" si="13"/>
        <v>-2.2165387894288124E-2</v>
      </c>
      <c r="BP83" s="14">
        <f t="shared" si="14"/>
        <v>2.0504925431366949E-2</v>
      </c>
      <c r="BQ83" s="14">
        <f t="shared" si="15"/>
        <v>-1.2340301974448242E-2</v>
      </c>
      <c r="BR83" s="14">
        <f t="shared" si="16"/>
        <v>-7.4096193108429409E-3</v>
      </c>
      <c r="BS83" s="14">
        <f t="shared" si="17"/>
        <v>-1.9047063626290384E-2</v>
      </c>
      <c r="BT83" s="14">
        <f t="shared" si="18"/>
        <v>-1.7758017530910553E-2</v>
      </c>
      <c r="BV83" s="749">
        <v>45198</v>
      </c>
      <c r="BW83">
        <f t="shared" si="19"/>
        <v>2.0603936228485766</v>
      </c>
      <c r="BX83">
        <f t="shared" si="20"/>
        <v>4.9337066577789015</v>
      </c>
    </row>
    <row r="84" spans="1:76" x14ac:dyDescent="0.3">
      <c r="A84" s="749">
        <v>45191</v>
      </c>
      <c r="B84">
        <v>117300</v>
      </c>
      <c r="C84">
        <v>3365.2890000000002</v>
      </c>
      <c r="D84">
        <v>68800</v>
      </c>
      <c r="E84">
        <v>68.88</v>
      </c>
      <c r="F84">
        <v>14701.1</v>
      </c>
      <c r="G84">
        <v>2500.7199999999998</v>
      </c>
      <c r="H84">
        <v>857.35</v>
      </c>
      <c r="I84">
        <v>332.02</v>
      </c>
      <c r="J84">
        <v>2289.67</v>
      </c>
      <c r="K84">
        <v>12600000</v>
      </c>
      <c r="L84">
        <v>4320.0600000000004</v>
      </c>
      <c r="M84" s="749">
        <v>45191</v>
      </c>
      <c r="N84">
        <v>1.0147492625368733</v>
      </c>
      <c r="O84">
        <v>1.0473214285714285</v>
      </c>
      <c r="P84">
        <v>0.95481009148877172</v>
      </c>
      <c r="Q84">
        <v>1.0260929165800021</v>
      </c>
      <c r="R84">
        <v>0.9346564257816149</v>
      </c>
      <c r="S84">
        <v>1.0785626126344121</v>
      </c>
      <c r="AO84" s="749">
        <v>45191</v>
      </c>
      <c r="AP84">
        <v>14701.1</v>
      </c>
      <c r="AQ84">
        <v>2500.7199999999998</v>
      </c>
      <c r="AR84">
        <f t="shared" si="11"/>
        <v>3.3781653568638266</v>
      </c>
      <c r="AS84">
        <f t="shared" si="12"/>
        <v>1.2758384947399568</v>
      </c>
      <c r="BF84" s="749">
        <v>45191</v>
      </c>
      <c r="BG84">
        <v>14701.1</v>
      </c>
      <c r="BH84">
        <v>117300</v>
      </c>
      <c r="BI84">
        <v>3365.2890000000002</v>
      </c>
      <c r="BJ84">
        <v>68.88</v>
      </c>
      <c r="BK84">
        <v>4320.0600000000004</v>
      </c>
      <c r="BL84">
        <v>857.35</v>
      </c>
      <c r="BM84">
        <v>2289.67</v>
      </c>
      <c r="BN84" s="14">
        <f t="shared" si="21"/>
        <v>-3.2975056570015204E-2</v>
      </c>
      <c r="BO84" s="14">
        <f t="shared" si="13"/>
        <v>-4.166666666666663E-2</v>
      </c>
      <c r="BP84" s="14">
        <f t="shared" si="14"/>
        <v>-3.1959841145738799E-2</v>
      </c>
      <c r="BQ84" s="14">
        <f t="shared" si="15"/>
        <v>-1.4310246136233551E-2</v>
      </c>
      <c r="BR84" s="14">
        <f t="shared" si="16"/>
        <v>-2.9269805317370334E-2</v>
      </c>
      <c r="BS84" s="14">
        <f t="shared" si="17"/>
        <v>-4.636107805078804E-2</v>
      </c>
      <c r="BT84" s="14">
        <f t="shared" si="18"/>
        <v>-3.9845849984693982E-2</v>
      </c>
      <c r="BV84" s="749">
        <v>45191</v>
      </c>
      <c r="BW84">
        <f t="shared" si="19"/>
        <v>2.075774320337501</v>
      </c>
      <c r="BX84">
        <f t="shared" si="20"/>
        <v>4.8345740768408598</v>
      </c>
    </row>
    <row r="85" spans="1:76" x14ac:dyDescent="0.3">
      <c r="A85" s="749">
        <v>45184</v>
      </c>
      <c r="B85">
        <v>122400</v>
      </c>
      <c r="C85">
        <v>3476.3939999999998</v>
      </c>
      <c r="D85">
        <v>72000</v>
      </c>
      <c r="E85">
        <v>69.88</v>
      </c>
      <c r="F85">
        <v>15202.4</v>
      </c>
      <c r="G85">
        <v>2600.77</v>
      </c>
      <c r="H85">
        <v>899.03</v>
      </c>
      <c r="I85">
        <v>344.98</v>
      </c>
      <c r="J85">
        <v>2384.69</v>
      </c>
      <c r="K85">
        <v>16680000</v>
      </c>
      <c r="L85">
        <v>4450.32</v>
      </c>
      <c r="M85" s="749">
        <v>45184</v>
      </c>
      <c r="N85">
        <v>1.0619469026548674</v>
      </c>
      <c r="O85">
        <v>1.0928571428571427</v>
      </c>
      <c r="P85">
        <v>0.96867202661491536</v>
      </c>
      <c r="Q85">
        <v>1.0610821608597876</v>
      </c>
      <c r="R85">
        <v>0.97205060641737207</v>
      </c>
      <c r="S85">
        <v>1.1141713520552303</v>
      </c>
      <c r="AO85" s="749">
        <v>45184</v>
      </c>
      <c r="AP85">
        <v>15202.4</v>
      </c>
      <c r="AQ85">
        <v>2600.77</v>
      </c>
      <c r="AR85">
        <f t="shared" si="11"/>
        <v>3.4933590698101931</v>
      </c>
      <c r="AS85">
        <f t="shared" si="12"/>
        <v>1.3268828505249839</v>
      </c>
      <c r="BF85" s="749">
        <v>45184</v>
      </c>
      <c r="BG85">
        <v>15202.4</v>
      </c>
      <c r="BH85">
        <v>122400</v>
      </c>
      <c r="BI85">
        <v>3476.3939999999998</v>
      </c>
      <c r="BJ85">
        <v>69.88</v>
      </c>
      <c r="BK85">
        <v>4450.32</v>
      </c>
      <c r="BL85">
        <v>899.03</v>
      </c>
      <c r="BM85">
        <v>2384.69</v>
      </c>
      <c r="BN85" s="14">
        <f t="shared" si="21"/>
        <v>-5.093509718112843E-3</v>
      </c>
      <c r="BO85" s="14">
        <f t="shared" si="13"/>
        <v>7.6517150395778444E-2</v>
      </c>
      <c r="BP85" s="14">
        <f t="shared" si="14"/>
        <v>-2.5125960707157891E-2</v>
      </c>
      <c r="BQ85" s="14">
        <f t="shared" si="15"/>
        <v>-4.274722143060905E-3</v>
      </c>
      <c r="BR85" s="14">
        <f t="shared" si="16"/>
        <v>-1.6085285665251581E-3</v>
      </c>
      <c r="BS85" s="14">
        <f t="shared" si="17"/>
        <v>-1.6572228663939259E-2</v>
      </c>
      <c r="BT85" s="14">
        <f t="shared" si="18"/>
        <v>2.7852607895451298E-2</v>
      </c>
      <c r="BV85" s="749">
        <v>45184</v>
      </c>
      <c r="BW85">
        <f t="shared" si="19"/>
        <v>2.1383638128369484</v>
      </c>
      <c r="BX85">
        <f t="shared" si="20"/>
        <v>4.9941875165209</v>
      </c>
    </row>
    <row r="86" spans="1:76" x14ac:dyDescent="0.3">
      <c r="A86" s="749">
        <v>45177</v>
      </c>
      <c r="B86">
        <v>113700</v>
      </c>
      <c r="C86">
        <v>3565.9929999999999</v>
      </c>
      <c r="D86">
        <v>70300</v>
      </c>
      <c r="E86">
        <v>70.180000000000007</v>
      </c>
      <c r="F86">
        <v>15280.23</v>
      </c>
      <c r="G86">
        <v>2534.4299999999998</v>
      </c>
      <c r="H86">
        <v>914.18</v>
      </c>
      <c r="I86">
        <v>336.4</v>
      </c>
      <c r="J86">
        <v>2320.0700000000002</v>
      </c>
      <c r="K86">
        <v>14790000</v>
      </c>
      <c r="L86">
        <v>4457.49</v>
      </c>
      <c r="M86" s="749">
        <v>45177</v>
      </c>
      <c r="N86">
        <v>1.0368731563421829</v>
      </c>
      <c r="O86">
        <v>1.0151785714285715</v>
      </c>
      <c r="P86">
        <v>0.9728306071527586</v>
      </c>
      <c r="Q86">
        <v>1.0665144626397511</v>
      </c>
      <c r="R86">
        <v>0.94725570443460205</v>
      </c>
      <c r="S86">
        <v>1.1428874984335744</v>
      </c>
      <c r="AO86" s="749">
        <v>45177</v>
      </c>
      <c r="AP86">
        <v>15280.23</v>
      </c>
      <c r="AQ86">
        <v>2534.4299999999998</v>
      </c>
      <c r="AR86">
        <f t="shared" si="11"/>
        <v>3.5112436233282778</v>
      </c>
      <c r="AS86">
        <f t="shared" si="12"/>
        <v>1.2930369478485353</v>
      </c>
      <c r="BF86" s="749">
        <v>45177</v>
      </c>
      <c r="BG86">
        <v>15280.23</v>
      </c>
      <c r="BH86">
        <v>113700</v>
      </c>
      <c r="BI86">
        <v>3565.9929999999999</v>
      </c>
      <c r="BJ86">
        <v>70.180000000000007</v>
      </c>
      <c r="BK86">
        <v>4457.49</v>
      </c>
      <c r="BL86">
        <v>914.18</v>
      </c>
      <c r="BM86">
        <v>2320.0700000000002</v>
      </c>
      <c r="BN86" s="14">
        <f t="shared" si="21"/>
        <v>-1.3597050131496924E-2</v>
      </c>
      <c r="BO86" s="14">
        <f t="shared" si="13"/>
        <v>-5.2499999999999991E-2</v>
      </c>
      <c r="BP86" s="14">
        <f t="shared" si="14"/>
        <v>-3.1726365225060227E-2</v>
      </c>
      <c r="BQ86" s="14">
        <f t="shared" si="15"/>
        <v>-2.9833783207841025E-3</v>
      </c>
      <c r="BR86" s="14">
        <f t="shared" si="16"/>
        <v>-1.290588316056851E-2</v>
      </c>
      <c r="BS86" s="14">
        <f t="shared" si="17"/>
        <v>-6.0451866831930934E-3</v>
      </c>
      <c r="BT86" s="14">
        <f t="shared" si="18"/>
        <v>-7.2018486028498918E-3</v>
      </c>
      <c r="BV86" s="749">
        <v>45177</v>
      </c>
      <c r="BW86">
        <f t="shared" si="19"/>
        <v>2.1418089737552735</v>
      </c>
      <c r="BX86">
        <f t="shared" si="20"/>
        <v>5.122905437243567</v>
      </c>
    </row>
    <row r="87" spans="1:76" x14ac:dyDescent="0.3">
      <c r="A87" s="749">
        <v>45170</v>
      </c>
      <c r="B87">
        <v>120000</v>
      </c>
      <c r="C87">
        <v>3682.8359999999998</v>
      </c>
      <c r="D87">
        <v>71000</v>
      </c>
      <c r="E87">
        <v>70.39</v>
      </c>
      <c r="F87">
        <v>15490.86</v>
      </c>
      <c r="G87">
        <v>2550.1999999999998</v>
      </c>
      <c r="H87">
        <v>919.74</v>
      </c>
      <c r="I87">
        <v>338.28</v>
      </c>
      <c r="J87">
        <v>2336.9</v>
      </c>
      <c r="K87">
        <v>14350000</v>
      </c>
      <c r="L87">
        <v>4515.7700000000004</v>
      </c>
      <c r="M87" s="749">
        <v>45170</v>
      </c>
      <c r="N87">
        <v>1.0471976401179941</v>
      </c>
      <c r="O87">
        <v>1.0714285714285714</v>
      </c>
      <c r="P87">
        <v>0.97574161352924871</v>
      </c>
      <c r="Q87">
        <v>1.0812158081866317</v>
      </c>
      <c r="R87">
        <v>0.95314981966324663</v>
      </c>
      <c r="S87">
        <v>1.1803352455209843</v>
      </c>
      <c r="AO87" s="749">
        <v>45170</v>
      </c>
      <c r="AP87">
        <v>15490.86</v>
      </c>
      <c r="AQ87">
        <v>2550.1999999999998</v>
      </c>
      <c r="AR87">
        <f t="shared" si="11"/>
        <v>3.5596442851233974</v>
      </c>
      <c r="AS87">
        <f t="shared" si="12"/>
        <v>1.3010826199197982</v>
      </c>
      <c r="BF87" s="749">
        <v>45170</v>
      </c>
      <c r="BG87">
        <v>15490.86</v>
      </c>
      <c r="BH87">
        <v>120000</v>
      </c>
      <c r="BI87">
        <v>3682.8359999999998</v>
      </c>
      <c r="BJ87">
        <v>70.39</v>
      </c>
      <c r="BK87">
        <v>4515.7700000000004</v>
      </c>
      <c r="BL87">
        <v>919.74</v>
      </c>
      <c r="BM87">
        <v>2336.9</v>
      </c>
      <c r="BN87" s="14">
        <f t="shared" si="21"/>
        <v>3.6744495152200241E-2</v>
      </c>
      <c r="BO87" s="14">
        <f t="shared" si="13"/>
        <v>3.0042918454935563E-2</v>
      </c>
      <c r="BP87" s="14">
        <f t="shared" si="14"/>
        <v>5.3548568520466411E-2</v>
      </c>
      <c r="BQ87" s="14">
        <f t="shared" si="15"/>
        <v>0.10467671060891393</v>
      </c>
      <c r="BR87" s="14">
        <f t="shared" si="16"/>
        <v>2.4981217556307778E-2</v>
      </c>
      <c r="BS87" s="14">
        <f t="shared" si="17"/>
        <v>2.2637817162934448E-2</v>
      </c>
      <c r="BT87" s="14">
        <f t="shared" si="18"/>
        <v>2.4098233497377386E-2</v>
      </c>
      <c r="BV87" s="749">
        <v>45170</v>
      </c>
      <c r="BW87">
        <f t="shared" si="19"/>
        <v>2.1698123180118976</v>
      </c>
      <c r="BX87">
        <f t="shared" si="20"/>
        <v>5.2907620875521486</v>
      </c>
    </row>
    <row r="88" spans="1:76" x14ac:dyDescent="0.3">
      <c r="A88" s="749">
        <v>45163</v>
      </c>
      <c r="B88">
        <v>116500</v>
      </c>
      <c r="C88">
        <v>3495.6489999999999</v>
      </c>
      <c r="D88">
        <v>67100</v>
      </c>
      <c r="E88">
        <v>63.72</v>
      </c>
      <c r="F88">
        <v>14941.83</v>
      </c>
      <c r="G88">
        <v>2489.33</v>
      </c>
      <c r="H88">
        <v>899.38</v>
      </c>
      <c r="I88">
        <v>330.25</v>
      </c>
      <c r="J88">
        <v>2281.91</v>
      </c>
      <c r="K88">
        <v>18450000</v>
      </c>
      <c r="L88">
        <v>4405.71</v>
      </c>
      <c r="M88" s="749">
        <v>45163</v>
      </c>
      <c r="N88">
        <v>0.98967551622418881</v>
      </c>
      <c r="O88">
        <v>1.0401785714285714</v>
      </c>
      <c r="P88">
        <v>0.88328250623787075</v>
      </c>
      <c r="Q88">
        <v>1.0428951523180288</v>
      </c>
      <c r="R88">
        <v>0.93039935714152222</v>
      </c>
      <c r="S88">
        <v>1.1203425079667362</v>
      </c>
      <c r="AO88" s="749">
        <v>45163</v>
      </c>
      <c r="AP88">
        <v>14941.83</v>
      </c>
      <c r="AQ88">
        <v>2489.33</v>
      </c>
      <c r="AR88">
        <f t="shared" si="11"/>
        <v>3.4334826968151106</v>
      </c>
      <c r="AS88">
        <f t="shared" si="12"/>
        <v>1.2700274481393428</v>
      </c>
      <c r="BF88" s="749">
        <v>45163</v>
      </c>
      <c r="BG88">
        <v>14941.83</v>
      </c>
      <c r="BH88">
        <v>116500</v>
      </c>
      <c r="BI88">
        <v>3495.6489999999999</v>
      </c>
      <c r="BJ88">
        <v>63.72</v>
      </c>
      <c r="BK88">
        <v>4405.71</v>
      </c>
      <c r="BL88">
        <v>899.38</v>
      </c>
      <c r="BM88">
        <v>2281.91</v>
      </c>
      <c r="BN88" s="14">
        <f t="shared" si="21"/>
        <v>1.6807940746547789E-2</v>
      </c>
      <c r="BO88" s="14">
        <f t="shared" si="13"/>
        <v>-5.9726962457338217E-3</v>
      </c>
      <c r="BP88" s="14">
        <f t="shared" si="14"/>
        <v>9.5049117229843993E-3</v>
      </c>
      <c r="BQ88" s="14">
        <f t="shared" si="15"/>
        <v>2.0443465953765561E-3</v>
      </c>
      <c r="BR88" s="14">
        <f t="shared" si="16"/>
        <v>8.2385329918919226E-3</v>
      </c>
      <c r="BS88" s="14">
        <f t="shared" si="17"/>
        <v>2.5144759038891129E-2</v>
      </c>
      <c r="BT88" s="14">
        <f t="shared" si="18"/>
        <v>7.2612184721865258E-3</v>
      </c>
      <c r="BV88" s="749">
        <v>45163</v>
      </c>
      <c r="BW88">
        <f t="shared" si="19"/>
        <v>2.1169288576672849</v>
      </c>
      <c r="BX88">
        <f t="shared" si="20"/>
        <v>5.0218492489455357</v>
      </c>
    </row>
    <row r="89" spans="1:76" x14ac:dyDescent="0.3">
      <c r="A89" s="749">
        <v>45156</v>
      </c>
      <c r="B89">
        <v>117200</v>
      </c>
      <c r="C89">
        <v>3462.7359999999999</v>
      </c>
      <c r="D89">
        <v>66300</v>
      </c>
      <c r="E89">
        <v>63.59</v>
      </c>
      <c r="F89">
        <v>14694.84</v>
      </c>
      <c r="G89">
        <v>2474.38</v>
      </c>
      <c r="H89">
        <v>877.32</v>
      </c>
      <c r="I89">
        <v>328.42</v>
      </c>
      <c r="J89">
        <v>2265.46</v>
      </c>
      <c r="K89">
        <v>12300000</v>
      </c>
      <c r="L89">
        <v>4369.71</v>
      </c>
      <c r="M89" s="749">
        <v>45156</v>
      </c>
      <c r="N89">
        <v>0.97787610619469023</v>
      </c>
      <c r="O89">
        <v>1.0464285714285715</v>
      </c>
      <c r="P89">
        <v>0.88148045467147218</v>
      </c>
      <c r="Q89">
        <v>1.0256559872578568</v>
      </c>
      <c r="R89">
        <v>0.92481172095457009</v>
      </c>
      <c r="S89">
        <v>1.1097940138345423</v>
      </c>
      <c r="AO89" s="749">
        <v>45156</v>
      </c>
      <c r="AP89">
        <v>14694.84</v>
      </c>
      <c r="AQ89">
        <v>2474.38</v>
      </c>
      <c r="AR89">
        <f t="shared" si="11"/>
        <v>3.3767268716393217</v>
      </c>
      <c r="AS89">
        <f t="shared" si="12"/>
        <v>1.2624001306082469</v>
      </c>
      <c r="BF89" s="749">
        <v>45156</v>
      </c>
      <c r="BG89">
        <v>14694.84</v>
      </c>
      <c r="BH89">
        <v>117200</v>
      </c>
      <c r="BI89">
        <v>3462.7359999999999</v>
      </c>
      <c r="BJ89">
        <v>63.59</v>
      </c>
      <c r="BK89">
        <v>4369.71</v>
      </c>
      <c r="BL89">
        <v>877.32</v>
      </c>
      <c r="BM89">
        <v>2265.46</v>
      </c>
      <c r="BN89" s="14">
        <f t="shared" si="21"/>
        <v>-2.2173838689865E-2</v>
      </c>
      <c r="BO89" s="14">
        <f t="shared" si="13"/>
        <v>1.647875108412844E-2</v>
      </c>
      <c r="BP89" s="14">
        <f t="shared" si="14"/>
        <v>-1.4741591090285944E-2</v>
      </c>
      <c r="BQ89" s="14">
        <f t="shared" si="15"/>
        <v>-1.2117446015224465E-2</v>
      </c>
      <c r="BR89" s="14">
        <f t="shared" si="16"/>
        <v>-2.1133275836964227E-2</v>
      </c>
      <c r="BS89" s="14">
        <f t="shared" si="17"/>
        <v>-3.8237228677921453E-2</v>
      </c>
      <c r="BT89" s="14">
        <f t="shared" si="18"/>
        <v>-2.894152543099382E-2</v>
      </c>
      <c r="BV89" s="749">
        <v>45156</v>
      </c>
      <c r="BW89">
        <f t="shared" si="19"/>
        <v>2.09963097857946</v>
      </c>
      <c r="BX89">
        <f t="shared" si="20"/>
        <v>4.9745664341290183</v>
      </c>
    </row>
    <row r="90" spans="1:76" x14ac:dyDescent="0.3">
      <c r="A90" s="749">
        <v>45149</v>
      </c>
      <c r="B90">
        <v>115300</v>
      </c>
      <c r="C90">
        <v>3514.5459999999998</v>
      </c>
      <c r="D90">
        <v>67500</v>
      </c>
      <c r="E90">
        <v>64.37</v>
      </c>
      <c r="F90">
        <v>15028.07</v>
      </c>
      <c r="G90">
        <v>2552.1</v>
      </c>
      <c r="H90">
        <v>912.2</v>
      </c>
      <c r="I90">
        <v>338.98</v>
      </c>
      <c r="J90">
        <v>2332.98</v>
      </c>
      <c r="K90">
        <v>14040000</v>
      </c>
      <c r="L90">
        <v>4464.05</v>
      </c>
      <c r="M90" s="749">
        <v>45149</v>
      </c>
      <c r="N90">
        <v>0.99557522123893805</v>
      </c>
      <c r="O90">
        <v>1.0294642857142857</v>
      </c>
      <c r="P90">
        <v>0.89229276406986424</v>
      </c>
      <c r="Q90">
        <v>1.0489144470052194</v>
      </c>
      <c r="R90">
        <v>0.95385995402814361</v>
      </c>
      <c r="S90">
        <v>1.1263989262092564</v>
      </c>
      <c r="AO90" s="749">
        <v>45149</v>
      </c>
      <c r="AP90">
        <v>15028.07</v>
      </c>
      <c r="AQ90">
        <v>2552.1</v>
      </c>
      <c r="AR90">
        <f t="shared" si="11"/>
        <v>3.453299783997426</v>
      </c>
      <c r="AS90">
        <f t="shared" si="12"/>
        <v>1.3020519780006734</v>
      </c>
      <c r="BF90" s="749">
        <v>45149</v>
      </c>
      <c r="BG90">
        <v>15028.07</v>
      </c>
      <c r="BH90">
        <v>115300</v>
      </c>
      <c r="BI90">
        <v>3514.5459999999998</v>
      </c>
      <c r="BJ90">
        <v>64.37</v>
      </c>
      <c r="BK90">
        <v>4464.05</v>
      </c>
      <c r="BL90">
        <v>912.2</v>
      </c>
      <c r="BM90">
        <v>2332.98</v>
      </c>
      <c r="BN90" s="14">
        <f t="shared" si="21"/>
        <v>-1.6160477436215737E-2</v>
      </c>
      <c r="BO90" s="14">
        <f t="shared" si="13"/>
        <v>-3.9966694421315618E-2</v>
      </c>
      <c r="BP90" s="14">
        <f t="shared" si="14"/>
        <v>-4.9918049915076312E-2</v>
      </c>
      <c r="BQ90" s="14">
        <f t="shared" si="15"/>
        <v>-7.9244743241310145E-2</v>
      </c>
      <c r="BR90" s="14">
        <f t="shared" si="16"/>
        <v>-3.1219085178079142E-3</v>
      </c>
      <c r="BS90" s="14">
        <f t="shared" si="17"/>
        <v>-6.7833150049539936E-3</v>
      </c>
      <c r="BT90" s="14">
        <f t="shared" si="18"/>
        <v>-1.1905518214045285E-2</v>
      </c>
      <c r="BV90" s="749">
        <v>45149</v>
      </c>
      <c r="BW90">
        <f t="shared" si="19"/>
        <v>2.1449610317223886</v>
      </c>
      <c r="BX90">
        <f t="shared" si="20"/>
        <v>5.0489966785808686</v>
      </c>
    </row>
    <row r="91" spans="1:76" x14ac:dyDescent="0.3">
      <c r="A91" s="749">
        <v>45142</v>
      </c>
      <c r="B91">
        <v>120100</v>
      </c>
      <c r="C91">
        <v>3699.203</v>
      </c>
      <c r="D91">
        <v>68300</v>
      </c>
      <c r="E91">
        <v>69.91</v>
      </c>
      <c r="F91">
        <v>15274.92</v>
      </c>
      <c r="G91">
        <v>2572.25</v>
      </c>
      <c r="H91">
        <v>918.43</v>
      </c>
      <c r="I91">
        <v>341.25</v>
      </c>
      <c r="J91">
        <v>2361.09</v>
      </c>
      <c r="K91">
        <v>18920000</v>
      </c>
      <c r="L91">
        <v>4478.03</v>
      </c>
      <c r="M91" s="749">
        <v>45142</v>
      </c>
      <c r="N91">
        <v>1.0073746312684366</v>
      </c>
      <c r="O91">
        <v>1.0723214285714286</v>
      </c>
      <c r="P91">
        <v>0.96908788466869966</v>
      </c>
      <c r="Q91">
        <v>1.066143840483107</v>
      </c>
      <c r="R91">
        <v>0.96139111584534009</v>
      </c>
      <c r="S91">
        <v>1.1855808081698347</v>
      </c>
      <c r="AO91" s="749">
        <v>45142</v>
      </c>
      <c r="AP91">
        <v>15274.92</v>
      </c>
      <c r="AQ91">
        <v>2572.25</v>
      </c>
      <c r="AR91">
        <f t="shared" si="11"/>
        <v>3.5100234385771403</v>
      </c>
      <c r="AS91">
        <f t="shared" si="12"/>
        <v>1.3123322755425855</v>
      </c>
      <c r="BF91" s="749">
        <v>45142</v>
      </c>
      <c r="BG91">
        <v>15274.92</v>
      </c>
      <c r="BH91">
        <v>120100</v>
      </c>
      <c r="BI91">
        <v>3699.203</v>
      </c>
      <c r="BJ91">
        <v>69.91</v>
      </c>
      <c r="BK91">
        <v>4478.03</v>
      </c>
      <c r="BL91">
        <v>918.43</v>
      </c>
      <c r="BM91">
        <v>2361.09</v>
      </c>
      <c r="BN91" s="14">
        <f t="shared" si="21"/>
        <v>-3.0221072660471471E-2</v>
      </c>
      <c r="BO91" s="14">
        <f t="shared" si="13"/>
        <v>-6.1718750000000044E-2</v>
      </c>
      <c r="BP91" s="14">
        <f t="shared" si="14"/>
        <v>-3.960758738468273E-2</v>
      </c>
      <c r="BQ91" s="14">
        <f t="shared" si="15"/>
        <v>-1.8117977528089968E-2</v>
      </c>
      <c r="BR91" s="14">
        <f t="shared" si="16"/>
        <v>-2.2740019597444872E-2</v>
      </c>
      <c r="BS91" s="14">
        <f t="shared" si="17"/>
        <v>5.1327511108192336E-3</v>
      </c>
      <c r="BT91" s="14">
        <f t="shared" si="18"/>
        <v>-1.3425426830796838E-2</v>
      </c>
      <c r="BV91" s="749">
        <v>45142</v>
      </c>
      <c r="BW91">
        <f t="shared" si="19"/>
        <v>2.1516783747681605</v>
      </c>
      <c r="BX91">
        <f t="shared" si="20"/>
        <v>5.3142749192630818</v>
      </c>
    </row>
    <row r="92" spans="1:76" x14ac:dyDescent="0.3">
      <c r="A92" s="749">
        <v>45135</v>
      </c>
      <c r="B92">
        <v>128000</v>
      </c>
      <c r="C92">
        <v>3851.7620000000002</v>
      </c>
      <c r="D92">
        <v>70600</v>
      </c>
      <c r="E92">
        <v>71.2</v>
      </c>
      <c r="F92">
        <v>15750.93</v>
      </c>
      <c r="G92">
        <v>2598.71</v>
      </c>
      <c r="H92">
        <v>913.74</v>
      </c>
      <c r="I92">
        <v>344.03</v>
      </c>
      <c r="J92">
        <v>2393.2199999999998</v>
      </c>
      <c r="K92">
        <v>28790000</v>
      </c>
      <c r="L92">
        <v>4582.2299999999996</v>
      </c>
      <c r="M92" s="749">
        <v>45135</v>
      </c>
      <c r="N92">
        <v>1.0412979351032448</v>
      </c>
      <c r="O92">
        <v>1.1428571428571428</v>
      </c>
      <c r="P92">
        <v>0.98696978098142507</v>
      </c>
      <c r="Q92">
        <v>1.0993679182202318</v>
      </c>
      <c r="R92">
        <v>0.9712806712638522</v>
      </c>
      <c r="S92">
        <v>1.2344754004681169</v>
      </c>
      <c r="AO92" s="749">
        <v>45135</v>
      </c>
      <c r="AP92">
        <v>15750.93</v>
      </c>
      <c r="AQ92">
        <v>2598.71</v>
      </c>
      <c r="AR92">
        <f t="shared" si="11"/>
        <v>3.6194057631324967</v>
      </c>
      <c r="AS92">
        <f t="shared" si="12"/>
        <v>1.3258318622899299</v>
      </c>
      <c r="BF92" s="749">
        <v>45135</v>
      </c>
      <c r="BG92">
        <v>15750.93</v>
      </c>
      <c r="BH92">
        <v>128000</v>
      </c>
      <c r="BI92">
        <v>3851.7620000000002</v>
      </c>
      <c r="BJ92">
        <v>71.2</v>
      </c>
      <c r="BK92">
        <v>4582.2299999999996</v>
      </c>
      <c r="BL92">
        <v>913.74</v>
      </c>
      <c r="BM92">
        <v>2393.2199999999998</v>
      </c>
      <c r="BN92" s="14">
        <f t="shared" si="21"/>
        <v>2.1085631936894833E-2</v>
      </c>
      <c r="BO92" s="14">
        <f t="shared" si="13"/>
        <v>0.11207645525629895</v>
      </c>
      <c r="BP92" s="14">
        <f t="shared" si="14"/>
        <v>4.1340698146909993E-2</v>
      </c>
      <c r="BQ92" s="14">
        <f t="shared" si="15"/>
        <v>8.4539223153084597E-2</v>
      </c>
      <c r="BR92" s="14">
        <f t="shared" si="16"/>
        <v>1.0116084773187151E-2</v>
      </c>
      <c r="BS92" s="14">
        <f t="shared" si="17"/>
        <v>-2.2298786620728039E-2</v>
      </c>
      <c r="BT92" s="14">
        <f t="shared" si="18"/>
        <v>8.5251096717642305E-3</v>
      </c>
      <c r="BV92" s="749">
        <v>45135</v>
      </c>
      <c r="BW92">
        <f t="shared" si="19"/>
        <v>2.2017461247945875</v>
      </c>
      <c r="BX92">
        <f t="shared" si="20"/>
        <v>5.533441174104424</v>
      </c>
    </row>
    <row r="93" spans="1:76" x14ac:dyDescent="0.3">
      <c r="A93" s="749">
        <v>45128</v>
      </c>
      <c r="B93">
        <v>115100</v>
      </c>
      <c r="C93">
        <v>3698.8490000000002</v>
      </c>
      <c r="D93">
        <v>70300</v>
      </c>
      <c r="E93">
        <v>65.650000000000006</v>
      </c>
      <c r="F93">
        <v>15425.67</v>
      </c>
      <c r="G93">
        <v>2582.58</v>
      </c>
      <c r="H93">
        <v>934.58</v>
      </c>
      <c r="I93">
        <v>342.39</v>
      </c>
      <c r="J93">
        <v>2372.9899999999998</v>
      </c>
      <c r="K93">
        <v>12000000</v>
      </c>
      <c r="L93">
        <v>4536.34</v>
      </c>
      <c r="M93" s="749">
        <v>45128</v>
      </c>
      <c r="N93">
        <v>1.0368731563421829</v>
      </c>
      <c r="O93">
        <v>1.0276785714285714</v>
      </c>
      <c r="P93">
        <v>0.91003604103132807</v>
      </c>
      <c r="Q93">
        <v>1.0766657406929168</v>
      </c>
      <c r="R93">
        <v>0.96525200426080615</v>
      </c>
      <c r="S93">
        <v>1.1854673524859776</v>
      </c>
      <c r="AO93" s="749">
        <v>45128</v>
      </c>
      <c r="AP93">
        <v>15425.67</v>
      </c>
      <c r="AQ93">
        <v>2582.58</v>
      </c>
      <c r="AR93">
        <f t="shared" si="11"/>
        <v>3.5446642768509582</v>
      </c>
      <c r="AS93">
        <f t="shared" si="12"/>
        <v>1.3176025223717642</v>
      </c>
      <c r="BF93" s="749">
        <v>45128</v>
      </c>
      <c r="BG93">
        <v>15425.67</v>
      </c>
      <c r="BH93">
        <v>115100</v>
      </c>
      <c r="BI93">
        <v>3698.8490000000002</v>
      </c>
      <c r="BJ93">
        <v>65.650000000000006</v>
      </c>
      <c r="BK93">
        <v>4536.34</v>
      </c>
      <c r="BL93">
        <v>934.58</v>
      </c>
      <c r="BM93">
        <v>2372.9899999999998</v>
      </c>
      <c r="BN93" s="14">
        <f t="shared" si="21"/>
        <v>-8.9896952253687434E-3</v>
      </c>
      <c r="BO93" s="14">
        <f t="shared" si="13"/>
        <v>-2.4576271186440679E-2</v>
      </c>
      <c r="BP93" s="14">
        <f t="shared" si="14"/>
        <v>-1.3749148760643481E-2</v>
      </c>
      <c r="BQ93" s="14">
        <f t="shared" si="15"/>
        <v>2.4500624219725431E-2</v>
      </c>
      <c r="BR93" s="14">
        <f t="shared" si="16"/>
        <v>6.8628451953425262E-3</v>
      </c>
      <c r="BS93" s="14">
        <f t="shared" si="17"/>
        <v>4.273218190743977E-2</v>
      </c>
      <c r="BT93" s="14">
        <f t="shared" si="18"/>
        <v>-1.1278884694549407E-2</v>
      </c>
      <c r="BV93" s="749">
        <v>45128</v>
      </c>
      <c r="BW93">
        <f t="shared" si="19"/>
        <v>2.1796961339240242</v>
      </c>
      <c r="BX93">
        <f t="shared" si="20"/>
        <v>5.3137663628736602</v>
      </c>
    </row>
    <row r="94" spans="1:76" x14ac:dyDescent="0.3">
      <c r="A94" s="749">
        <v>45121</v>
      </c>
      <c r="B94">
        <v>118000</v>
      </c>
      <c r="C94">
        <v>3750.4140000000002</v>
      </c>
      <c r="D94">
        <v>73400</v>
      </c>
      <c r="E94">
        <v>64.08</v>
      </c>
      <c r="F94">
        <v>15565.6</v>
      </c>
      <c r="G94">
        <v>2616.23</v>
      </c>
      <c r="H94">
        <v>896.28</v>
      </c>
      <c r="I94">
        <v>346.93</v>
      </c>
      <c r="J94">
        <v>2400.06</v>
      </c>
      <c r="K94">
        <v>16840000</v>
      </c>
      <c r="L94">
        <v>4505.42</v>
      </c>
      <c r="M94" s="749">
        <v>45121</v>
      </c>
      <c r="N94">
        <v>1.0825958702064897</v>
      </c>
      <c r="O94">
        <v>1.0535714285714286</v>
      </c>
      <c r="P94">
        <v>0.88827280288328248</v>
      </c>
      <c r="Q94">
        <v>1.0864324371861751</v>
      </c>
      <c r="R94">
        <v>0.97782885761805982</v>
      </c>
      <c r="S94">
        <v>1.2019937432715813</v>
      </c>
      <c r="AO94" s="749">
        <v>45121</v>
      </c>
      <c r="AP94">
        <v>15565.6</v>
      </c>
      <c r="AQ94">
        <v>2616.23</v>
      </c>
      <c r="AR94">
        <f t="shared" si="11"/>
        <v>3.5768187876281079</v>
      </c>
      <c r="AS94">
        <f t="shared" si="12"/>
        <v>1.3347703641725255</v>
      </c>
      <c r="BF94" s="749">
        <v>45121</v>
      </c>
      <c r="BG94">
        <v>15565.6</v>
      </c>
      <c r="BH94">
        <v>118000</v>
      </c>
      <c r="BI94">
        <v>3750.4140000000002</v>
      </c>
      <c r="BJ94">
        <v>64.08</v>
      </c>
      <c r="BK94">
        <v>4505.42</v>
      </c>
      <c r="BL94">
        <v>896.28</v>
      </c>
      <c r="BM94">
        <v>2400.06</v>
      </c>
      <c r="BN94" s="14">
        <f t="shared" si="21"/>
        <v>3.5163614719838199E-2</v>
      </c>
      <c r="BO94" s="14">
        <f t="shared" si="13"/>
        <v>5.5456171735241533E-2</v>
      </c>
      <c r="BP94" s="14">
        <f t="shared" si="14"/>
        <v>4.8267237830052601E-2</v>
      </c>
      <c r="BQ94" s="14">
        <f t="shared" si="15"/>
        <v>5.6553998351195345E-2</v>
      </c>
      <c r="BR94" s="14">
        <f t="shared" si="16"/>
        <v>2.4203503108696456E-2</v>
      </c>
      <c r="BS94" s="14">
        <f t="shared" si="17"/>
        <v>3.3449790722612338E-2</v>
      </c>
      <c r="BT94" s="14">
        <f t="shared" si="18"/>
        <v>4.5823347422545568E-2</v>
      </c>
      <c r="BV94" s="749">
        <v>45121</v>
      </c>
      <c r="BW94">
        <f t="shared" si="19"/>
        <v>2.1648391777741476</v>
      </c>
      <c r="BX94">
        <f t="shared" si="20"/>
        <v>5.3878446403328324</v>
      </c>
    </row>
    <row r="95" spans="1:76" x14ac:dyDescent="0.3">
      <c r="A95" s="749">
        <v>45114</v>
      </c>
      <c r="B95">
        <v>111800</v>
      </c>
      <c r="C95">
        <v>3577.7269999999999</v>
      </c>
      <c r="D95">
        <v>69900</v>
      </c>
      <c r="E95">
        <v>60.65</v>
      </c>
      <c r="F95">
        <v>15036.85</v>
      </c>
      <c r="G95">
        <v>2499.21</v>
      </c>
      <c r="H95">
        <v>867.27</v>
      </c>
      <c r="I95">
        <v>331.57</v>
      </c>
      <c r="J95">
        <v>2294.9</v>
      </c>
      <c r="K95">
        <v>13740000</v>
      </c>
      <c r="L95">
        <v>4398.95</v>
      </c>
      <c r="M95" s="749">
        <v>45114</v>
      </c>
      <c r="N95">
        <v>1.0309734513274336</v>
      </c>
      <c r="O95">
        <v>0.99821428571428572</v>
      </c>
      <c r="P95">
        <v>0.84072636540060985</v>
      </c>
      <c r="Q95">
        <v>1.0495272648084839</v>
      </c>
      <c r="R95">
        <v>0.93409205583898636</v>
      </c>
      <c r="S95">
        <v>1.1466482018075348</v>
      </c>
      <c r="AO95" s="749">
        <v>45114</v>
      </c>
      <c r="AP95">
        <v>15036.85</v>
      </c>
      <c r="AQ95">
        <v>2499.21</v>
      </c>
      <c r="AR95">
        <f t="shared" si="11"/>
        <v>3.4553173399512844</v>
      </c>
      <c r="AS95">
        <f t="shared" si="12"/>
        <v>1.2750681101598931</v>
      </c>
      <c r="BF95" s="749">
        <v>45114</v>
      </c>
      <c r="BG95">
        <v>15036.85</v>
      </c>
      <c r="BH95">
        <v>111800</v>
      </c>
      <c r="BI95">
        <v>3577.7269999999999</v>
      </c>
      <c r="BJ95">
        <v>60.65</v>
      </c>
      <c r="BK95">
        <v>4398.95</v>
      </c>
      <c r="BL95">
        <v>867.27</v>
      </c>
      <c r="BM95">
        <v>2294.9</v>
      </c>
      <c r="BN95" s="14">
        <f t="shared" si="21"/>
        <v>-9.3786172007633839E-3</v>
      </c>
      <c r="BO95" s="14">
        <f t="shared" si="13"/>
        <v>-2.951388888888884E-2</v>
      </c>
      <c r="BP95" s="14">
        <f t="shared" si="14"/>
        <v>-2.5954388426649322E-2</v>
      </c>
      <c r="BQ95" s="14">
        <f t="shared" si="15"/>
        <v>-3.8979559499286998E-2</v>
      </c>
      <c r="BR95" s="14">
        <f t="shared" si="16"/>
        <v>-1.1556316539261924E-2</v>
      </c>
      <c r="BS95" s="14">
        <f t="shared" si="17"/>
        <v>-1.1172026167880489E-3</v>
      </c>
      <c r="BT95" s="14">
        <f t="shared" si="18"/>
        <v>-1.8203597937923699E-2</v>
      </c>
      <c r="BV95" s="749">
        <v>45114</v>
      </c>
      <c r="BW95">
        <f t="shared" si="19"/>
        <v>2.1136807003719045</v>
      </c>
      <c r="BX95">
        <f t="shared" si="20"/>
        <v>5.1397625012929398</v>
      </c>
    </row>
    <row r="96" spans="1:76" x14ac:dyDescent="0.3">
      <c r="A96" s="749">
        <v>45107</v>
      </c>
      <c r="B96">
        <v>115200</v>
      </c>
      <c r="C96">
        <v>3673.0590000000002</v>
      </c>
      <c r="D96">
        <v>72200</v>
      </c>
      <c r="E96">
        <v>63.11</v>
      </c>
      <c r="F96">
        <v>15179.21</v>
      </c>
      <c r="G96">
        <v>2545.67</v>
      </c>
      <c r="H96">
        <v>868.24</v>
      </c>
      <c r="I96">
        <v>337.95</v>
      </c>
      <c r="J96">
        <v>2337.4499999999998</v>
      </c>
      <c r="K96">
        <v>17200000</v>
      </c>
      <c r="L96">
        <v>4450.38</v>
      </c>
      <c r="M96" s="749">
        <v>45107</v>
      </c>
      <c r="N96">
        <v>1.0648967551622419</v>
      </c>
      <c r="O96">
        <v>1.0285714285714285</v>
      </c>
      <c r="P96">
        <v>0.87482672581092324</v>
      </c>
      <c r="Q96">
        <v>1.0594635680513929</v>
      </c>
      <c r="R96">
        <v>0.9514567098353609</v>
      </c>
      <c r="S96">
        <v>1.1772017533710601</v>
      </c>
      <c r="AO96" s="749">
        <v>45107</v>
      </c>
      <c r="AP96">
        <v>15179.21</v>
      </c>
      <c r="AQ96">
        <v>2545.67</v>
      </c>
      <c r="AR96">
        <f t="shared" si="11"/>
        <v>3.4880302403603105</v>
      </c>
      <c r="AS96">
        <f t="shared" si="12"/>
        <v>1.2987714661796068</v>
      </c>
      <c r="BF96" s="749">
        <v>45107</v>
      </c>
      <c r="BG96">
        <v>15179.21</v>
      </c>
      <c r="BH96">
        <v>115200</v>
      </c>
      <c r="BI96">
        <v>3673.0590000000002</v>
      </c>
      <c r="BJ96">
        <v>63.11</v>
      </c>
      <c r="BK96">
        <v>4450.38</v>
      </c>
      <c r="BL96">
        <v>868.24</v>
      </c>
      <c r="BM96">
        <v>2337.4499999999998</v>
      </c>
      <c r="BN96" s="14">
        <f t="shared" si="21"/>
        <v>1.9321786686078202E-2</v>
      </c>
      <c r="BO96" s="14">
        <f t="shared" si="13"/>
        <v>1.4084507042253502E-2</v>
      </c>
      <c r="BP96" s="14">
        <f t="shared" si="14"/>
        <v>4.7438536335809189E-2</v>
      </c>
      <c r="BQ96" s="14">
        <f t="shared" si="15"/>
        <v>-3.3241421568627527E-2</v>
      </c>
      <c r="BR96" s="14">
        <f t="shared" si="16"/>
        <v>2.3468779968401687E-2</v>
      </c>
      <c r="BS96" s="14">
        <f t="shared" si="17"/>
        <v>-7.5442366604179245E-3</v>
      </c>
      <c r="BT96" s="14">
        <f t="shared" si="18"/>
        <v>-2.1558164354322784E-3</v>
      </c>
      <c r="BV96" s="749">
        <v>45107</v>
      </c>
      <c r="BW96">
        <f t="shared" si="19"/>
        <v>2.1383926426354281</v>
      </c>
      <c r="BX96">
        <f t="shared" si="20"/>
        <v>5.2767164496442982</v>
      </c>
    </row>
    <row r="97" spans="1:76" x14ac:dyDescent="0.3">
      <c r="A97" s="749">
        <v>45100</v>
      </c>
      <c r="B97">
        <v>113600</v>
      </c>
      <c r="C97">
        <v>3506.7060000000001</v>
      </c>
      <c r="D97">
        <v>71600</v>
      </c>
      <c r="E97">
        <v>65.28</v>
      </c>
      <c r="F97">
        <v>14891.48</v>
      </c>
      <c r="G97">
        <v>2549.9699999999998</v>
      </c>
      <c r="H97">
        <v>874.84</v>
      </c>
      <c r="I97">
        <v>338.45</v>
      </c>
      <c r="J97">
        <v>2342.5</v>
      </c>
      <c r="K97">
        <v>15860000</v>
      </c>
      <c r="L97">
        <v>4348.33</v>
      </c>
      <c r="M97" s="749">
        <v>45100</v>
      </c>
      <c r="N97">
        <v>1.056047197640118</v>
      </c>
      <c r="O97">
        <v>1.0142857142857142</v>
      </c>
      <c r="P97">
        <v>0.90490712503465487</v>
      </c>
      <c r="Q97">
        <v>1.0393808725464604</v>
      </c>
      <c r="R97">
        <v>0.9530638560296012</v>
      </c>
      <c r="S97">
        <v>1.1238862353577268</v>
      </c>
      <c r="AO97" s="749">
        <v>45100</v>
      </c>
      <c r="AP97">
        <v>14891.48</v>
      </c>
      <c r="AQ97">
        <v>2549.9699999999998</v>
      </c>
      <c r="AR97">
        <f t="shared" si="11"/>
        <v>3.4219127717266415</v>
      </c>
      <c r="AS97">
        <f t="shared" si="12"/>
        <v>1.3009652765731661</v>
      </c>
      <c r="BF97" s="749">
        <v>45100</v>
      </c>
      <c r="BG97">
        <v>14891.48</v>
      </c>
      <c r="BH97">
        <v>113600</v>
      </c>
      <c r="BI97">
        <v>3506.7060000000001</v>
      </c>
      <c r="BJ97">
        <v>65.28</v>
      </c>
      <c r="BK97">
        <v>4348.33</v>
      </c>
      <c r="BL97">
        <v>874.84</v>
      </c>
      <c r="BM97">
        <v>2342.5</v>
      </c>
      <c r="BN97" s="14">
        <f t="shared" si="21"/>
        <v>-1.2757956817591176E-2</v>
      </c>
      <c r="BO97" s="14">
        <f t="shared" si="13"/>
        <v>-4.4575273338940291E-2</v>
      </c>
      <c r="BP97" s="14">
        <f t="shared" si="14"/>
        <v>-4.5312135870523851E-2</v>
      </c>
      <c r="BQ97" s="14">
        <f t="shared" si="15"/>
        <v>-3.5175879396984855E-2</v>
      </c>
      <c r="BR97" s="14">
        <f t="shared" si="16"/>
        <v>-1.389244805072587E-2</v>
      </c>
      <c r="BS97" s="14">
        <f t="shared" si="17"/>
        <v>-1.4764344839236498E-2</v>
      </c>
      <c r="BT97" s="14">
        <f t="shared" si="18"/>
        <v>-2.1328152743832485E-2</v>
      </c>
      <c r="BV97" s="749">
        <v>45100</v>
      </c>
      <c r="BW97">
        <f t="shared" si="19"/>
        <v>2.0893579603878569</v>
      </c>
      <c r="BX97">
        <f t="shared" si="20"/>
        <v>5.0377337348151388</v>
      </c>
    </row>
    <row r="98" spans="1:76" x14ac:dyDescent="0.3">
      <c r="A98" s="749">
        <v>45093</v>
      </c>
      <c r="B98">
        <v>118900</v>
      </c>
      <c r="C98">
        <v>3673.1439999999998</v>
      </c>
      <c r="D98">
        <v>71800</v>
      </c>
      <c r="E98">
        <v>67.66</v>
      </c>
      <c r="F98">
        <v>15083.92</v>
      </c>
      <c r="G98">
        <v>2602.9699999999998</v>
      </c>
      <c r="H98">
        <v>887.95</v>
      </c>
      <c r="I98">
        <v>345.17</v>
      </c>
      <c r="J98">
        <v>2393.5500000000002</v>
      </c>
      <c r="K98">
        <v>20190000</v>
      </c>
      <c r="L98">
        <v>4409.59</v>
      </c>
      <c r="M98" s="749">
        <v>45093</v>
      </c>
      <c r="N98">
        <v>1.0589970501474926</v>
      </c>
      <c r="O98">
        <v>1.0616071428571427</v>
      </c>
      <c r="P98">
        <v>0.9378985306348766</v>
      </c>
      <c r="Q98">
        <v>1.0528126103665321</v>
      </c>
      <c r="R98">
        <v>0.97287286726093691</v>
      </c>
      <c r="S98">
        <v>1.177228995555037</v>
      </c>
      <c r="AO98" s="749">
        <v>45093</v>
      </c>
      <c r="AP98">
        <v>15083.92</v>
      </c>
      <c r="AQ98">
        <v>2602.9699999999998</v>
      </c>
      <c r="AR98">
        <f t="shared" si="11"/>
        <v>3.4661335539317064</v>
      </c>
      <c r="AS98">
        <f t="shared" si="12"/>
        <v>1.3280052651449445</v>
      </c>
      <c r="BF98" s="749">
        <v>45093</v>
      </c>
      <c r="BG98">
        <v>15083.92</v>
      </c>
      <c r="BH98">
        <v>118900</v>
      </c>
      <c r="BI98">
        <v>3673.1439999999998</v>
      </c>
      <c r="BJ98">
        <v>67.66</v>
      </c>
      <c r="BK98">
        <v>4409.59</v>
      </c>
      <c r="BL98">
        <v>887.95</v>
      </c>
      <c r="BM98">
        <v>2393.5500000000002</v>
      </c>
      <c r="BN98" s="14">
        <f t="shared" si="21"/>
        <v>3.8239691197079262E-2</v>
      </c>
      <c r="BO98" s="14">
        <f t="shared" si="13"/>
        <v>3.0329289428076223E-2</v>
      </c>
      <c r="BP98" s="14">
        <f t="shared" si="14"/>
        <v>4.2035239438849237E-2</v>
      </c>
      <c r="BQ98" s="14">
        <f t="shared" si="15"/>
        <v>3.4082225278923906E-2</v>
      </c>
      <c r="BR98" s="14">
        <f t="shared" si="16"/>
        <v>2.5757991653601264E-2</v>
      </c>
      <c r="BS98" s="14">
        <f t="shared" si="17"/>
        <v>4.7979540799583109E-3</v>
      </c>
      <c r="BT98" s="14">
        <f t="shared" si="18"/>
        <v>-5.4804424241918781E-3</v>
      </c>
      <c r="BV98" s="749">
        <v>45093</v>
      </c>
      <c r="BW98">
        <f t="shared" si="19"/>
        <v>2.1187931846356398</v>
      </c>
      <c r="BX98">
        <f t="shared" si="20"/>
        <v>5.2768385606417576</v>
      </c>
    </row>
    <row r="99" spans="1:76" x14ac:dyDescent="0.3">
      <c r="A99" s="749">
        <v>45086</v>
      </c>
      <c r="B99">
        <v>115400</v>
      </c>
      <c r="C99">
        <v>3524.971</v>
      </c>
      <c r="D99">
        <v>72000</v>
      </c>
      <c r="E99">
        <v>65.430000000000007</v>
      </c>
      <c r="F99">
        <v>14528.36</v>
      </c>
      <c r="G99">
        <v>2615.33</v>
      </c>
      <c r="H99">
        <v>883.71</v>
      </c>
      <c r="I99">
        <v>346.79</v>
      </c>
      <c r="J99">
        <v>2406.7399999999998</v>
      </c>
      <c r="K99">
        <v>18940000</v>
      </c>
      <c r="L99">
        <v>4298.8599999999997</v>
      </c>
      <c r="M99" s="749">
        <v>45086</v>
      </c>
      <c r="N99">
        <v>1.0619469026548674</v>
      </c>
      <c r="O99">
        <v>1.0303571428571427</v>
      </c>
      <c r="P99">
        <v>0.90698641530357649</v>
      </c>
      <c r="Q99">
        <v>1.0140361799813782</v>
      </c>
      <c r="R99">
        <v>0.97749247818205598</v>
      </c>
      <c r="S99">
        <v>1.1297400999499705</v>
      </c>
      <c r="AO99" s="749">
        <v>45086</v>
      </c>
      <c r="AP99">
        <v>14528.36</v>
      </c>
      <c r="AQ99">
        <v>2615.33</v>
      </c>
      <c r="AR99">
        <f t="shared" si="11"/>
        <v>3.3384714371064845</v>
      </c>
      <c r="AS99">
        <f t="shared" si="12"/>
        <v>1.3343111945552688</v>
      </c>
      <c r="BF99" s="749">
        <v>45086</v>
      </c>
      <c r="BG99">
        <v>14528.36</v>
      </c>
      <c r="BH99">
        <v>115400</v>
      </c>
      <c r="BI99">
        <v>3524.971</v>
      </c>
      <c r="BJ99">
        <v>65.430000000000007</v>
      </c>
      <c r="BK99">
        <v>4298.8599999999997</v>
      </c>
      <c r="BL99">
        <v>883.71</v>
      </c>
      <c r="BM99">
        <v>2406.7399999999998</v>
      </c>
      <c r="BN99" s="14">
        <f t="shared" si="21"/>
        <v>-1.2566475832218593E-3</v>
      </c>
      <c r="BO99" s="14">
        <f t="shared" si="13"/>
        <v>4.6237533998186864E-2</v>
      </c>
      <c r="BP99" s="14">
        <f t="shared" si="14"/>
        <v>6.7307285877322709E-3</v>
      </c>
      <c r="BQ99" s="14">
        <f t="shared" si="15"/>
        <v>-5.4069683388752288E-2</v>
      </c>
      <c r="BR99" s="14">
        <f t="shared" si="16"/>
        <v>3.8506714739734438E-3</v>
      </c>
      <c r="BS99" s="14">
        <f t="shared" si="17"/>
        <v>1.8028707693016788E-2</v>
      </c>
      <c r="BT99" s="14">
        <f t="shared" si="18"/>
        <v>1.0789357636336705E-2</v>
      </c>
      <c r="BV99" s="749">
        <v>45086</v>
      </c>
      <c r="BW99">
        <f t="shared" si="19"/>
        <v>2.0655877915413372</v>
      </c>
      <c r="BX99">
        <f t="shared" si="20"/>
        <v>5.0639732332693574</v>
      </c>
    </row>
    <row r="100" spans="1:76" x14ac:dyDescent="0.3">
      <c r="A100" s="749">
        <v>45079</v>
      </c>
      <c r="B100">
        <v>110300</v>
      </c>
      <c r="C100">
        <v>3501.404</v>
      </c>
      <c r="D100">
        <v>72200</v>
      </c>
      <c r="E100">
        <v>69.17</v>
      </c>
      <c r="F100">
        <v>14546.64</v>
      </c>
      <c r="G100">
        <v>2587.3200000000002</v>
      </c>
      <c r="H100">
        <v>868.06</v>
      </c>
      <c r="I100">
        <v>342.67</v>
      </c>
      <c r="J100">
        <v>2381.0500000000002</v>
      </c>
      <c r="K100">
        <v>26770000</v>
      </c>
      <c r="L100">
        <v>4282.37</v>
      </c>
      <c r="M100" s="749">
        <v>45079</v>
      </c>
      <c r="N100">
        <v>1.0648967551622419</v>
      </c>
      <c r="O100">
        <v>0.98482142857142863</v>
      </c>
      <c r="P100">
        <v>0.95883005267535348</v>
      </c>
      <c r="Q100">
        <v>1.0153120694396556</v>
      </c>
      <c r="R100">
        <v>0.96702360262375964</v>
      </c>
      <c r="S100">
        <v>1.1221869640701232</v>
      </c>
      <c r="AO100" s="749">
        <v>45079</v>
      </c>
      <c r="AP100">
        <v>14546.64</v>
      </c>
      <c r="AQ100">
        <v>2587.3200000000002</v>
      </c>
      <c r="AR100">
        <f t="shared" si="11"/>
        <v>3.342671997794016</v>
      </c>
      <c r="AS100">
        <f t="shared" si="12"/>
        <v>1.3200208156893158</v>
      </c>
      <c r="BF100" s="749">
        <v>45079</v>
      </c>
      <c r="BG100">
        <v>14546.64</v>
      </c>
      <c r="BH100">
        <v>110300</v>
      </c>
      <c r="BI100">
        <v>3501.404</v>
      </c>
      <c r="BJ100">
        <v>69.17</v>
      </c>
      <c r="BK100">
        <v>4282.37</v>
      </c>
      <c r="BL100">
        <v>868.06</v>
      </c>
      <c r="BM100">
        <v>2381.0500000000002</v>
      </c>
      <c r="BN100" s="14">
        <f t="shared" si="21"/>
        <v>1.7360671571174713E-2</v>
      </c>
      <c r="BO100" s="14">
        <f t="shared" si="13"/>
        <v>1.0073260073260037E-2</v>
      </c>
      <c r="BP100" s="14">
        <f t="shared" si="14"/>
        <v>-1.2484244863240179E-2</v>
      </c>
      <c r="BQ100" s="14">
        <f t="shared" si="15"/>
        <v>-6.4385229270932043E-2</v>
      </c>
      <c r="BR100" s="14">
        <f t="shared" si="16"/>
        <v>1.8290551546207956E-2</v>
      </c>
      <c r="BS100" s="14">
        <f t="shared" si="17"/>
        <v>2.9446295791183852E-2</v>
      </c>
      <c r="BT100" s="14">
        <f t="shared" si="18"/>
        <v>1.7160213253135659E-2</v>
      </c>
      <c r="BV100" s="749">
        <v>45079</v>
      </c>
      <c r="BW100">
        <f t="shared" si="19"/>
        <v>2.0576644019258308</v>
      </c>
      <c r="BX100">
        <f t="shared" si="20"/>
        <v>5.0301168817735693</v>
      </c>
    </row>
    <row r="101" spans="1:76" x14ac:dyDescent="0.3">
      <c r="A101" s="749">
        <v>45072</v>
      </c>
      <c r="B101">
        <v>109200</v>
      </c>
      <c r="C101">
        <v>3545.6689999999999</v>
      </c>
      <c r="D101">
        <v>70300</v>
      </c>
      <c r="E101">
        <v>73.930000000000007</v>
      </c>
      <c r="F101">
        <v>14298.41</v>
      </c>
      <c r="G101">
        <v>2544.73</v>
      </c>
      <c r="H101">
        <v>843.23</v>
      </c>
      <c r="I101">
        <v>337.11</v>
      </c>
      <c r="J101">
        <v>2340.88</v>
      </c>
      <c r="K101">
        <v>26390000</v>
      </c>
      <c r="L101">
        <v>4205.45</v>
      </c>
      <c r="M101" s="749">
        <v>45072</v>
      </c>
      <c r="N101">
        <v>1.0368731563421829</v>
      </c>
      <c r="O101">
        <v>0.97499999999999998</v>
      </c>
      <c r="P101">
        <v>1.0248128638757972</v>
      </c>
      <c r="Q101">
        <v>0.99798635607925035</v>
      </c>
      <c r="R101">
        <v>0.95110538020220137</v>
      </c>
      <c r="S101">
        <v>1.1363737319965219</v>
      </c>
      <c r="AO101" s="749">
        <v>45072</v>
      </c>
      <c r="AP101">
        <v>14298.41</v>
      </c>
      <c r="AQ101">
        <v>2544.73</v>
      </c>
      <c r="AR101">
        <f t="shared" si="11"/>
        <v>3.2856312330529893</v>
      </c>
      <c r="AS101">
        <f t="shared" si="12"/>
        <v>1.2982918890238055</v>
      </c>
      <c r="BF101" s="749">
        <v>45072</v>
      </c>
      <c r="BG101">
        <v>14298.41</v>
      </c>
      <c r="BH101">
        <v>109200</v>
      </c>
      <c r="BI101">
        <v>3545.6689999999999</v>
      </c>
      <c r="BJ101">
        <v>73.930000000000007</v>
      </c>
      <c r="BK101">
        <v>4205.45</v>
      </c>
      <c r="BL101">
        <v>843.23</v>
      </c>
      <c r="BM101">
        <v>2340.88</v>
      </c>
      <c r="BN101" s="14">
        <f t="shared" si="21"/>
        <v>3.585470051414541E-2</v>
      </c>
      <c r="BO101" s="14">
        <f t="shared" si="13"/>
        <v>0.1223021582733812</v>
      </c>
      <c r="BP101" s="14">
        <f t="shared" si="14"/>
        <v>0.10681582501062903</v>
      </c>
      <c r="BQ101" s="14">
        <f t="shared" si="15"/>
        <v>8.4494645738594665E-2</v>
      </c>
      <c r="BR101" s="14">
        <f t="shared" si="16"/>
        <v>3.2132786893068754E-3</v>
      </c>
      <c r="BS101" s="14">
        <f t="shared" si="17"/>
        <v>1.7939457301714423E-3</v>
      </c>
      <c r="BT101" s="14">
        <f t="shared" si="18"/>
        <v>1.0672837800497437E-2</v>
      </c>
      <c r="BV101" s="749">
        <v>45072</v>
      </c>
      <c r="BW101">
        <f t="shared" si="19"/>
        <v>2.0207046002748443</v>
      </c>
      <c r="BX101">
        <f t="shared" si="20"/>
        <v>5.0937079794508744</v>
      </c>
    </row>
    <row r="102" spans="1:76" x14ac:dyDescent="0.3">
      <c r="A102" s="749">
        <v>45065</v>
      </c>
      <c r="B102">
        <v>97300</v>
      </c>
      <c r="C102">
        <v>3203.4859999999999</v>
      </c>
      <c r="D102">
        <v>68400</v>
      </c>
      <c r="E102">
        <v>68.17</v>
      </c>
      <c r="F102">
        <v>13803.49</v>
      </c>
      <c r="G102">
        <v>2519.5100000000002</v>
      </c>
      <c r="H102">
        <v>841.72</v>
      </c>
      <c r="I102">
        <v>334.23</v>
      </c>
      <c r="J102">
        <v>2316.16</v>
      </c>
      <c r="K102">
        <v>19360000</v>
      </c>
      <c r="L102">
        <v>4191.9799999999996</v>
      </c>
      <c r="M102" s="749">
        <v>45065</v>
      </c>
      <c r="N102">
        <v>1.0088495575221239</v>
      </c>
      <c r="O102">
        <v>0.86875000000000002</v>
      </c>
      <c r="P102">
        <v>0.94496811754920984</v>
      </c>
      <c r="Q102">
        <v>0.96344241676356812</v>
      </c>
      <c r="R102">
        <v>0.94167928089551678</v>
      </c>
      <c r="S102">
        <v>1.026705352704556</v>
      </c>
      <c r="AO102" s="749">
        <v>45065</v>
      </c>
      <c r="AP102">
        <v>13803.49</v>
      </c>
      <c r="AQ102">
        <v>2519.5100000000002</v>
      </c>
      <c r="AR102">
        <f t="shared" si="11"/>
        <v>3.1719035801277631</v>
      </c>
      <c r="AS102">
        <f t="shared" si="12"/>
        <v>1.2854249359713479</v>
      </c>
      <c r="BF102" s="749">
        <v>45065</v>
      </c>
      <c r="BG102">
        <v>13803.49</v>
      </c>
      <c r="BH102">
        <v>97300</v>
      </c>
      <c r="BI102">
        <v>3203.4859999999999</v>
      </c>
      <c r="BJ102">
        <v>68.17</v>
      </c>
      <c r="BK102">
        <v>4191.9799999999996</v>
      </c>
      <c r="BL102">
        <v>841.72</v>
      </c>
      <c r="BM102">
        <v>2316.16</v>
      </c>
      <c r="BN102" s="14">
        <f t="shared" si="21"/>
        <v>3.4730415931419234E-2</v>
      </c>
      <c r="BO102" s="14">
        <f t="shared" si="13"/>
        <v>0.11582568807339455</v>
      </c>
      <c r="BP102" s="14">
        <f t="shared" si="14"/>
        <v>7.7581497607681182E-2</v>
      </c>
      <c r="BQ102" s="14">
        <f t="shared" si="15"/>
        <v>0.11900853578463555</v>
      </c>
      <c r="BR102" s="14">
        <f t="shared" si="16"/>
        <v>1.6464278093538454E-2</v>
      </c>
      <c r="BS102" s="14">
        <f t="shared" si="17"/>
        <v>2.3454883698308837E-2</v>
      </c>
      <c r="BT102" s="14">
        <f t="shared" si="18"/>
        <v>3.6044337487363354E-2</v>
      </c>
      <c r="BV102" s="749">
        <v>45065</v>
      </c>
      <c r="BW102">
        <f t="shared" si="19"/>
        <v>2.0142323105161495</v>
      </c>
      <c r="BX102">
        <f t="shared" si="20"/>
        <v>4.6021278918757398</v>
      </c>
    </row>
    <row r="103" spans="1:76" x14ac:dyDescent="0.3">
      <c r="A103" s="749">
        <v>45058</v>
      </c>
      <c r="B103">
        <v>87200</v>
      </c>
      <c r="C103">
        <v>2972.848</v>
      </c>
      <c r="D103">
        <v>64100</v>
      </c>
      <c r="E103">
        <v>60.92</v>
      </c>
      <c r="F103">
        <v>13340.18</v>
      </c>
      <c r="G103">
        <v>2434.9</v>
      </c>
      <c r="H103">
        <v>822.43</v>
      </c>
      <c r="I103">
        <v>323.61</v>
      </c>
      <c r="J103">
        <v>2235.58</v>
      </c>
      <c r="K103">
        <v>12570000</v>
      </c>
      <c r="L103">
        <v>4124.08</v>
      </c>
      <c r="M103" s="749">
        <v>45058</v>
      </c>
      <c r="N103">
        <v>0.94542772861356927</v>
      </c>
      <c r="O103">
        <v>0.77857142857142858</v>
      </c>
      <c r="P103">
        <v>0.84446908788466868</v>
      </c>
      <c r="Q103">
        <v>0.93110476113367102</v>
      </c>
      <c r="R103">
        <v>0.91005587636186946</v>
      </c>
      <c r="S103">
        <v>0.95278673119752466</v>
      </c>
      <c r="AO103" s="749">
        <v>45058</v>
      </c>
      <c r="AP103">
        <v>13340.18</v>
      </c>
      <c r="AQ103">
        <v>2434.9</v>
      </c>
      <c r="AR103">
        <f t="shared" si="11"/>
        <v>3.0654395882163703</v>
      </c>
      <c r="AS103">
        <f t="shared" si="12"/>
        <v>1.24225789006459</v>
      </c>
      <c r="BF103" s="749">
        <v>45058</v>
      </c>
      <c r="BG103">
        <v>13340.18</v>
      </c>
      <c r="BH103">
        <v>87200</v>
      </c>
      <c r="BI103">
        <v>2972.848</v>
      </c>
      <c r="BJ103">
        <v>60.92</v>
      </c>
      <c r="BK103">
        <v>4124.08</v>
      </c>
      <c r="BL103">
        <v>822.43</v>
      </c>
      <c r="BM103">
        <v>2235.58</v>
      </c>
      <c r="BN103" s="14">
        <f t="shared" si="21"/>
        <v>6.1127690881679353E-3</v>
      </c>
      <c r="BO103" s="14">
        <f t="shared" si="13"/>
        <v>-1.6910935738444155E-2</v>
      </c>
      <c r="BP103" s="14">
        <f t="shared" si="14"/>
        <v>-1.1584634192807641E-2</v>
      </c>
      <c r="BQ103" s="14">
        <f t="shared" si="15"/>
        <v>-5.0628776743425474E-3</v>
      </c>
      <c r="BR103" s="14">
        <f t="shared" si="16"/>
        <v>-2.9422786340284057E-3</v>
      </c>
      <c r="BS103" s="14">
        <f t="shared" si="17"/>
        <v>-2.6779163609684464E-2</v>
      </c>
      <c r="BT103" s="14">
        <f t="shared" si="18"/>
        <v>-7.5336840469690802E-3</v>
      </c>
      <c r="BV103" s="749">
        <v>45058</v>
      </c>
      <c r="BW103">
        <f t="shared" si="19"/>
        <v>1.9816065885699461</v>
      </c>
      <c r="BX103">
        <f t="shared" si="20"/>
        <v>4.2707933479674987</v>
      </c>
    </row>
    <row r="104" spans="1:76" x14ac:dyDescent="0.3">
      <c r="A104" s="749">
        <v>45051</v>
      </c>
      <c r="B104">
        <v>88700</v>
      </c>
      <c r="C104">
        <v>3007.6909999999998</v>
      </c>
      <c r="D104">
        <v>65100</v>
      </c>
      <c r="E104">
        <v>61.23</v>
      </c>
      <c r="F104">
        <v>13259.13</v>
      </c>
      <c r="G104">
        <v>2455.08</v>
      </c>
      <c r="H104">
        <v>845.06</v>
      </c>
      <c r="I104">
        <v>326.17</v>
      </c>
      <c r="J104">
        <v>2252.5500000000002</v>
      </c>
      <c r="K104">
        <v>6000000</v>
      </c>
      <c r="L104">
        <v>4136.25</v>
      </c>
      <c r="M104" s="749">
        <v>45051</v>
      </c>
      <c r="N104">
        <v>0.96017699115044253</v>
      </c>
      <c r="O104">
        <v>0.79196428571428568</v>
      </c>
      <c r="P104">
        <v>0.84876628777377316</v>
      </c>
      <c r="Q104">
        <v>0.92544771296116624</v>
      </c>
      <c r="R104">
        <v>0.91759825082693269</v>
      </c>
      <c r="S104">
        <v>0.96395378315413849</v>
      </c>
      <c r="AO104" s="749">
        <v>45051</v>
      </c>
      <c r="AP104">
        <v>13259.13</v>
      </c>
      <c r="AQ104">
        <v>2455.08</v>
      </c>
      <c r="AR104">
        <f t="shared" si="11"/>
        <v>3.0468151109885562</v>
      </c>
      <c r="AS104">
        <f t="shared" si="12"/>
        <v>1.2525534932604103</v>
      </c>
      <c r="BF104" s="749">
        <v>45051</v>
      </c>
      <c r="BG104">
        <v>13259.13</v>
      </c>
      <c r="BH104">
        <v>88700</v>
      </c>
      <c r="BI104">
        <v>3007.6909999999998</v>
      </c>
      <c r="BJ104">
        <v>61.23</v>
      </c>
      <c r="BK104">
        <v>4136.25</v>
      </c>
      <c r="BL104">
        <v>845.06</v>
      </c>
      <c r="BM104">
        <v>2252.5500000000002</v>
      </c>
      <c r="BN104" s="14">
        <f t="shared" si="21"/>
        <v>9.9199833308039054E-4</v>
      </c>
      <c r="BO104" s="14">
        <f t="shared" si="13"/>
        <v>-8.9385474860335101E-3</v>
      </c>
      <c r="BP104" s="14">
        <f t="shared" si="14"/>
        <v>4.2474548993813865E-3</v>
      </c>
      <c r="BQ104" s="14">
        <f t="shared" si="15"/>
        <v>-4.8632691112492243E-2</v>
      </c>
      <c r="BR104" s="14">
        <f t="shared" si="16"/>
        <v>-7.9698187783607821E-3</v>
      </c>
      <c r="BS104" s="14">
        <f t="shared" si="17"/>
        <v>2.6458479171362903E-3</v>
      </c>
      <c r="BT104" s="14">
        <f t="shared" si="18"/>
        <v>8.4355964410587347E-5</v>
      </c>
      <c r="BV104" s="749">
        <v>45051</v>
      </c>
      <c r="BW104">
        <f t="shared" si="19"/>
        <v>1.9874542326949136</v>
      </c>
      <c r="BX104">
        <f t="shared" si="20"/>
        <v>4.3208488007263446</v>
      </c>
    </row>
    <row r="105" spans="1:76" x14ac:dyDescent="0.3">
      <c r="A105" s="749">
        <v>45044</v>
      </c>
      <c r="B105">
        <v>89500</v>
      </c>
      <c r="C105">
        <v>2994.97</v>
      </c>
      <c r="D105">
        <v>65500</v>
      </c>
      <c r="E105">
        <v>64.36</v>
      </c>
      <c r="F105">
        <v>13245.99</v>
      </c>
      <c r="G105">
        <v>2459.23</v>
      </c>
      <c r="H105">
        <v>842.83</v>
      </c>
      <c r="I105">
        <v>326.45999999999998</v>
      </c>
      <c r="J105">
        <v>2252.36</v>
      </c>
      <c r="K105">
        <v>16110000</v>
      </c>
      <c r="L105">
        <v>4169.4799999999996</v>
      </c>
      <c r="M105" s="749">
        <v>45044</v>
      </c>
      <c r="N105">
        <v>0.96607669616519176</v>
      </c>
      <c r="O105">
        <v>0.7991071428571429</v>
      </c>
      <c r="P105">
        <v>0.89215414471860266</v>
      </c>
      <c r="Q105">
        <v>0.92453058016675904</v>
      </c>
      <c r="R105">
        <v>0.91914933378183916</v>
      </c>
      <c r="S105">
        <v>0.95987674994976213</v>
      </c>
      <c r="AO105" s="749">
        <v>45044</v>
      </c>
      <c r="AP105">
        <v>13245.99</v>
      </c>
      <c r="AQ105">
        <v>2459.23</v>
      </c>
      <c r="AR105">
        <f t="shared" si="11"/>
        <v>3.043795670756928</v>
      </c>
      <c r="AS105">
        <f t="shared" si="12"/>
        <v>1.2546707753844271</v>
      </c>
      <c r="BF105" s="749">
        <v>45044</v>
      </c>
      <c r="BG105">
        <v>13245.99</v>
      </c>
      <c r="BH105">
        <v>89500</v>
      </c>
      <c r="BI105">
        <v>2994.97</v>
      </c>
      <c r="BJ105">
        <v>64.36</v>
      </c>
      <c r="BK105">
        <v>4169.4799999999996</v>
      </c>
      <c r="BL105">
        <v>842.83</v>
      </c>
      <c r="BM105">
        <v>2252.36</v>
      </c>
      <c r="BN105" s="14">
        <f t="shared" si="21"/>
        <v>1.8861959714693732E-2</v>
      </c>
      <c r="BO105" s="14">
        <f t="shared" si="13"/>
        <v>4.4893378226711356E-3</v>
      </c>
      <c r="BP105" s="14">
        <f t="shared" si="14"/>
        <v>-8.7597391572288297E-3</v>
      </c>
      <c r="BQ105" s="14">
        <f t="shared" si="15"/>
        <v>5.2838213643055632E-2</v>
      </c>
      <c r="BR105" s="14">
        <f t="shared" si="16"/>
        <v>8.6996071145171161E-3</v>
      </c>
      <c r="BS105" s="14">
        <f t="shared" si="17"/>
        <v>-2.9914136414907588E-2</v>
      </c>
      <c r="BT105" s="14">
        <f t="shared" si="18"/>
        <v>-1.1455105641529739E-2</v>
      </c>
      <c r="BV105" s="749">
        <v>45044</v>
      </c>
      <c r="BW105">
        <f t="shared" si="19"/>
        <v>2.0034211360862586</v>
      </c>
      <c r="BX105">
        <f t="shared" si="20"/>
        <v>4.3025738125064645</v>
      </c>
    </row>
    <row r="106" spans="1:76" x14ac:dyDescent="0.3">
      <c r="A106" s="749">
        <v>45037</v>
      </c>
      <c r="B106">
        <v>89100</v>
      </c>
      <c r="C106">
        <v>3021.4369999999999</v>
      </c>
      <c r="D106">
        <v>65700</v>
      </c>
      <c r="E106">
        <v>61.13</v>
      </c>
      <c r="F106">
        <v>13000.77</v>
      </c>
      <c r="G106">
        <v>2489.2800000000002</v>
      </c>
      <c r="H106">
        <v>868.82</v>
      </c>
      <c r="I106">
        <v>330.94</v>
      </c>
      <c r="J106">
        <v>2278.46</v>
      </c>
      <c r="K106">
        <v>10040000</v>
      </c>
      <c r="L106">
        <v>4133.5200000000004</v>
      </c>
      <c r="M106" s="749">
        <v>45037</v>
      </c>
      <c r="N106">
        <v>0.96902654867256632</v>
      </c>
      <c r="O106">
        <v>0.79553571428571423</v>
      </c>
      <c r="P106">
        <v>0.8473800942611589</v>
      </c>
      <c r="Q106">
        <v>0.90741495582546838</v>
      </c>
      <c r="R106">
        <v>0.93038066939507769</v>
      </c>
      <c r="S106">
        <v>0.96835932504764977</v>
      </c>
      <c r="AO106" s="749">
        <v>45037</v>
      </c>
      <c r="AP106">
        <v>13000.77</v>
      </c>
      <c r="AQ106">
        <v>2489.2800000000002</v>
      </c>
      <c r="AR106">
        <f t="shared" si="11"/>
        <v>2.9874465738315181</v>
      </c>
      <c r="AS106">
        <f t="shared" si="12"/>
        <v>1.2700019387161618</v>
      </c>
      <c r="BF106" s="749">
        <v>45037</v>
      </c>
      <c r="BG106">
        <v>13000.77</v>
      </c>
      <c r="BH106">
        <v>89100</v>
      </c>
      <c r="BI106">
        <v>3021.4369999999999</v>
      </c>
      <c r="BJ106">
        <v>61.13</v>
      </c>
      <c r="BK106">
        <v>4133.5200000000004</v>
      </c>
      <c r="BL106">
        <v>868.82</v>
      </c>
      <c r="BM106">
        <v>2278.46</v>
      </c>
      <c r="BN106" s="14">
        <f t="shared" si="21"/>
        <v>-6.0208631509413024E-3</v>
      </c>
      <c r="BO106" s="14">
        <f t="shared" si="13"/>
        <v>-2.2396416573348121E-3</v>
      </c>
      <c r="BP106" s="14">
        <f t="shared" si="14"/>
        <v>-1.5963768212703511E-2</v>
      </c>
      <c r="BQ106" s="14">
        <f t="shared" si="15"/>
        <v>-2.3950183618074439E-2</v>
      </c>
      <c r="BR106" s="14">
        <f t="shared" si="16"/>
        <v>-9.9573670014785343E-4</v>
      </c>
      <c r="BS106" s="14">
        <f t="shared" si="17"/>
        <v>-3.8745795716055964E-2</v>
      </c>
      <c r="BT106" s="14">
        <f t="shared" si="18"/>
        <v>-1.2298262117277803E-2</v>
      </c>
      <c r="BV106" s="749">
        <v>45037</v>
      </c>
      <c r="BW106">
        <f t="shared" si="19"/>
        <v>1.9861424768640872</v>
      </c>
      <c r="BX106">
        <f t="shared" si="20"/>
        <v>4.3405963039155973</v>
      </c>
    </row>
    <row r="107" spans="1:76" x14ac:dyDescent="0.3">
      <c r="A107" s="749">
        <v>45030</v>
      </c>
      <c r="B107">
        <v>89300</v>
      </c>
      <c r="C107">
        <v>3070.453</v>
      </c>
      <c r="D107">
        <v>65100</v>
      </c>
      <c r="E107">
        <v>62.63</v>
      </c>
      <c r="F107">
        <v>13079.52</v>
      </c>
      <c r="G107">
        <v>2511.4699999999998</v>
      </c>
      <c r="H107">
        <v>903.84</v>
      </c>
      <c r="I107">
        <v>333.68</v>
      </c>
      <c r="J107">
        <v>2306.83</v>
      </c>
      <c r="K107">
        <v>22370000</v>
      </c>
      <c r="L107">
        <v>4137.6400000000003</v>
      </c>
      <c r="M107" s="749">
        <v>45030</v>
      </c>
      <c r="N107">
        <v>0.96017699115044253</v>
      </c>
      <c r="O107">
        <v>0.79732142857142863</v>
      </c>
      <c r="P107">
        <v>0.86817299695037431</v>
      </c>
      <c r="Q107">
        <v>0.91291147086044366</v>
      </c>
      <c r="R107">
        <v>0.93867429126721591</v>
      </c>
      <c r="S107">
        <v>0.98406877081022415</v>
      </c>
      <c r="AO107" s="749">
        <v>45030</v>
      </c>
      <c r="AP107">
        <v>13079.52</v>
      </c>
      <c r="AQ107">
        <v>2511.4699999999998</v>
      </c>
      <c r="AR107">
        <f t="shared" si="11"/>
        <v>3.0055425341238107</v>
      </c>
      <c r="AS107">
        <f t="shared" si="12"/>
        <v>1.2813230207238553</v>
      </c>
      <c r="BF107" s="749">
        <v>45030</v>
      </c>
      <c r="BG107">
        <v>13079.52</v>
      </c>
      <c r="BH107">
        <v>89300</v>
      </c>
      <c r="BI107">
        <v>3070.453</v>
      </c>
      <c r="BJ107">
        <v>62.63</v>
      </c>
      <c r="BK107">
        <v>4137.6400000000003</v>
      </c>
      <c r="BL107">
        <v>903.84</v>
      </c>
      <c r="BM107">
        <v>2306.83</v>
      </c>
      <c r="BN107" s="14">
        <f t="shared" si="21"/>
        <v>1.295301088604095E-3</v>
      </c>
      <c r="BO107" s="14">
        <f t="shared" si="13"/>
        <v>2.2446689113355678E-3</v>
      </c>
      <c r="BP107" s="14">
        <f t="shared" si="14"/>
        <v>-4.2711600659550708E-4</v>
      </c>
      <c r="BQ107" s="14">
        <f t="shared" si="15"/>
        <v>6.9501366120218622E-2</v>
      </c>
      <c r="BR107" s="14">
        <f t="shared" si="16"/>
        <v>7.9463681053928426E-3</v>
      </c>
      <c r="BS107" s="14">
        <f t="shared" si="17"/>
        <v>2.7009215176065471E-2</v>
      </c>
      <c r="BT107" s="14">
        <f t="shared" si="18"/>
        <v>3.3003004751178677E-2</v>
      </c>
      <c r="BV107" s="749">
        <v>45030</v>
      </c>
      <c r="BW107">
        <f t="shared" si="19"/>
        <v>1.9881221230263604</v>
      </c>
      <c r="BX107">
        <f t="shared" si="20"/>
        <v>4.4110126880509366</v>
      </c>
    </row>
    <row r="108" spans="1:76" x14ac:dyDescent="0.3">
      <c r="A108" s="749">
        <v>45023</v>
      </c>
      <c r="B108">
        <v>89100</v>
      </c>
      <c r="C108">
        <v>3071.7649999999999</v>
      </c>
      <c r="D108">
        <v>65000</v>
      </c>
      <c r="E108">
        <v>58.56</v>
      </c>
      <c r="F108">
        <v>13062.6</v>
      </c>
      <c r="G108">
        <v>2433.77</v>
      </c>
      <c r="H108">
        <v>880.07</v>
      </c>
      <c r="I108">
        <v>323.36</v>
      </c>
      <c r="J108">
        <v>2233.13</v>
      </c>
      <c r="K108">
        <v>39940000</v>
      </c>
      <c r="L108">
        <v>4105.0200000000004</v>
      </c>
      <c r="M108" s="749">
        <v>45023</v>
      </c>
      <c r="N108">
        <v>0.95870206489675514</v>
      </c>
      <c r="O108">
        <v>0.79553571428571423</v>
      </c>
      <c r="P108">
        <v>0.81175492098696977</v>
      </c>
      <c r="Q108">
        <v>0.91173050534435751</v>
      </c>
      <c r="R108">
        <v>0.90963353329222019</v>
      </c>
      <c r="S108">
        <v>0.98448926193231689</v>
      </c>
      <c r="AO108" s="749">
        <v>45023</v>
      </c>
      <c r="AP108">
        <v>13062.6</v>
      </c>
      <c r="AQ108">
        <v>2433.77</v>
      </c>
      <c r="AR108">
        <f t="shared" si="11"/>
        <v>3.0016544877981524</v>
      </c>
      <c r="AS108">
        <f t="shared" si="12"/>
        <v>1.2416813771007009</v>
      </c>
      <c r="BF108" s="749">
        <v>45023</v>
      </c>
      <c r="BG108">
        <v>13062.6</v>
      </c>
      <c r="BH108">
        <v>89100</v>
      </c>
      <c r="BI108">
        <v>3071.7649999999999</v>
      </c>
      <c r="BJ108">
        <v>58.56</v>
      </c>
      <c r="BK108">
        <v>4105.0200000000004</v>
      </c>
      <c r="BL108">
        <v>880.07</v>
      </c>
      <c r="BM108">
        <v>2233.13</v>
      </c>
      <c r="BN108" s="14">
        <f t="shared" si="21"/>
        <v>-9.0089406623752311E-3</v>
      </c>
      <c r="BO108" s="14">
        <f t="shared" si="13"/>
        <v>5.6433408577878375E-3</v>
      </c>
      <c r="BP108" s="14">
        <f t="shared" si="14"/>
        <v>-4.9243484095895185E-2</v>
      </c>
      <c r="BQ108" s="14">
        <f t="shared" si="15"/>
        <v>-2.9499502817368239E-2</v>
      </c>
      <c r="BR108" s="14">
        <f t="shared" si="16"/>
        <v>-1.0439708856231356E-3</v>
      </c>
      <c r="BS108" s="14">
        <f t="shared" si="17"/>
        <v>3.8406173305644886E-2</v>
      </c>
      <c r="BT108" s="14">
        <f t="shared" si="18"/>
        <v>5.497721664895705E-3</v>
      </c>
      <c r="BV108" s="749">
        <v>45023</v>
      </c>
      <c r="BW108">
        <f t="shared" si="19"/>
        <v>1.9724483225862255</v>
      </c>
      <c r="BX108">
        <f t="shared" si="20"/>
        <v>4.4128975072117322</v>
      </c>
    </row>
    <row r="109" spans="1:76" x14ac:dyDescent="0.3">
      <c r="A109" s="749">
        <v>45016</v>
      </c>
      <c r="B109">
        <v>88600</v>
      </c>
      <c r="C109">
        <v>3230.864</v>
      </c>
      <c r="D109">
        <v>64000</v>
      </c>
      <c r="E109">
        <v>60.34</v>
      </c>
      <c r="F109">
        <v>13181.35</v>
      </c>
      <c r="G109">
        <v>2423.13</v>
      </c>
      <c r="H109">
        <v>847.52</v>
      </c>
      <c r="I109">
        <v>322.02999999999997</v>
      </c>
      <c r="J109">
        <v>2220.92</v>
      </c>
      <c r="K109">
        <v>16400000</v>
      </c>
      <c r="L109">
        <v>4109.3100000000004</v>
      </c>
      <c r="M109" s="749">
        <v>45016</v>
      </c>
      <c r="N109">
        <v>0.94395280235988199</v>
      </c>
      <c r="O109">
        <v>0.79107142857142854</v>
      </c>
      <c r="P109">
        <v>0.83642916551150548</v>
      </c>
      <c r="Q109">
        <v>0.92001890103201867</v>
      </c>
      <c r="R109">
        <v>0.90565678084879742</v>
      </c>
      <c r="S109">
        <v>1.0354798999154211</v>
      </c>
      <c r="AO109" s="749">
        <v>45016</v>
      </c>
      <c r="AP109">
        <v>13181.35</v>
      </c>
      <c r="AQ109">
        <v>2423.13</v>
      </c>
      <c r="AR109">
        <f t="shared" si="11"/>
        <v>3.0289420469690702</v>
      </c>
      <c r="AS109">
        <f t="shared" si="12"/>
        <v>1.2362529718478006</v>
      </c>
      <c r="BF109" s="749">
        <v>45016</v>
      </c>
      <c r="BG109">
        <v>13181.35</v>
      </c>
      <c r="BH109">
        <v>88600</v>
      </c>
      <c r="BI109">
        <v>3230.864</v>
      </c>
      <c r="BJ109">
        <v>60.34</v>
      </c>
      <c r="BK109">
        <v>4109.3100000000004</v>
      </c>
      <c r="BL109">
        <v>847.52</v>
      </c>
      <c r="BM109">
        <v>2220.92</v>
      </c>
      <c r="BN109" s="14">
        <f t="shared" si="21"/>
        <v>3.2450722758977202E-2</v>
      </c>
      <c r="BO109" s="14">
        <f t="shared" si="13"/>
        <v>1.4891179839633395E-2</v>
      </c>
      <c r="BP109" s="14">
        <f t="shared" si="14"/>
        <v>3.511431109778318E-2</v>
      </c>
      <c r="BQ109" s="14">
        <f t="shared" si="15"/>
        <v>-1.3407455853498895E-2</v>
      </c>
      <c r="BR109" s="14">
        <f t="shared" si="16"/>
        <v>3.4832623602678581E-2</v>
      </c>
      <c r="BS109" s="14">
        <f t="shared" si="17"/>
        <v>2.8406402057977731E-2</v>
      </c>
      <c r="BT109" s="14">
        <f t="shared" si="18"/>
        <v>2.054020273685575E-2</v>
      </c>
      <c r="BV109" s="749">
        <v>45016</v>
      </c>
      <c r="BW109">
        <f t="shared" si="19"/>
        <v>1.9745096531775246</v>
      </c>
      <c r="BX109">
        <f t="shared" si="20"/>
        <v>4.6414591258576507</v>
      </c>
    </row>
    <row r="110" spans="1:76" x14ac:dyDescent="0.3">
      <c r="A110" s="749">
        <v>45009</v>
      </c>
      <c r="B110">
        <v>87300</v>
      </c>
      <c r="C110">
        <v>3121.2629999999999</v>
      </c>
      <c r="D110">
        <v>63000</v>
      </c>
      <c r="E110">
        <v>61.16</v>
      </c>
      <c r="F110">
        <v>12767.05</v>
      </c>
      <c r="G110">
        <v>2371.13</v>
      </c>
      <c r="H110">
        <v>824.11</v>
      </c>
      <c r="I110">
        <v>314.3</v>
      </c>
      <c r="J110">
        <v>2176.2199999999998</v>
      </c>
      <c r="K110">
        <v>14530000</v>
      </c>
      <c r="L110">
        <v>3970.99</v>
      </c>
      <c r="M110" s="749">
        <v>45009</v>
      </c>
      <c r="N110">
        <v>0.92920353982300885</v>
      </c>
      <c r="O110">
        <v>0.77946428571428572</v>
      </c>
      <c r="P110">
        <v>0.84779595231494309</v>
      </c>
      <c r="Q110">
        <v>0.89110199717182481</v>
      </c>
      <c r="R110">
        <v>0.88622152454635494</v>
      </c>
      <c r="S110">
        <v>1.0003531869028552</v>
      </c>
      <c r="AO110" s="749">
        <v>45009</v>
      </c>
      <c r="AP110">
        <v>12767.05</v>
      </c>
      <c r="AQ110">
        <v>2371.13</v>
      </c>
      <c r="AR110">
        <f t="shared" si="11"/>
        <v>2.9337400615837121</v>
      </c>
      <c r="AS110">
        <f t="shared" si="12"/>
        <v>1.2097231717396406</v>
      </c>
      <c r="BF110" s="749">
        <v>45009</v>
      </c>
      <c r="BG110">
        <v>12767.05</v>
      </c>
      <c r="BH110">
        <v>87300</v>
      </c>
      <c r="BI110">
        <v>3121.2629999999999</v>
      </c>
      <c r="BJ110">
        <v>61.16</v>
      </c>
      <c r="BK110">
        <v>3970.99</v>
      </c>
      <c r="BL110">
        <v>824.11</v>
      </c>
      <c r="BM110">
        <v>2176.2199999999998</v>
      </c>
      <c r="BN110" s="14">
        <f t="shared" si="21"/>
        <v>1.9742202001936215E-2</v>
      </c>
      <c r="BO110" s="14">
        <f t="shared" si="13"/>
        <v>3.9285714285714368E-2</v>
      </c>
      <c r="BP110" s="14">
        <f t="shared" si="14"/>
        <v>1.2240560217076757E-2</v>
      </c>
      <c r="BQ110" s="14">
        <f t="shared" si="15"/>
        <v>7.9421108365690163E-2</v>
      </c>
      <c r="BR110" s="14">
        <f t="shared" si="16"/>
        <v>1.3876690224273736E-2</v>
      </c>
      <c r="BS110" s="14">
        <f t="shared" si="17"/>
        <v>3.3509324170104993E-2</v>
      </c>
      <c r="BT110" s="14">
        <f t="shared" si="18"/>
        <v>8.2374307370136624E-3</v>
      </c>
      <c r="BV110" s="749">
        <v>45009</v>
      </c>
      <c r="BW110">
        <f t="shared" si="19"/>
        <v>1.9080473577489694</v>
      </c>
      <c r="BX110">
        <f t="shared" si="20"/>
        <v>4.484006332532668</v>
      </c>
    </row>
    <row r="111" spans="1:76" x14ac:dyDescent="0.3">
      <c r="A111" s="749">
        <v>45002</v>
      </c>
      <c r="B111">
        <v>84000</v>
      </c>
      <c r="C111">
        <v>3083.5189999999998</v>
      </c>
      <c r="D111">
        <v>61300</v>
      </c>
      <c r="E111">
        <v>56.66</v>
      </c>
      <c r="F111">
        <v>12519.88</v>
      </c>
      <c r="G111">
        <v>2352.23</v>
      </c>
      <c r="H111">
        <v>797.39</v>
      </c>
      <c r="I111">
        <v>312.07</v>
      </c>
      <c r="J111">
        <v>2158.44</v>
      </c>
      <c r="K111">
        <v>22620000</v>
      </c>
      <c r="L111">
        <v>3916.64</v>
      </c>
      <c r="M111" s="749">
        <v>45002</v>
      </c>
      <c r="N111">
        <v>0.90412979351032452</v>
      </c>
      <c r="O111">
        <v>0.75</v>
      </c>
      <c r="P111">
        <v>0.78541724424729686</v>
      </c>
      <c r="Q111">
        <v>0.87385026864871573</v>
      </c>
      <c r="R111">
        <v>0.87915755639027482</v>
      </c>
      <c r="S111">
        <v>0.988256375231919</v>
      </c>
      <c r="AO111" s="749">
        <v>45002</v>
      </c>
      <c r="AP111">
        <v>12519.88</v>
      </c>
      <c r="AQ111">
        <v>2352.23</v>
      </c>
      <c r="AR111">
        <f t="shared" si="11"/>
        <v>2.8769428742129692</v>
      </c>
      <c r="AS111">
        <f t="shared" si="12"/>
        <v>1.2000806097772518</v>
      </c>
      <c r="BF111" s="749">
        <v>45002</v>
      </c>
      <c r="BG111">
        <v>12519.88</v>
      </c>
      <c r="BH111">
        <v>84000</v>
      </c>
      <c r="BI111">
        <v>3083.5189999999998</v>
      </c>
      <c r="BJ111">
        <v>56.66</v>
      </c>
      <c r="BK111">
        <v>3916.64</v>
      </c>
      <c r="BL111">
        <v>797.39</v>
      </c>
      <c r="BM111">
        <v>2158.44</v>
      </c>
      <c r="BN111" s="14">
        <f t="shared" si="21"/>
        <v>5.8291097083078114E-2</v>
      </c>
      <c r="BO111" s="14">
        <f t="shared" si="13"/>
        <v>8.4033613445377853E-3</v>
      </c>
      <c r="BP111" s="14">
        <f t="shared" si="14"/>
        <v>5.4580668682447486E-2</v>
      </c>
      <c r="BQ111" s="14">
        <f t="shared" si="15"/>
        <v>3.1494629528490803E-2</v>
      </c>
      <c r="BR111" s="14">
        <f t="shared" si="16"/>
        <v>1.4255785829153211E-2</v>
      </c>
      <c r="BS111" s="14">
        <f t="shared" si="17"/>
        <v>1.1146335277707253E-2</v>
      </c>
      <c r="BT111" s="14">
        <f t="shared" si="18"/>
        <v>9.1355369582495349E-3</v>
      </c>
      <c r="BV111" s="749">
        <v>45002</v>
      </c>
      <c r="BW111">
        <f t="shared" si="19"/>
        <v>1.8819323652927666</v>
      </c>
      <c r="BX111">
        <f t="shared" si="20"/>
        <v>4.429783303260507</v>
      </c>
    </row>
    <row r="112" spans="1:76" x14ac:dyDescent="0.3">
      <c r="A112" s="749">
        <v>44995</v>
      </c>
      <c r="B112">
        <v>83300</v>
      </c>
      <c r="C112">
        <v>2923.9290000000001</v>
      </c>
      <c r="D112">
        <v>59500</v>
      </c>
      <c r="E112">
        <v>54.93</v>
      </c>
      <c r="F112">
        <v>11830.28</v>
      </c>
      <c r="G112">
        <v>2336.87</v>
      </c>
      <c r="H112">
        <v>788.6</v>
      </c>
      <c r="I112">
        <v>310.64999999999998</v>
      </c>
      <c r="J112">
        <v>2138.9</v>
      </c>
      <c r="K112">
        <v>13580000</v>
      </c>
      <c r="L112">
        <v>3861.59</v>
      </c>
      <c r="M112" s="749">
        <v>44995</v>
      </c>
      <c r="N112">
        <v>0.8775811209439528</v>
      </c>
      <c r="O112">
        <v>0.74375000000000002</v>
      </c>
      <c r="P112">
        <v>0.76143609647906851</v>
      </c>
      <c r="Q112">
        <v>0.82571824619641165</v>
      </c>
      <c r="R112">
        <v>0.87341668068247635</v>
      </c>
      <c r="S112">
        <v>0.93710837357431231</v>
      </c>
      <c r="AO112" s="749">
        <v>44995</v>
      </c>
      <c r="AP112">
        <v>11830.28</v>
      </c>
      <c r="AQ112">
        <v>2336.87</v>
      </c>
      <c r="AR112">
        <f t="shared" si="11"/>
        <v>2.7184797095454756</v>
      </c>
      <c r="AS112">
        <f t="shared" si="12"/>
        <v>1.1922441149760721</v>
      </c>
      <c r="BF112" s="749">
        <v>44995</v>
      </c>
      <c r="BG112">
        <v>11830.28</v>
      </c>
      <c r="BH112">
        <v>83300</v>
      </c>
      <c r="BI112">
        <v>2923.9290000000001</v>
      </c>
      <c r="BJ112">
        <v>54.93</v>
      </c>
      <c r="BK112">
        <v>3861.59</v>
      </c>
      <c r="BL112">
        <v>788.6</v>
      </c>
      <c r="BM112">
        <v>2138.9</v>
      </c>
      <c r="BN112" s="14">
        <f t="shared" si="21"/>
        <v>-3.7469458888388929E-2</v>
      </c>
      <c r="BO112" s="14">
        <f t="shared" si="13"/>
        <v>-4.5819014891179788E-2</v>
      </c>
      <c r="BP112" s="14">
        <f t="shared" si="14"/>
        <v>-3.4477008338239745E-2</v>
      </c>
      <c r="BQ112" s="14">
        <f t="shared" si="15"/>
        <v>-3.2581895033462538E-2</v>
      </c>
      <c r="BR112" s="14">
        <f t="shared" si="16"/>
        <v>-4.5493420076922253E-2</v>
      </c>
      <c r="BS112" s="14">
        <f t="shared" si="17"/>
        <v>-1.7222900725305856E-2</v>
      </c>
      <c r="BT112" s="14">
        <f t="shared" si="18"/>
        <v>-1.7094802628555561E-2</v>
      </c>
      <c r="BV112" s="749">
        <v>44995</v>
      </c>
      <c r="BW112">
        <f t="shared" si="19"/>
        <v>1.8554810251876341</v>
      </c>
      <c r="BX112">
        <f t="shared" si="20"/>
        <v>4.2005163140292607</v>
      </c>
    </row>
    <row r="113" spans="1:76" x14ac:dyDescent="0.3">
      <c r="A113" s="749">
        <v>44988</v>
      </c>
      <c r="B113">
        <v>87300</v>
      </c>
      <c r="C113">
        <v>3028.337</v>
      </c>
      <c r="D113">
        <v>60500</v>
      </c>
      <c r="E113">
        <v>56.78</v>
      </c>
      <c r="F113">
        <v>12290.81</v>
      </c>
      <c r="G113">
        <v>2378.23</v>
      </c>
      <c r="H113">
        <v>802.42</v>
      </c>
      <c r="I113">
        <v>316.36</v>
      </c>
      <c r="J113">
        <v>2176.1</v>
      </c>
      <c r="K113">
        <v>8890000</v>
      </c>
      <c r="L113">
        <v>4045.64</v>
      </c>
      <c r="M113" s="749">
        <v>44988</v>
      </c>
      <c r="N113">
        <v>0.89233038348082594</v>
      </c>
      <c r="O113">
        <v>0.77946428571428572</v>
      </c>
      <c r="P113">
        <v>0.78708067646243418</v>
      </c>
      <c r="Q113">
        <v>0.85786186612094706</v>
      </c>
      <c r="R113">
        <v>0.88887518454149606</v>
      </c>
      <c r="S113">
        <v>0.97057074939402166</v>
      </c>
      <c r="AO113" s="749">
        <v>44988</v>
      </c>
      <c r="AP113">
        <v>12290.81</v>
      </c>
      <c r="AQ113">
        <v>2378.23</v>
      </c>
      <c r="AR113">
        <f t="shared" si="11"/>
        <v>2.8243048853348038</v>
      </c>
      <c r="AS113">
        <f t="shared" si="12"/>
        <v>1.2133455098313317</v>
      </c>
      <c r="BF113" s="749">
        <v>44988</v>
      </c>
      <c r="BG113">
        <v>12290.81</v>
      </c>
      <c r="BH113">
        <v>87300</v>
      </c>
      <c r="BI113">
        <v>3028.337</v>
      </c>
      <c r="BJ113">
        <v>56.78</v>
      </c>
      <c r="BK113">
        <v>4045.64</v>
      </c>
      <c r="BL113">
        <v>802.42</v>
      </c>
      <c r="BM113">
        <v>2176.1</v>
      </c>
      <c r="BN113" s="14">
        <f t="shared" si="21"/>
        <v>2.6831193894558236E-2</v>
      </c>
      <c r="BO113" s="14">
        <f t="shared" si="13"/>
        <v>-4.0659340659340626E-2</v>
      </c>
      <c r="BP113" s="14">
        <f t="shared" si="14"/>
        <v>3.1761639160059696E-2</v>
      </c>
      <c r="BQ113" s="14">
        <f t="shared" si="15"/>
        <v>-2.4063251976624289E-2</v>
      </c>
      <c r="BR113" s="14">
        <f t="shared" si="16"/>
        <v>1.9042629293407609E-2</v>
      </c>
      <c r="BS113" s="14">
        <f t="shared" si="17"/>
        <v>3.0222884141331008E-2</v>
      </c>
      <c r="BT113" s="14">
        <f t="shared" si="18"/>
        <v>-1.7294609311564457E-3</v>
      </c>
      <c r="BV113" s="749">
        <v>44988</v>
      </c>
      <c r="BW113">
        <f t="shared" si="19"/>
        <v>1.9439164320241402</v>
      </c>
      <c r="BX113">
        <f t="shared" si="20"/>
        <v>4.3505088437094166</v>
      </c>
    </row>
    <row r="114" spans="1:76" x14ac:dyDescent="0.3">
      <c r="A114" s="749">
        <v>44981</v>
      </c>
      <c r="B114">
        <v>91000</v>
      </c>
      <c r="C114">
        <v>2935.1129999999998</v>
      </c>
      <c r="D114">
        <v>61300</v>
      </c>
      <c r="E114">
        <v>58.18</v>
      </c>
      <c r="F114">
        <v>11969.65</v>
      </c>
      <c r="G114">
        <v>2384.5700000000002</v>
      </c>
      <c r="H114">
        <v>778.88</v>
      </c>
      <c r="I114">
        <v>316.94</v>
      </c>
      <c r="J114">
        <v>2179.87</v>
      </c>
      <c r="K114">
        <v>11710000</v>
      </c>
      <c r="L114">
        <v>3970.04</v>
      </c>
      <c r="M114" s="749">
        <v>44981</v>
      </c>
      <c r="N114">
        <v>0.90412979351032452</v>
      </c>
      <c r="O114">
        <v>0.8125</v>
      </c>
      <c r="P114">
        <v>0.80648738563903521</v>
      </c>
      <c r="Q114">
        <v>0.83544585636053226</v>
      </c>
      <c r="R114">
        <v>0.89124479079067853</v>
      </c>
      <c r="S114">
        <v>0.94069280399312716</v>
      </c>
      <c r="AO114" s="749">
        <v>44981</v>
      </c>
      <c r="AP114">
        <v>11969.65</v>
      </c>
      <c r="AQ114">
        <v>2384.5700000000002</v>
      </c>
      <c r="AR114">
        <f t="shared" si="11"/>
        <v>2.7505055379383241</v>
      </c>
      <c r="AS114">
        <f t="shared" si="12"/>
        <v>1.2165801046906728</v>
      </c>
      <c r="BF114" s="749">
        <v>44981</v>
      </c>
      <c r="BG114">
        <v>11969.65</v>
      </c>
      <c r="BH114">
        <v>91000</v>
      </c>
      <c r="BI114">
        <v>2935.1129999999998</v>
      </c>
      <c r="BJ114">
        <v>58.18</v>
      </c>
      <c r="BK114">
        <v>3970.04</v>
      </c>
      <c r="BL114">
        <v>778.88</v>
      </c>
      <c r="BM114">
        <v>2179.87</v>
      </c>
      <c r="BN114" s="14">
        <f t="shared" si="21"/>
        <v>-3.143909540077916E-2</v>
      </c>
      <c r="BO114" s="14">
        <f t="shared" si="13"/>
        <v>-1.0869565217391353E-2</v>
      </c>
      <c r="BP114" s="14">
        <f t="shared" si="14"/>
        <v>-2.353895779854609E-2</v>
      </c>
      <c r="BQ114" s="14">
        <f t="shared" si="15"/>
        <v>-1.4065412641925068E-2</v>
      </c>
      <c r="BR114" s="14">
        <f t="shared" si="16"/>
        <v>-2.6733903885425514E-2</v>
      </c>
      <c r="BS114" s="14">
        <f t="shared" si="17"/>
        <v>4.2030891415898441E-3</v>
      </c>
      <c r="BT114" s="14">
        <f t="shared" si="18"/>
        <v>-1.5015137137951329E-2</v>
      </c>
      <c r="BV114" s="749">
        <v>44981</v>
      </c>
      <c r="BW114">
        <f t="shared" si="19"/>
        <v>1.9075908859397075</v>
      </c>
      <c r="BX114">
        <f t="shared" si="20"/>
        <v>4.216583248095068</v>
      </c>
    </row>
    <row r="115" spans="1:76" x14ac:dyDescent="0.3">
      <c r="A115" s="749">
        <v>44974</v>
      </c>
      <c r="B115">
        <v>92000</v>
      </c>
      <c r="C115">
        <v>3005.8679999999999</v>
      </c>
      <c r="D115">
        <v>62600</v>
      </c>
      <c r="E115">
        <v>59.01</v>
      </c>
      <c r="F115">
        <v>12358.18</v>
      </c>
      <c r="G115">
        <v>2416.66</v>
      </c>
      <c r="H115">
        <v>775.62</v>
      </c>
      <c r="I115">
        <v>320.77999999999997</v>
      </c>
      <c r="J115">
        <v>2213.1</v>
      </c>
      <c r="K115">
        <v>10600000</v>
      </c>
      <c r="L115">
        <v>4079.09</v>
      </c>
      <c r="M115" s="749">
        <v>44974</v>
      </c>
      <c r="N115">
        <v>0.92330383480825962</v>
      </c>
      <c r="O115">
        <v>0.8214285714285714</v>
      </c>
      <c r="P115">
        <v>0.81799279179373441</v>
      </c>
      <c r="Q115">
        <v>0.86256409111023324</v>
      </c>
      <c r="R115">
        <v>0.90323858645885879</v>
      </c>
      <c r="S115">
        <v>0.96336951843190144</v>
      </c>
      <c r="AO115" s="749">
        <v>44974</v>
      </c>
      <c r="AP115">
        <v>12358.18</v>
      </c>
      <c r="AQ115">
        <v>2416.66</v>
      </c>
      <c r="AR115">
        <f t="shared" si="11"/>
        <v>2.8397858357461279</v>
      </c>
      <c r="AS115">
        <f t="shared" si="12"/>
        <v>1.2329520524881892</v>
      </c>
      <c r="BF115" s="749">
        <v>44974</v>
      </c>
      <c r="BG115">
        <v>12358.18</v>
      </c>
      <c r="BH115">
        <v>92000</v>
      </c>
      <c r="BI115">
        <v>3005.8679999999999</v>
      </c>
      <c r="BJ115">
        <v>59.01</v>
      </c>
      <c r="BK115">
        <v>4079.09</v>
      </c>
      <c r="BL115">
        <v>775.62</v>
      </c>
      <c r="BM115">
        <v>2213.1</v>
      </c>
      <c r="BN115" s="14">
        <f t="shared" si="21"/>
        <v>4.328349960828648E-3</v>
      </c>
      <c r="BO115" s="14">
        <f t="shared" si="13"/>
        <v>-1.6042780748663055E-2</v>
      </c>
      <c r="BP115" s="14">
        <f t="shared" si="14"/>
        <v>-1.7544786030324611E-3</v>
      </c>
      <c r="BQ115" s="14">
        <f t="shared" si="15"/>
        <v>-1.3540621865596791E-2</v>
      </c>
      <c r="BR115" s="14">
        <f t="shared" si="16"/>
        <v>-2.7796384758682624E-3</v>
      </c>
      <c r="BS115" s="14">
        <f t="shared" si="17"/>
        <v>4.1168246077365467E-3</v>
      </c>
      <c r="BT115" s="14">
        <f t="shared" si="18"/>
        <v>-1.1726564732780886E-2</v>
      </c>
      <c r="BV115" s="749">
        <v>44974</v>
      </c>
      <c r="BW115">
        <f t="shared" si="19"/>
        <v>1.959989044676578</v>
      </c>
      <c r="BX115">
        <f t="shared" si="20"/>
        <v>4.3182298789808184</v>
      </c>
    </row>
    <row r="116" spans="1:76" x14ac:dyDescent="0.3">
      <c r="A116" s="749">
        <v>44967</v>
      </c>
      <c r="B116">
        <v>93500</v>
      </c>
      <c r="C116">
        <v>3011.1509999999998</v>
      </c>
      <c r="D116">
        <v>62800</v>
      </c>
      <c r="E116">
        <v>59.82</v>
      </c>
      <c r="F116">
        <v>12304.92</v>
      </c>
      <c r="G116">
        <v>2440.5</v>
      </c>
      <c r="H116">
        <v>772.44</v>
      </c>
      <c r="I116">
        <v>323.69</v>
      </c>
      <c r="J116">
        <v>2239.36</v>
      </c>
      <c r="K116">
        <v>13530000</v>
      </c>
      <c r="L116">
        <v>4090.46</v>
      </c>
      <c r="M116" s="749">
        <v>44967</v>
      </c>
      <c r="N116">
        <v>0.92625368731563418</v>
      </c>
      <c r="O116">
        <v>0.8348214285714286</v>
      </c>
      <c r="P116">
        <v>0.82922095924591077</v>
      </c>
      <c r="Q116">
        <v>0.85884670202118196</v>
      </c>
      <c r="R116">
        <v>0.91214890396367099</v>
      </c>
      <c r="S116">
        <v>0.96506270029014518</v>
      </c>
      <c r="AO116" s="749">
        <v>44967</v>
      </c>
      <c r="AP116">
        <v>12304.92</v>
      </c>
      <c r="AQ116">
        <v>2440.5</v>
      </c>
      <c r="AR116">
        <f t="shared" si="11"/>
        <v>2.827547221839239</v>
      </c>
      <c r="AS116">
        <f t="shared" si="12"/>
        <v>1.2451149454608532</v>
      </c>
      <c r="BF116" s="749">
        <v>44967</v>
      </c>
      <c r="BG116">
        <v>12304.92</v>
      </c>
      <c r="BH116">
        <v>93500</v>
      </c>
      <c r="BI116">
        <v>3011.1509999999998</v>
      </c>
      <c r="BJ116">
        <v>59.82</v>
      </c>
      <c r="BK116">
        <v>4090.46</v>
      </c>
      <c r="BL116">
        <v>772.44</v>
      </c>
      <c r="BM116">
        <v>2239.36</v>
      </c>
      <c r="BN116" s="14">
        <f t="shared" si="21"/>
        <v>-2.1349901696921192E-2</v>
      </c>
      <c r="BO116" s="14">
        <f t="shared" si="13"/>
        <v>1.4099783080260275E-2</v>
      </c>
      <c r="BP116" s="14">
        <f t="shared" si="14"/>
        <v>-2.3021596272159495E-2</v>
      </c>
      <c r="BQ116" s="14">
        <f t="shared" si="15"/>
        <v>-4.1499759653901513E-2</v>
      </c>
      <c r="BR116" s="14">
        <f t="shared" si="16"/>
        <v>-1.1125401307391702E-2</v>
      </c>
      <c r="BS116" s="14">
        <f t="shared" si="17"/>
        <v>7.368379869325592E-3</v>
      </c>
      <c r="BT116" s="14">
        <f t="shared" si="18"/>
        <v>-5.9129570112043117E-3</v>
      </c>
      <c r="BV116" s="749">
        <v>44967</v>
      </c>
      <c r="BW116">
        <f t="shared" si="19"/>
        <v>1.9654522914884827</v>
      </c>
      <c r="BX116">
        <f t="shared" si="20"/>
        <v>4.3258194366229556</v>
      </c>
    </row>
    <row r="117" spans="1:76" x14ac:dyDescent="0.3">
      <c r="A117" s="749">
        <v>44960</v>
      </c>
      <c r="B117">
        <v>92200</v>
      </c>
      <c r="C117">
        <v>3082.1060000000002</v>
      </c>
      <c r="D117">
        <v>63800</v>
      </c>
      <c r="E117">
        <v>62.41</v>
      </c>
      <c r="F117">
        <v>12573.36</v>
      </c>
      <c r="G117">
        <v>2457.27</v>
      </c>
      <c r="H117">
        <v>766.79</v>
      </c>
      <c r="I117">
        <v>325.86</v>
      </c>
      <c r="J117">
        <v>2252.6799999999998</v>
      </c>
      <c r="K117">
        <v>18740000</v>
      </c>
      <c r="L117">
        <v>4136.4799999999996</v>
      </c>
      <c r="M117" s="749">
        <v>44960</v>
      </c>
      <c r="N117">
        <v>0.94100294985250732</v>
      </c>
      <c r="O117">
        <v>0.82321428571428568</v>
      </c>
      <c r="P117">
        <v>0.86512337122262262</v>
      </c>
      <c r="Q117">
        <v>0.87758301308135678</v>
      </c>
      <c r="R117">
        <v>0.9184167741212087</v>
      </c>
      <c r="S117">
        <v>0.98780351398533606</v>
      </c>
      <c r="AO117" s="749">
        <v>44960</v>
      </c>
      <c r="AP117">
        <v>12573.36</v>
      </c>
      <c r="AQ117">
        <v>2457.27</v>
      </c>
      <c r="AR117">
        <f t="shared" si="11"/>
        <v>2.889232041913691</v>
      </c>
      <c r="AS117">
        <f t="shared" si="12"/>
        <v>1.2536708059957349</v>
      </c>
      <c r="BF117" s="749">
        <v>44960</v>
      </c>
      <c r="BG117">
        <v>12573.36</v>
      </c>
      <c r="BH117">
        <v>92200</v>
      </c>
      <c r="BI117">
        <v>3082.1060000000002</v>
      </c>
      <c r="BJ117">
        <v>62.41</v>
      </c>
      <c r="BK117">
        <v>4136.4799999999996</v>
      </c>
      <c r="BL117">
        <v>766.79</v>
      </c>
      <c r="BM117">
        <v>2252.6799999999998</v>
      </c>
      <c r="BN117" s="14">
        <f t="shared" si="21"/>
        <v>3.3432511958969569E-2</v>
      </c>
      <c r="BO117" s="14">
        <f t="shared" si="13"/>
        <v>7.6502732240437687E-3</v>
      </c>
      <c r="BP117" s="14">
        <f t="shared" si="14"/>
        <v>4.6460288163929553E-2</v>
      </c>
      <c r="BQ117" s="14">
        <f t="shared" si="15"/>
        <v>-2.2858932206043514E-2</v>
      </c>
      <c r="BR117" s="14">
        <f t="shared" si="16"/>
        <v>1.6194331983805599E-2</v>
      </c>
      <c r="BS117" s="14">
        <f t="shared" si="17"/>
        <v>3.4455311973018432E-2</v>
      </c>
      <c r="BT117" s="14">
        <f t="shared" si="18"/>
        <v>-6.2685000154396597E-3</v>
      </c>
      <c r="BV117" s="749">
        <v>44960</v>
      </c>
      <c r="BW117">
        <f t="shared" si="19"/>
        <v>1.9875647469224189</v>
      </c>
      <c r="BX117">
        <f t="shared" si="20"/>
        <v>4.4277533875027304</v>
      </c>
    </row>
    <row r="118" spans="1:76" x14ac:dyDescent="0.3">
      <c r="A118" s="749">
        <v>44953</v>
      </c>
      <c r="B118">
        <v>91500</v>
      </c>
      <c r="C118">
        <v>2945.268</v>
      </c>
      <c r="D118">
        <v>64600</v>
      </c>
      <c r="E118">
        <v>63.87</v>
      </c>
      <c r="F118">
        <v>12166.6</v>
      </c>
      <c r="G118">
        <v>2474.0700000000002</v>
      </c>
      <c r="H118">
        <v>741.25</v>
      </c>
      <c r="I118">
        <v>327.98</v>
      </c>
      <c r="J118">
        <v>2266.89</v>
      </c>
      <c r="K118">
        <v>8490000</v>
      </c>
      <c r="L118">
        <v>4070.56</v>
      </c>
      <c r="M118" s="749">
        <v>44953</v>
      </c>
      <c r="N118">
        <v>0.9528023598820059</v>
      </c>
      <c r="O118">
        <v>0.8169642857142857</v>
      </c>
      <c r="P118">
        <v>0.88536179650679225</v>
      </c>
      <c r="Q118">
        <v>0.84919237872419429</v>
      </c>
      <c r="R118">
        <v>0.92469585692661327</v>
      </c>
      <c r="S118">
        <v>0.94394744373767892</v>
      </c>
      <c r="AO118" s="749">
        <v>44953</v>
      </c>
      <c r="AP118">
        <v>12166.6</v>
      </c>
      <c r="AQ118">
        <v>2474.0700000000002</v>
      </c>
      <c r="AR118">
        <f t="shared" si="11"/>
        <v>2.795762672916954</v>
      </c>
      <c r="AS118">
        <f t="shared" si="12"/>
        <v>1.2622419721845251</v>
      </c>
      <c r="BF118" s="749">
        <v>44953</v>
      </c>
      <c r="BG118">
        <v>12166.6</v>
      </c>
      <c r="BH118">
        <v>91500</v>
      </c>
      <c r="BI118">
        <v>2945.268</v>
      </c>
      <c r="BJ118">
        <v>63.87</v>
      </c>
      <c r="BK118">
        <v>4070.56</v>
      </c>
      <c r="BL118">
        <v>741.25</v>
      </c>
      <c r="BM118">
        <v>2266.89</v>
      </c>
      <c r="BN118" s="14">
        <f t="shared" si="21"/>
        <v>4.7126997692578332E-2</v>
      </c>
      <c r="BO118" s="14">
        <f t="shared" si="13"/>
        <v>4.4520547945205546E-2</v>
      </c>
      <c r="BP118" s="14">
        <f t="shared" si="14"/>
        <v>5.3878905482641404E-2</v>
      </c>
      <c r="BQ118" s="14">
        <f t="shared" si="15"/>
        <v>9.2541908997605171E-2</v>
      </c>
      <c r="BR118" s="14">
        <f t="shared" si="16"/>
        <v>2.4656334248768452E-2</v>
      </c>
      <c r="BS118" s="14">
        <f t="shared" si="17"/>
        <v>3.2424753123389438E-2</v>
      </c>
      <c r="BT118" s="14">
        <f t="shared" si="18"/>
        <v>4.5020583340632303E-2</v>
      </c>
      <c r="BV118" s="749">
        <v>44953</v>
      </c>
      <c r="BW118">
        <f t="shared" si="19"/>
        <v>1.955890408326046</v>
      </c>
      <c r="BX118">
        <f t="shared" si="20"/>
        <v>4.2311719207916241</v>
      </c>
    </row>
    <row r="119" spans="1:76" x14ac:dyDescent="0.3">
      <c r="A119" s="749">
        <v>44946</v>
      </c>
      <c r="B119">
        <v>87600</v>
      </c>
      <c r="C119">
        <v>2794.6930000000002</v>
      </c>
      <c r="D119">
        <v>61800</v>
      </c>
      <c r="E119">
        <v>58.46</v>
      </c>
      <c r="F119">
        <v>11619.03</v>
      </c>
      <c r="G119">
        <v>2375.33</v>
      </c>
      <c r="H119">
        <v>717.97</v>
      </c>
      <c r="I119">
        <v>315.58</v>
      </c>
      <c r="J119">
        <v>2169.23</v>
      </c>
      <c r="K119">
        <v>8650000</v>
      </c>
      <c r="L119">
        <v>3972.61</v>
      </c>
      <c r="M119" s="749">
        <v>44946</v>
      </c>
      <c r="N119">
        <v>0.91150442477876104</v>
      </c>
      <c r="O119">
        <v>0.78214285714285714</v>
      </c>
      <c r="P119">
        <v>0.8103687274743554</v>
      </c>
      <c r="Q119">
        <v>0.8109736264994144</v>
      </c>
      <c r="R119">
        <v>0.88779129524770595</v>
      </c>
      <c r="S119">
        <v>0.89568871606304934</v>
      </c>
      <c r="AO119" s="749">
        <v>44946</v>
      </c>
      <c r="AP119">
        <v>11619.03</v>
      </c>
      <c r="AQ119">
        <v>2375.33</v>
      </c>
      <c r="AR119">
        <f t="shared" si="11"/>
        <v>2.6699365779677375</v>
      </c>
      <c r="AS119">
        <f t="shared" si="12"/>
        <v>1.211865963286838</v>
      </c>
      <c r="BF119" s="749">
        <v>44946</v>
      </c>
      <c r="BG119">
        <v>11619.03</v>
      </c>
      <c r="BH119">
        <v>87600</v>
      </c>
      <c r="BI119">
        <v>2794.6930000000002</v>
      </c>
      <c r="BJ119">
        <v>58.46</v>
      </c>
      <c r="BK119">
        <v>3972.61</v>
      </c>
      <c r="BL119">
        <v>717.97</v>
      </c>
      <c r="BM119">
        <v>2169.23</v>
      </c>
      <c r="BN119" s="14">
        <f t="shared" si="21"/>
        <v>6.7192422462285517E-3</v>
      </c>
      <c r="BO119" s="14">
        <f t="shared" si="13"/>
        <v>2.2170361726954413E-2</v>
      </c>
      <c r="BP119" s="14">
        <f t="shared" si="14"/>
        <v>-2.1316381156889497E-3</v>
      </c>
      <c r="BQ119" s="14">
        <f t="shared" si="15"/>
        <v>2.687510978394525E-2</v>
      </c>
      <c r="BR119" s="14">
        <f t="shared" si="16"/>
        <v>-6.6215063927043127E-3</v>
      </c>
      <c r="BS119" s="14">
        <f t="shared" si="17"/>
        <v>8.6398246747771967E-3</v>
      </c>
      <c r="BT119" s="14">
        <f t="shared" si="18"/>
        <v>5.0548574817450564E-3</v>
      </c>
      <c r="BV119" s="749">
        <v>44946</v>
      </c>
      <c r="BW119">
        <f t="shared" si="19"/>
        <v>1.9088257623079217</v>
      </c>
      <c r="BX119">
        <f t="shared" si="20"/>
        <v>4.0148558802909982</v>
      </c>
    </row>
    <row r="120" spans="1:76" x14ac:dyDescent="0.3">
      <c r="A120" s="749">
        <v>44939</v>
      </c>
      <c r="B120">
        <v>85700</v>
      </c>
      <c r="C120">
        <v>2800.663</v>
      </c>
      <c r="D120">
        <v>60800</v>
      </c>
      <c r="E120">
        <v>56.93</v>
      </c>
      <c r="F120">
        <v>11541.48</v>
      </c>
      <c r="G120">
        <v>2362.4499999999998</v>
      </c>
      <c r="H120">
        <v>711.82</v>
      </c>
      <c r="I120">
        <v>313.77</v>
      </c>
      <c r="J120">
        <v>2158.3200000000002</v>
      </c>
      <c r="K120">
        <v>15260000</v>
      </c>
      <c r="L120">
        <v>3999.09</v>
      </c>
      <c r="M120" s="749">
        <v>44939</v>
      </c>
      <c r="N120">
        <v>0.89675516224188789</v>
      </c>
      <c r="O120">
        <v>0.76517857142857137</v>
      </c>
      <c r="P120">
        <v>0.78915996673135569</v>
      </c>
      <c r="Q120">
        <v>0.8055608678840197</v>
      </c>
      <c r="R120">
        <v>0.88297733176356252</v>
      </c>
      <c r="S120">
        <v>0.8976020788670841</v>
      </c>
      <c r="AO120" s="749">
        <v>44939</v>
      </c>
      <c r="AP120">
        <v>11541.48</v>
      </c>
      <c r="AQ120">
        <v>2362.4499999999998</v>
      </c>
      <c r="AR120">
        <f t="shared" si="11"/>
        <v>2.652116365641803</v>
      </c>
      <c r="AS120">
        <f t="shared" si="12"/>
        <v>1.2052947358754322</v>
      </c>
      <c r="BF120" s="749">
        <v>44939</v>
      </c>
      <c r="BG120">
        <v>11541.48</v>
      </c>
      <c r="BH120">
        <v>85700</v>
      </c>
      <c r="BI120">
        <v>2800.663</v>
      </c>
      <c r="BJ120">
        <v>56.93</v>
      </c>
      <c r="BK120">
        <v>3999.09</v>
      </c>
      <c r="BL120">
        <v>711.82</v>
      </c>
      <c r="BM120">
        <v>2158.3200000000002</v>
      </c>
      <c r="BN120" s="14">
        <f t="shared" si="21"/>
        <v>4.5390771125915386E-2</v>
      </c>
      <c r="BO120" s="14">
        <f t="shared" si="13"/>
        <v>3.1287605294825438E-2</v>
      </c>
      <c r="BP120" s="14">
        <f t="shared" si="14"/>
        <v>6.2426287915371859E-2</v>
      </c>
      <c r="BQ120" s="14">
        <f t="shared" si="15"/>
        <v>2.8183899947153979E-3</v>
      </c>
      <c r="BR120" s="14">
        <f t="shared" si="16"/>
        <v>2.6702917526726155E-2</v>
      </c>
      <c r="BS120" s="14">
        <f t="shared" si="17"/>
        <v>3.321043922547684E-2</v>
      </c>
      <c r="BT120" s="14">
        <f t="shared" si="18"/>
        <v>3.9457905306806706E-2</v>
      </c>
      <c r="BV120" s="749">
        <v>44939</v>
      </c>
      <c r="BW120">
        <f t="shared" si="19"/>
        <v>1.9215493133702997</v>
      </c>
      <c r="BX120">
        <f t="shared" si="20"/>
        <v>4.023432382112607</v>
      </c>
    </row>
    <row r="121" spans="1:76" x14ac:dyDescent="0.3">
      <c r="A121" s="749">
        <v>44932</v>
      </c>
      <c r="B121">
        <v>83100</v>
      </c>
      <c r="C121">
        <v>2636.1010000000001</v>
      </c>
      <c r="D121">
        <v>59000</v>
      </c>
      <c r="E121">
        <v>56.77</v>
      </c>
      <c r="F121">
        <v>11040.35</v>
      </c>
      <c r="G121">
        <v>2273.23</v>
      </c>
      <c r="H121">
        <v>688.94</v>
      </c>
      <c r="I121">
        <v>301.52999999999997</v>
      </c>
      <c r="J121">
        <v>2076.39</v>
      </c>
      <c r="K121">
        <v>16450000</v>
      </c>
      <c r="L121">
        <v>3895.08</v>
      </c>
      <c r="M121" s="749">
        <v>44932</v>
      </c>
      <c r="N121">
        <v>0.87020648967551617</v>
      </c>
      <c r="O121">
        <v>0.74196428571428574</v>
      </c>
      <c r="P121">
        <v>0.78694205711117271</v>
      </c>
      <c r="Q121">
        <v>0.77058348909700813</v>
      </c>
      <c r="R121">
        <v>0.84963091700771798</v>
      </c>
      <c r="S121">
        <v>0.84486056969496126</v>
      </c>
      <c r="AO121" s="749">
        <v>44932</v>
      </c>
      <c r="AP121">
        <v>11040.35</v>
      </c>
      <c r="AQ121">
        <v>2273.23</v>
      </c>
      <c r="AR121">
        <f t="shared" si="11"/>
        <v>2.5369617169906706</v>
      </c>
      <c r="AS121">
        <f t="shared" si="12"/>
        <v>1.1597757211513933</v>
      </c>
      <c r="BF121" s="749">
        <v>44932</v>
      </c>
      <c r="BG121">
        <v>11040.35</v>
      </c>
      <c r="BH121">
        <v>83100</v>
      </c>
      <c r="BI121">
        <v>2636.1010000000001</v>
      </c>
      <c r="BJ121">
        <v>56.77</v>
      </c>
      <c r="BK121">
        <v>3895.08</v>
      </c>
      <c r="BL121">
        <v>688.94</v>
      </c>
      <c r="BM121">
        <v>2076.39</v>
      </c>
      <c r="BN121" s="14">
        <f t="shared" si="21"/>
        <v>9.1949000709339312E-3</v>
      </c>
      <c r="BO121" s="14">
        <f t="shared" si="13"/>
        <v>0.1080000000000001</v>
      </c>
      <c r="BP121" s="14">
        <f t="shared" si="14"/>
        <v>4.1067677469370567E-2</v>
      </c>
      <c r="BQ121" s="14">
        <f t="shared" si="15"/>
        <v>0.13585434173669486</v>
      </c>
      <c r="BR121" s="14">
        <f t="shared" si="16"/>
        <v>1.447584320875106E-2</v>
      </c>
      <c r="BS121" s="14">
        <f t="shared" si="17"/>
        <v>1.4206009215504523E-2</v>
      </c>
      <c r="BT121" s="14">
        <f t="shared" si="18"/>
        <v>4.6725815395473047E-2</v>
      </c>
      <c r="BV121" s="749">
        <v>44932</v>
      </c>
      <c r="BW121">
        <f t="shared" si="19"/>
        <v>1.8715728577057247</v>
      </c>
      <c r="BX121">
        <f t="shared" si="20"/>
        <v>3.7870226178299298</v>
      </c>
    </row>
    <row r="122" spans="1:76" x14ac:dyDescent="0.3">
      <c r="A122" s="749">
        <v>44925</v>
      </c>
      <c r="B122">
        <v>75000</v>
      </c>
      <c r="C122">
        <v>2532.1129999999998</v>
      </c>
      <c r="D122">
        <v>55300</v>
      </c>
      <c r="E122">
        <v>49.98</v>
      </c>
      <c r="F122">
        <v>10939.76</v>
      </c>
      <c r="G122">
        <v>2184.56</v>
      </c>
      <c r="H122">
        <v>679.29</v>
      </c>
      <c r="I122">
        <v>291.10000000000002</v>
      </c>
      <c r="J122">
        <v>1983.7</v>
      </c>
      <c r="K122">
        <v>6740000</v>
      </c>
      <c r="L122">
        <v>3839.5</v>
      </c>
      <c r="M122" s="749">
        <v>44925</v>
      </c>
      <c r="N122">
        <v>0.81563421828908556</v>
      </c>
      <c r="O122">
        <v>0.6696428571428571</v>
      </c>
      <c r="P122">
        <v>0.69281951760465754</v>
      </c>
      <c r="Q122">
        <v>0.76356260722566627</v>
      </c>
      <c r="R122">
        <v>0.81649006746276453</v>
      </c>
      <c r="S122">
        <v>0.81153280231372671</v>
      </c>
      <c r="AO122" s="749">
        <v>44925</v>
      </c>
      <c r="AP122">
        <v>10939.76</v>
      </c>
      <c r="AQ122">
        <v>2184.56</v>
      </c>
      <c r="AR122">
        <f t="shared" si="11"/>
        <v>2.5138471437106484</v>
      </c>
      <c r="AS122">
        <f t="shared" si="12"/>
        <v>1.1145373100823444</v>
      </c>
      <c r="BF122" s="749">
        <v>44925</v>
      </c>
      <c r="BG122">
        <v>10939.76</v>
      </c>
      <c r="BH122">
        <v>75000</v>
      </c>
      <c r="BI122">
        <v>2532.1129999999998</v>
      </c>
      <c r="BJ122">
        <v>49.98</v>
      </c>
      <c r="BK122">
        <v>3839.5</v>
      </c>
      <c r="BL122">
        <v>679.29</v>
      </c>
      <c r="BM122">
        <v>1983.7</v>
      </c>
      <c r="BN122" s="14">
        <f t="shared" si="21"/>
        <v>-4.1591377685940012E-3</v>
      </c>
      <c r="BO122" s="14">
        <f t="shared" si="13"/>
        <v>-3.5989717223650408E-2</v>
      </c>
      <c r="BP122" s="14">
        <f t="shared" si="14"/>
        <v>-1.3314985787752365E-3</v>
      </c>
      <c r="BQ122" s="14">
        <f t="shared" si="15"/>
        <v>-4.3824701195220861E-3</v>
      </c>
      <c r="BR122" s="14">
        <f t="shared" si="16"/>
        <v>-1.3836798601755129E-3</v>
      </c>
      <c r="BS122" s="14">
        <f t="shared" si="17"/>
        <v>-1.7301989150090513E-2</v>
      </c>
      <c r="BT122" s="14">
        <f t="shared" si="18"/>
        <v>-3.7557432645516253E-2</v>
      </c>
      <c r="BV122" s="749">
        <v>44925</v>
      </c>
      <c r="BW122">
        <f t="shared" si="19"/>
        <v>1.8448668543806881</v>
      </c>
      <c r="BX122">
        <f t="shared" si="20"/>
        <v>3.637633460137224</v>
      </c>
    </row>
    <row r="123" spans="1:76" x14ac:dyDescent="0.3">
      <c r="A123" s="749">
        <v>44918</v>
      </c>
      <c r="B123">
        <v>77800</v>
      </c>
      <c r="C123">
        <v>2535.489</v>
      </c>
      <c r="D123">
        <v>58100</v>
      </c>
      <c r="E123">
        <v>50.2</v>
      </c>
      <c r="F123">
        <v>10985.45</v>
      </c>
      <c r="G123">
        <v>2269.64</v>
      </c>
      <c r="H123">
        <v>691.25</v>
      </c>
      <c r="I123">
        <v>302.07</v>
      </c>
      <c r="J123">
        <v>2061.11</v>
      </c>
      <c r="K123">
        <v>8310000</v>
      </c>
      <c r="L123">
        <v>3844.82</v>
      </c>
      <c r="M123" s="749">
        <v>44918</v>
      </c>
      <c r="N123">
        <v>0.85693215339233042</v>
      </c>
      <c r="O123">
        <v>0.69464285714285712</v>
      </c>
      <c r="P123">
        <v>0.69586914333240923</v>
      </c>
      <c r="Q123">
        <v>0.76675163290119674</v>
      </c>
      <c r="R123">
        <v>0.84828913681299156</v>
      </c>
      <c r="S123">
        <v>0.8126147977620386</v>
      </c>
      <c r="AO123" s="749">
        <v>44918</v>
      </c>
      <c r="AP123">
        <v>10985.45</v>
      </c>
      <c r="AQ123">
        <v>2269.64</v>
      </c>
      <c r="AR123">
        <f t="shared" si="11"/>
        <v>2.524346247529758</v>
      </c>
      <c r="AS123">
        <f t="shared" si="12"/>
        <v>1.1579441445670031</v>
      </c>
      <c r="BF123" s="749">
        <v>44918</v>
      </c>
      <c r="BG123">
        <v>10985.45</v>
      </c>
      <c r="BH123">
        <v>77800</v>
      </c>
      <c r="BI123">
        <v>2535.489</v>
      </c>
      <c r="BJ123">
        <v>50.2</v>
      </c>
      <c r="BK123">
        <v>3844.82</v>
      </c>
      <c r="BL123">
        <v>691.25</v>
      </c>
      <c r="BM123">
        <v>2061.11</v>
      </c>
      <c r="BN123" s="14">
        <f t="shared" si="21"/>
        <v>-2.2970155784740154E-2</v>
      </c>
      <c r="BO123" s="14">
        <f t="shared" si="13"/>
        <v>-7.6530612244898322E-3</v>
      </c>
      <c r="BP123" s="14">
        <f t="shared" si="14"/>
        <v>-3.8165515153653407E-2</v>
      </c>
      <c r="BQ123" s="14">
        <f t="shared" si="15"/>
        <v>-3.5913193777607044E-2</v>
      </c>
      <c r="BR123" s="14">
        <f t="shared" si="16"/>
        <v>-1.9572417946401854E-3</v>
      </c>
      <c r="BS123" s="14">
        <f t="shared" si="17"/>
        <v>-3.6464504258373776E-2</v>
      </c>
      <c r="BT123" s="14">
        <f t="shared" si="18"/>
        <v>-2.0431538424979689E-2</v>
      </c>
      <c r="BV123" s="749">
        <v>44918</v>
      </c>
      <c r="BW123">
        <f t="shared" si="19"/>
        <v>1.8474230965125555</v>
      </c>
      <c r="BX123">
        <f t="shared" si="20"/>
        <v>3.6424834216363449</v>
      </c>
    </row>
    <row r="124" spans="1:76" x14ac:dyDescent="0.3">
      <c r="A124" s="749">
        <v>44911</v>
      </c>
      <c r="B124">
        <v>78400</v>
      </c>
      <c r="C124">
        <v>2636.0970000000002</v>
      </c>
      <c r="D124">
        <v>59500</v>
      </c>
      <c r="E124">
        <v>52.07</v>
      </c>
      <c r="F124">
        <v>11243.72</v>
      </c>
      <c r="G124">
        <v>2312.38</v>
      </c>
      <c r="H124">
        <v>717.41</v>
      </c>
      <c r="I124">
        <v>307.48</v>
      </c>
      <c r="J124">
        <v>2104.1</v>
      </c>
      <c r="K124">
        <v>11900000</v>
      </c>
      <c r="L124">
        <v>3852.36</v>
      </c>
      <c r="M124" s="749">
        <v>44911</v>
      </c>
      <c r="N124">
        <v>0.8775811209439528</v>
      </c>
      <c r="O124">
        <v>0.7</v>
      </c>
      <c r="P124">
        <v>0.72179096201829773</v>
      </c>
      <c r="Q124">
        <v>0.78477810830542605</v>
      </c>
      <c r="R124">
        <v>0.86426342247388388</v>
      </c>
      <c r="S124">
        <v>0.84485928770983298</v>
      </c>
      <c r="AO124" s="749">
        <v>44911</v>
      </c>
      <c r="AP124">
        <v>11243.72</v>
      </c>
      <c r="AQ124">
        <v>2312.38</v>
      </c>
      <c r="AR124">
        <f t="shared" si="11"/>
        <v>2.5836941035893193</v>
      </c>
      <c r="AS124">
        <f t="shared" si="12"/>
        <v>1.1797495995020562</v>
      </c>
      <c r="BF124" s="749">
        <v>44911</v>
      </c>
      <c r="BG124">
        <v>11243.72</v>
      </c>
      <c r="BH124">
        <v>78400</v>
      </c>
      <c r="BI124">
        <v>2636.0970000000002</v>
      </c>
      <c r="BJ124">
        <v>52.07</v>
      </c>
      <c r="BK124">
        <v>3852.36</v>
      </c>
      <c r="BL124">
        <v>717.41</v>
      </c>
      <c r="BM124">
        <v>2104.1</v>
      </c>
      <c r="BN124" s="14">
        <f t="shared" si="21"/>
        <v>-2.763996184490114E-2</v>
      </c>
      <c r="BO124" s="14">
        <f t="shared" si="13"/>
        <v>-3.8036809815950923E-2</v>
      </c>
      <c r="BP124" s="14">
        <f t="shared" si="14"/>
        <v>-3.1208563271954204E-2</v>
      </c>
      <c r="BQ124" s="14">
        <f t="shared" si="15"/>
        <v>-5.1029706579187151E-2</v>
      </c>
      <c r="BR124" s="14">
        <f t="shared" si="16"/>
        <v>-2.0846994952190667E-2</v>
      </c>
      <c r="BS124" s="14">
        <f t="shared" si="17"/>
        <v>-2.8909366356725252E-3</v>
      </c>
      <c r="BT124" s="14">
        <f t="shared" si="18"/>
        <v>-1.5588887537311469E-2</v>
      </c>
      <c r="BV124" s="749">
        <v>44911</v>
      </c>
      <c r="BW124">
        <f t="shared" si="19"/>
        <v>1.8510460411881724</v>
      </c>
      <c r="BX124">
        <f t="shared" si="20"/>
        <v>3.7870168714300494</v>
      </c>
    </row>
    <row r="125" spans="1:76" x14ac:dyDescent="0.3">
      <c r="A125" s="749">
        <v>44904</v>
      </c>
      <c r="B125">
        <v>81500</v>
      </c>
      <c r="C125">
        <v>2721.0160000000001</v>
      </c>
      <c r="D125">
        <v>60400</v>
      </c>
      <c r="E125">
        <v>54.87</v>
      </c>
      <c r="F125">
        <v>11563.33</v>
      </c>
      <c r="G125">
        <v>2345.5500000000002</v>
      </c>
      <c r="H125">
        <v>719.49</v>
      </c>
      <c r="I125">
        <v>311.63</v>
      </c>
      <c r="J125">
        <v>2137.42</v>
      </c>
      <c r="K125">
        <v>16680000</v>
      </c>
      <c r="L125">
        <v>3934.38</v>
      </c>
      <c r="M125" s="749">
        <v>44904</v>
      </c>
      <c r="N125">
        <v>0.89085545722713866</v>
      </c>
      <c r="O125">
        <v>0.7276785714285714</v>
      </c>
      <c r="P125">
        <v>0.7606043803714998</v>
      </c>
      <c r="Q125">
        <v>0.80708593269054929</v>
      </c>
      <c r="R125">
        <v>0.87666087346526889</v>
      </c>
      <c r="S125">
        <v>0.87207551148802898</v>
      </c>
      <c r="AO125" s="749">
        <v>44904</v>
      </c>
      <c r="AP125">
        <v>11563.33</v>
      </c>
      <c r="AQ125">
        <v>2345.5500000000002</v>
      </c>
      <c r="AR125">
        <f t="shared" si="11"/>
        <v>2.657137276529252</v>
      </c>
      <c r="AS125">
        <f t="shared" si="12"/>
        <v>1.1966725508402805</v>
      </c>
      <c r="BF125" s="749">
        <v>44904</v>
      </c>
      <c r="BG125">
        <v>11563.33</v>
      </c>
      <c r="BH125">
        <v>81500</v>
      </c>
      <c r="BI125">
        <v>2721.0160000000001</v>
      </c>
      <c r="BJ125">
        <v>54.87</v>
      </c>
      <c r="BK125">
        <v>3934.38</v>
      </c>
      <c r="BL125">
        <v>719.49</v>
      </c>
      <c r="BM125">
        <v>2137.42</v>
      </c>
      <c r="BN125" s="14">
        <f t="shared" si="21"/>
        <v>-3.5928018902374959E-2</v>
      </c>
      <c r="BO125" s="14">
        <f t="shared" si="13"/>
        <v>-4.8840048840048667E-3</v>
      </c>
      <c r="BP125" s="14">
        <f t="shared" si="14"/>
        <v>-1.8121523436301912E-2</v>
      </c>
      <c r="BQ125" s="14">
        <f t="shared" si="15"/>
        <v>3.4747622531090538E-3</v>
      </c>
      <c r="BR125" s="14">
        <f t="shared" si="16"/>
        <v>-3.3725470933516632E-2</v>
      </c>
      <c r="BS125" s="14">
        <f t="shared" si="17"/>
        <v>-1.8364144893921908E-2</v>
      </c>
      <c r="BT125" s="14">
        <f t="shared" si="18"/>
        <v>-1.2241729092244968E-2</v>
      </c>
      <c r="BV125" s="749">
        <v>44904</v>
      </c>
      <c r="BW125">
        <f t="shared" si="19"/>
        <v>1.890456375709934</v>
      </c>
      <c r="BX125">
        <f t="shared" si="20"/>
        <v>3.9090115042925611</v>
      </c>
    </row>
    <row r="126" spans="1:76" x14ac:dyDescent="0.3">
      <c r="A126" s="749">
        <v>44897</v>
      </c>
      <c r="B126">
        <v>81900</v>
      </c>
      <c r="C126">
        <v>2771.2350000000001</v>
      </c>
      <c r="D126">
        <v>60400</v>
      </c>
      <c r="E126">
        <v>54.68</v>
      </c>
      <c r="F126">
        <v>11994.26</v>
      </c>
      <c r="G126">
        <v>2371.04</v>
      </c>
      <c r="H126">
        <v>732.95</v>
      </c>
      <c r="I126">
        <v>315.02</v>
      </c>
      <c r="J126">
        <v>2163.91</v>
      </c>
      <c r="K126">
        <v>14780000</v>
      </c>
      <c r="L126">
        <v>4071.7</v>
      </c>
      <c r="M126" s="749">
        <v>44897</v>
      </c>
      <c r="N126">
        <v>0.89085545722713866</v>
      </c>
      <c r="O126">
        <v>0.73124999999999996</v>
      </c>
      <c r="P126">
        <v>0.75797061269753252</v>
      </c>
      <c r="Q126">
        <v>0.83716356093209732</v>
      </c>
      <c r="R126">
        <v>0.88618788660275449</v>
      </c>
      <c r="S126">
        <v>0.88817051427794913</v>
      </c>
      <c r="AO126" s="749">
        <v>44897</v>
      </c>
      <c r="AP126">
        <v>11994.26</v>
      </c>
      <c r="AQ126">
        <v>2371.04</v>
      </c>
      <c r="AR126">
        <f t="shared" si="11"/>
        <v>2.7561606691483984</v>
      </c>
      <c r="AS126">
        <f t="shared" si="12"/>
        <v>1.2096772547779149</v>
      </c>
      <c r="BF126" s="749">
        <v>44897</v>
      </c>
      <c r="BG126">
        <v>11994.26</v>
      </c>
      <c r="BH126">
        <v>81900</v>
      </c>
      <c r="BI126">
        <v>2771.2350000000001</v>
      </c>
      <c r="BJ126">
        <v>54.68</v>
      </c>
      <c r="BK126">
        <v>4071.7</v>
      </c>
      <c r="BL126">
        <v>732.95</v>
      </c>
      <c r="BM126">
        <v>2163.91</v>
      </c>
      <c r="BN126" s="14">
        <f t="shared" si="21"/>
        <v>2.026449405113806E-2</v>
      </c>
      <c r="BO126" s="14">
        <f t="shared" si="13"/>
        <v>-3.7602820211515842E-2</v>
      </c>
      <c r="BP126" s="14">
        <f t="shared" si="14"/>
        <v>7.2562826417317261E-3</v>
      </c>
      <c r="BQ126" s="14">
        <f t="shared" si="15"/>
        <v>-6.3858928265707826E-2</v>
      </c>
      <c r="BR126" s="14">
        <f t="shared" si="16"/>
        <v>1.1321073390758274E-2</v>
      </c>
      <c r="BS126" s="14">
        <f t="shared" si="17"/>
        <v>-8.3156115382509999E-4</v>
      </c>
      <c r="BT126" s="14">
        <f t="shared" si="18"/>
        <v>-2.0430375310146465E-3</v>
      </c>
      <c r="BV126" s="749">
        <v>44897</v>
      </c>
      <c r="BW126">
        <f t="shared" si="19"/>
        <v>1.9564381744971604</v>
      </c>
      <c r="BX126">
        <f t="shared" si="20"/>
        <v>3.981156118191953</v>
      </c>
    </row>
    <row r="127" spans="1:76" x14ac:dyDescent="0.3">
      <c r="A127" s="749">
        <v>44890</v>
      </c>
      <c r="B127">
        <v>85100</v>
      </c>
      <c r="C127">
        <v>2751.2710000000002</v>
      </c>
      <c r="D127">
        <v>61000</v>
      </c>
      <c r="E127">
        <v>58.41</v>
      </c>
      <c r="F127">
        <v>11756.03</v>
      </c>
      <c r="G127">
        <v>2378.58</v>
      </c>
      <c r="H127">
        <v>733.56</v>
      </c>
      <c r="I127">
        <v>316.07</v>
      </c>
      <c r="J127">
        <v>2168.34</v>
      </c>
      <c r="K127">
        <v>8800000</v>
      </c>
      <c r="L127">
        <v>4026.12</v>
      </c>
      <c r="M127" s="749">
        <v>44890</v>
      </c>
      <c r="N127">
        <v>0.89970501474926257</v>
      </c>
      <c r="O127">
        <v>0.75982142857142854</v>
      </c>
      <c r="P127">
        <v>0.80967563071804816</v>
      </c>
      <c r="Q127">
        <v>0.8205358177348635</v>
      </c>
      <c r="R127">
        <v>0.88900599876660868</v>
      </c>
      <c r="S127">
        <v>0.88177212650244652</v>
      </c>
      <c r="AO127" s="749">
        <v>44890</v>
      </c>
      <c r="AP127">
        <v>11756.03</v>
      </c>
      <c r="AQ127">
        <v>2378.58</v>
      </c>
      <c r="AR127">
        <f t="shared" si="11"/>
        <v>2.7014178041270278</v>
      </c>
      <c r="AS127">
        <f t="shared" si="12"/>
        <v>1.2135240757935981</v>
      </c>
      <c r="BF127" s="749">
        <v>44890</v>
      </c>
      <c r="BG127">
        <v>11756.03</v>
      </c>
      <c r="BH127">
        <v>85100</v>
      </c>
      <c r="BI127">
        <v>2751.2710000000002</v>
      </c>
      <c r="BJ127">
        <v>58.41</v>
      </c>
      <c r="BK127">
        <v>4026.12</v>
      </c>
      <c r="BL127">
        <v>733.56</v>
      </c>
      <c r="BM127">
        <v>2168.34</v>
      </c>
      <c r="BN127" s="14">
        <f t="shared" si="21"/>
        <v>6.7662811230948527E-3</v>
      </c>
      <c r="BO127" s="14">
        <f t="shared" si="13"/>
        <v>-3.7330316742081426E-2</v>
      </c>
      <c r="BP127" s="14">
        <f t="shared" si="14"/>
        <v>1.0000627746620916E-2</v>
      </c>
      <c r="BQ127" s="14">
        <f t="shared" si="15"/>
        <v>-2.9020143393649889E-3</v>
      </c>
      <c r="BR127" s="14">
        <f t="shared" si="16"/>
        <v>1.5327815521493759E-2</v>
      </c>
      <c r="BS127" s="14">
        <f t="shared" si="17"/>
        <v>2.2406820417530948E-3</v>
      </c>
      <c r="BT127" s="14">
        <f t="shared" si="18"/>
        <v>-5.5447778649163615E-3</v>
      </c>
      <c r="BV127" s="749">
        <v>44890</v>
      </c>
      <c r="BW127">
        <f t="shared" si="19"/>
        <v>1.9345371375854084</v>
      </c>
      <c r="BX127">
        <f t="shared" si="20"/>
        <v>3.9524758363885031</v>
      </c>
    </row>
    <row r="128" spans="1:76" x14ac:dyDescent="0.3">
      <c r="A128" s="749">
        <v>44883</v>
      </c>
      <c r="B128">
        <v>88400</v>
      </c>
      <c r="C128">
        <v>2724.029</v>
      </c>
      <c r="D128">
        <v>61800</v>
      </c>
      <c r="E128">
        <v>58.58</v>
      </c>
      <c r="F128">
        <v>11677.02</v>
      </c>
      <c r="G128">
        <v>2388.96</v>
      </c>
      <c r="H128">
        <v>731.92</v>
      </c>
      <c r="I128">
        <v>317.12</v>
      </c>
      <c r="J128">
        <v>2180.4299999999998</v>
      </c>
      <c r="K128">
        <v>14240000</v>
      </c>
      <c r="L128">
        <v>3965.34</v>
      </c>
      <c r="M128" s="749">
        <v>44883</v>
      </c>
      <c r="N128">
        <v>0.91150442477876104</v>
      </c>
      <c r="O128">
        <v>0.78928571428571426</v>
      </c>
      <c r="P128">
        <v>0.81203215968949261</v>
      </c>
      <c r="Q128">
        <v>0.8150211554756458</v>
      </c>
      <c r="R128">
        <v>0.89288557492851928</v>
      </c>
      <c r="S128">
        <v>0.87304116678594468</v>
      </c>
      <c r="AO128" s="749">
        <v>44883</v>
      </c>
      <c r="AP128">
        <v>11677.02</v>
      </c>
      <c r="AQ128">
        <v>2388.96</v>
      </c>
      <c r="AR128">
        <f t="shared" si="11"/>
        <v>2.6832620984420239</v>
      </c>
      <c r="AS128">
        <f t="shared" si="12"/>
        <v>1.2188198320459578</v>
      </c>
      <c r="BF128" s="749">
        <v>44883</v>
      </c>
      <c r="BG128">
        <v>11677.02</v>
      </c>
      <c r="BH128">
        <v>88400</v>
      </c>
      <c r="BI128">
        <v>2724.029</v>
      </c>
      <c r="BJ128">
        <v>58.58</v>
      </c>
      <c r="BK128">
        <v>3965.34</v>
      </c>
      <c r="BL128">
        <v>731.92</v>
      </c>
      <c r="BM128">
        <v>2180.4299999999998</v>
      </c>
      <c r="BN128" s="14">
        <f t="shared" si="21"/>
        <v>-1.1846482316592799E-2</v>
      </c>
      <c r="BO128" s="14">
        <f t="shared" si="13"/>
        <v>-5.4545454545454564E-2</v>
      </c>
      <c r="BP128" s="14">
        <f t="shared" si="14"/>
        <v>-1.1204415702080972E-2</v>
      </c>
      <c r="BQ128" s="14">
        <f t="shared" si="15"/>
        <v>-6.301983365323105E-2</v>
      </c>
      <c r="BR128" s="14">
        <f t="shared" si="16"/>
        <v>-6.9097129175818006E-3</v>
      </c>
      <c r="BS128" s="14">
        <f t="shared" si="17"/>
        <v>9.5730423128470576E-4</v>
      </c>
      <c r="BT128" s="14">
        <f t="shared" si="18"/>
        <v>-2.2496088513904389E-2</v>
      </c>
      <c r="BV128" s="749">
        <v>44883</v>
      </c>
      <c r="BW128">
        <f t="shared" si="19"/>
        <v>1.9053325517254636</v>
      </c>
      <c r="BX128">
        <f t="shared" si="20"/>
        <v>3.9133399800025286</v>
      </c>
    </row>
    <row r="129" spans="1:76" x14ac:dyDescent="0.3">
      <c r="A129" s="749">
        <v>44876</v>
      </c>
      <c r="B129">
        <v>93500</v>
      </c>
      <c r="C129">
        <v>2754.8960000000002</v>
      </c>
      <c r="D129">
        <v>62900</v>
      </c>
      <c r="E129">
        <v>62.52</v>
      </c>
      <c r="F129">
        <v>11817.01</v>
      </c>
      <c r="G129">
        <v>2439.23</v>
      </c>
      <c r="H129">
        <v>731.22</v>
      </c>
      <c r="I129">
        <v>323.08999999999997</v>
      </c>
      <c r="J129">
        <v>2230.61</v>
      </c>
      <c r="K129">
        <v>17040000</v>
      </c>
      <c r="L129">
        <v>3992.93</v>
      </c>
      <c r="M129" s="749">
        <v>44876</v>
      </c>
      <c r="N129">
        <v>0.92772861356932157</v>
      </c>
      <c r="O129">
        <v>0.8348214285714286</v>
      </c>
      <c r="P129">
        <v>0.86664818408649846</v>
      </c>
      <c r="Q129">
        <v>0.82479203978988302</v>
      </c>
      <c r="R129">
        <v>0.91167423520397672</v>
      </c>
      <c r="S129">
        <v>0.88293392552499694</v>
      </c>
      <c r="AO129" s="749">
        <v>44876</v>
      </c>
      <c r="AP129">
        <v>11817.01</v>
      </c>
      <c r="AQ129">
        <v>2439.23</v>
      </c>
      <c r="AR129">
        <f t="shared" si="11"/>
        <v>2.7154303966174917</v>
      </c>
      <c r="AS129">
        <f t="shared" si="12"/>
        <v>1.2444670061120577</v>
      </c>
      <c r="BF129" s="749">
        <v>44876</v>
      </c>
      <c r="BG129">
        <v>11817.01</v>
      </c>
      <c r="BH129">
        <v>93500</v>
      </c>
      <c r="BI129">
        <v>2754.8960000000002</v>
      </c>
      <c r="BJ129">
        <v>62.52</v>
      </c>
      <c r="BK129">
        <v>3992.93</v>
      </c>
      <c r="BL129">
        <v>731.22</v>
      </c>
      <c r="BM129">
        <v>2230.61</v>
      </c>
      <c r="BN129" s="14">
        <f t="shared" si="21"/>
        <v>8.8420129630294886E-2</v>
      </c>
      <c r="BO129" s="14">
        <f t="shared" si="13"/>
        <v>0.10650887573964507</v>
      </c>
      <c r="BP129" s="14">
        <f t="shared" si="14"/>
        <v>0.14871764079932093</v>
      </c>
      <c r="BQ129" s="14">
        <f t="shared" si="15"/>
        <v>0.11324786324786329</v>
      </c>
      <c r="BR129" s="14">
        <f t="shared" si="16"/>
        <v>5.8978133163596791E-2</v>
      </c>
      <c r="BS129" s="14">
        <f t="shared" si="17"/>
        <v>5.379815244491204E-2</v>
      </c>
      <c r="BT129" s="14">
        <f t="shared" si="18"/>
        <v>6.5488103710992451E-2</v>
      </c>
      <c r="BV129" s="749">
        <v>44876</v>
      </c>
      <c r="BW129">
        <f t="shared" si="19"/>
        <v>1.9185894540597161</v>
      </c>
      <c r="BX129">
        <f t="shared" si="20"/>
        <v>3.9576835112801834</v>
      </c>
    </row>
    <row r="130" spans="1:76" x14ac:dyDescent="0.3">
      <c r="A130" s="749">
        <v>44869</v>
      </c>
      <c r="B130">
        <v>84500</v>
      </c>
      <c r="C130">
        <v>2398.2359999999999</v>
      </c>
      <c r="D130">
        <v>59400</v>
      </c>
      <c r="E130">
        <v>56.16</v>
      </c>
      <c r="F130">
        <v>10857.03</v>
      </c>
      <c r="G130">
        <v>2294.6</v>
      </c>
      <c r="H130">
        <v>693.89</v>
      </c>
      <c r="I130">
        <v>304.33</v>
      </c>
      <c r="J130">
        <v>2093.5100000000002</v>
      </c>
      <c r="K130">
        <v>18560000</v>
      </c>
      <c r="L130">
        <v>3770.55</v>
      </c>
      <c r="M130" s="749">
        <v>44869</v>
      </c>
      <c r="N130">
        <v>0.87610619469026552</v>
      </c>
      <c r="O130">
        <v>0.7544642857142857</v>
      </c>
      <c r="P130">
        <v>0.7784862766842251</v>
      </c>
      <c r="Q130">
        <v>0.75778830006574882</v>
      </c>
      <c r="R130">
        <v>0.85761805983816397</v>
      </c>
      <c r="S130">
        <v>0.76862572155731701</v>
      </c>
      <c r="AO130" s="749">
        <v>44869</v>
      </c>
      <c r="AP130">
        <v>10857.03</v>
      </c>
      <c r="AQ130">
        <v>2294.6</v>
      </c>
      <c r="AR130">
        <f t="shared" si="11"/>
        <v>2.4948366193299325</v>
      </c>
      <c r="AS130">
        <f t="shared" si="12"/>
        <v>1.1706784486189199</v>
      </c>
      <c r="BF130" s="749">
        <v>44869</v>
      </c>
      <c r="BG130">
        <v>10857.03</v>
      </c>
      <c r="BH130">
        <v>84500</v>
      </c>
      <c r="BI130">
        <v>2398.2359999999999</v>
      </c>
      <c r="BJ130">
        <v>56.16</v>
      </c>
      <c r="BK130">
        <v>3770.55</v>
      </c>
      <c r="BL130">
        <v>693.89</v>
      </c>
      <c r="BM130">
        <v>2093.5100000000002</v>
      </c>
      <c r="BN130" s="14">
        <f t="shared" si="21"/>
        <v>-5.9688850280741335E-2</v>
      </c>
      <c r="BO130" s="14">
        <f t="shared" si="13"/>
        <v>1.318944844124692E-2</v>
      </c>
      <c r="BP130" s="14">
        <f t="shared" si="14"/>
        <v>-1.4554234452198722E-2</v>
      </c>
      <c r="BQ130" s="14">
        <f t="shared" si="15"/>
        <v>3.9230199851961522E-2</v>
      </c>
      <c r="BR130" s="14">
        <f t="shared" si="16"/>
        <v>-3.3455009664040025E-2</v>
      </c>
      <c r="BS130" s="14">
        <f t="shared" si="17"/>
        <v>9.1037331122842957E-3</v>
      </c>
      <c r="BT130" s="14">
        <f t="shared" si="18"/>
        <v>3.2649014462443171E-2</v>
      </c>
      <c r="BV130" s="749">
        <v>44869</v>
      </c>
      <c r="BW130">
        <f t="shared" si="19"/>
        <v>1.8117366109610895</v>
      </c>
      <c r="BX130">
        <f t="shared" si="20"/>
        <v>3.4453057659376403</v>
      </c>
    </row>
    <row r="131" spans="1:76" x14ac:dyDescent="0.3">
      <c r="A131" s="749">
        <v>44862</v>
      </c>
      <c r="B131">
        <v>83400</v>
      </c>
      <c r="C131">
        <v>2433.6559999999999</v>
      </c>
      <c r="D131">
        <v>57300</v>
      </c>
      <c r="E131">
        <v>54.04</v>
      </c>
      <c r="F131">
        <v>11546.21</v>
      </c>
      <c r="G131">
        <v>2224.84</v>
      </c>
      <c r="H131">
        <v>687.63</v>
      </c>
      <c r="I131">
        <v>295.06</v>
      </c>
      <c r="J131">
        <v>2027.32</v>
      </c>
      <c r="K131">
        <v>20430000</v>
      </c>
      <c r="L131">
        <v>3901.06</v>
      </c>
      <c r="M131" s="749">
        <v>44862</v>
      </c>
      <c r="N131">
        <v>0.84513274336283184</v>
      </c>
      <c r="O131">
        <v>0.74464285714285716</v>
      </c>
      <c r="P131">
        <v>0.74909897421680061</v>
      </c>
      <c r="Q131">
        <v>0.80589100777119971</v>
      </c>
      <c r="R131">
        <v>0.83154491599857971</v>
      </c>
      <c r="S131">
        <v>0.7799776998686927</v>
      </c>
      <c r="AO131" s="749">
        <v>44862</v>
      </c>
      <c r="AP131">
        <v>11546.21</v>
      </c>
      <c r="AQ131">
        <v>2224.84</v>
      </c>
      <c r="AR131">
        <f t="shared" ref="AR131:AR194" si="22">+AP131/$AP$524</f>
        <v>2.6532032722092005</v>
      </c>
      <c r="AS131">
        <f t="shared" ref="AS131:AS194" si="23">+AQ131/$AQ$524</f>
        <v>1.1350877013968961</v>
      </c>
      <c r="BF131" s="749">
        <v>44862</v>
      </c>
      <c r="BG131">
        <v>11546.21</v>
      </c>
      <c r="BH131">
        <v>83400</v>
      </c>
      <c r="BI131">
        <v>2433.6559999999999</v>
      </c>
      <c r="BJ131">
        <v>54.04</v>
      </c>
      <c r="BK131">
        <v>3901.06</v>
      </c>
      <c r="BL131">
        <v>687.63</v>
      </c>
      <c r="BM131">
        <v>2027.32</v>
      </c>
      <c r="BN131" s="14">
        <f t="shared" si="21"/>
        <v>2.0855271243190865E-2</v>
      </c>
      <c r="BO131" s="14">
        <f t="shared" ref="BO131:BO194" si="24">+BH131/BH132-1</f>
        <v>-7.8453038674033193E-2</v>
      </c>
      <c r="BP131" s="14">
        <f t="shared" ref="BP131:BP194" si="25">+BI131/BI132-1</f>
        <v>4.1499389091811612E-2</v>
      </c>
      <c r="BQ131" s="14">
        <f t="shared" ref="BQ131:BQ194" si="26">+BJ131/BJ132-1</f>
        <v>-3.586083853702049E-2</v>
      </c>
      <c r="BR131" s="14">
        <f t="shared" ref="BR131:BR194" si="27">+BK131/BK132-1</f>
        <v>3.9520351742055704E-2</v>
      </c>
      <c r="BS131" s="14">
        <f t="shared" ref="BS131:BS194" si="28">+BL131/BL132-1</f>
        <v>1.9496501008184008E-2</v>
      </c>
      <c r="BT131" s="14">
        <f t="shared" ref="BT131:BT194" si="29">+BM131/BM132-1</f>
        <v>2.1947998265936741E-2</v>
      </c>
      <c r="BV131" s="749">
        <v>44862</v>
      </c>
      <c r="BW131">
        <f t="shared" ref="BW131:BW194" si="30">+L131/$L$524</f>
        <v>1.8744462276208691</v>
      </c>
      <c r="BX131">
        <f t="shared" ref="BX131:BX194" si="31">+C131/$C$524</f>
        <v>3.4961901368792452</v>
      </c>
    </row>
    <row r="132" spans="1:76" x14ac:dyDescent="0.3">
      <c r="A132" s="749">
        <v>44855</v>
      </c>
      <c r="B132">
        <v>90500</v>
      </c>
      <c r="C132">
        <v>2336.6849999999999</v>
      </c>
      <c r="D132">
        <v>55900</v>
      </c>
      <c r="E132">
        <v>56.05</v>
      </c>
      <c r="F132">
        <v>11310.33</v>
      </c>
      <c r="G132">
        <v>2176.25</v>
      </c>
      <c r="H132">
        <v>674.48</v>
      </c>
      <c r="I132">
        <v>288.57</v>
      </c>
      <c r="J132">
        <v>1983.78</v>
      </c>
      <c r="K132">
        <v>15190000</v>
      </c>
      <c r="L132">
        <v>3752.75</v>
      </c>
      <c r="M132" s="749">
        <v>44855</v>
      </c>
      <c r="N132">
        <v>0.82448377581120946</v>
      </c>
      <c r="O132">
        <v>0.8080357142857143</v>
      </c>
      <c r="P132">
        <v>0.77696146382034925</v>
      </c>
      <c r="Q132">
        <v>0.78942728756231129</v>
      </c>
      <c r="R132">
        <v>0.81338416400366276</v>
      </c>
      <c r="S132">
        <v>0.74889885489883368</v>
      </c>
      <c r="AO132" s="749">
        <v>44855</v>
      </c>
      <c r="AP132">
        <v>11310.33</v>
      </c>
      <c r="AQ132">
        <v>2176.25</v>
      </c>
      <c r="AR132">
        <f t="shared" si="22"/>
        <v>2.5990004136219493</v>
      </c>
      <c r="AS132">
        <f t="shared" si="23"/>
        <v>1.110297643949675</v>
      </c>
      <c r="BF132" s="749">
        <v>44855</v>
      </c>
      <c r="BG132">
        <v>11310.33</v>
      </c>
      <c r="BH132">
        <v>90500</v>
      </c>
      <c r="BI132">
        <v>2336.6849999999999</v>
      </c>
      <c r="BJ132">
        <v>56.05</v>
      </c>
      <c r="BK132">
        <v>3752.75</v>
      </c>
      <c r="BL132">
        <v>674.48</v>
      </c>
      <c r="BM132">
        <v>1983.78</v>
      </c>
      <c r="BN132" s="14">
        <f t="shared" ref="BN132:BN195" si="32">+BG132/BG133-1</f>
        <v>5.7825152496338461E-2</v>
      </c>
      <c r="BO132" s="14">
        <f t="shared" si="24"/>
        <v>-5.2356020942408432E-2</v>
      </c>
      <c r="BP132" s="14">
        <f t="shared" si="25"/>
        <v>8.0636426657812121E-2</v>
      </c>
      <c r="BQ132" s="14">
        <f t="shared" si="26"/>
        <v>6.3163884673748116E-2</v>
      </c>
      <c r="BR132" s="14">
        <f t="shared" si="27"/>
        <v>4.7356038257695188E-2</v>
      </c>
      <c r="BS132" s="14">
        <f t="shared" si="28"/>
        <v>-5.543760320830371E-3</v>
      </c>
      <c r="BT132" s="14">
        <f t="shared" si="29"/>
        <v>-2.840009449943004E-3</v>
      </c>
      <c r="BV132" s="749">
        <v>44855</v>
      </c>
      <c r="BW132">
        <f t="shared" si="30"/>
        <v>1.8031837707454426</v>
      </c>
      <c r="BX132">
        <f t="shared" si="31"/>
        <v>3.356881601176863</v>
      </c>
    </row>
    <row r="133" spans="1:76" x14ac:dyDescent="0.3">
      <c r="A133" s="749">
        <v>44848</v>
      </c>
      <c r="B133">
        <v>95500</v>
      </c>
      <c r="C133">
        <v>2162.3229999999999</v>
      </c>
      <c r="D133">
        <v>56300</v>
      </c>
      <c r="E133">
        <v>52.72</v>
      </c>
      <c r="F133">
        <v>10692.06</v>
      </c>
      <c r="G133">
        <v>2182.66</v>
      </c>
      <c r="H133">
        <v>678.24</v>
      </c>
      <c r="I133">
        <v>289.36</v>
      </c>
      <c r="J133">
        <v>1989.43</v>
      </c>
      <c r="K133">
        <v>16400000</v>
      </c>
      <c r="L133">
        <v>3583.07</v>
      </c>
      <c r="M133" s="749">
        <v>44848</v>
      </c>
      <c r="N133">
        <v>0.8303834808259587</v>
      </c>
      <c r="O133">
        <v>0.8526785714285714</v>
      </c>
      <c r="P133">
        <v>0.73080121985029112</v>
      </c>
      <c r="Q133">
        <v>0.74627388628390912</v>
      </c>
      <c r="R133">
        <v>0.81577993309786767</v>
      </c>
      <c r="S133">
        <v>0.69301648216229861</v>
      </c>
      <c r="AO133" s="749">
        <v>44848</v>
      </c>
      <c r="AP133">
        <v>10692.06</v>
      </c>
      <c r="AQ133">
        <v>2182.66</v>
      </c>
      <c r="AR133">
        <f t="shared" si="22"/>
        <v>2.4569281676547634</v>
      </c>
      <c r="AS133">
        <f t="shared" si="23"/>
        <v>1.1135679520014694</v>
      </c>
      <c r="BF133" s="749">
        <v>44848</v>
      </c>
      <c r="BG133">
        <v>10692.06</v>
      </c>
      <c r="BH133">
        <v>95500</v>
      </c>
      <c r="BI133">
        <v>2162.3229999999999</v>
      </c>
      <c r="BJ133">
        <v>52.72</v>
      </c>
      <c r="BK133">
        <v>3583.07</v>
      </c>
      <c r="BL133">
        <v>678.24</v>
      </c>
      <c r="BM133">
        <v>1989.43</v>
      </c>
      <c r="BN133" s="14">
        <f t="shared" si="32"/>
        <v>-3.1469807880269651E-2</v>
      </c>
      <c r="BO133" s="14">
        <f t="shared" si="24"/>
        <v>4.7149122807017552E-2</v>
      </c>
      <c r="BP133" s="14">
        <f t="shared" si="25"/>
        <v>-8.2497931473427433E-2</v>
      </c>
      <c r="BQ133" s="14">
        <f t="shared" si="26"/>
        <v>-3.5910035910035054E-3</v>
      </c>
      <c r="BR133" s="14">
        <f t="shared" si="27"/>
        <v>-1.554815559695133E-2</v>
      </c>
      <c r="BS133" s="14">
        <f t="shared" si="28"/>
        <v>-2.8991109393119441E-2</v>
      </c>
      <c r="BT133" s="14">
        <f t="shared" si="29"/>
        <v>5.3309997636263873E-4</v>
      </c>
      <c r="BV133" s="749">
        <v>44848</v>
      </c>
      <c r="BW133">
        <f t="shared" si="30"/>
        <v>1.7216531006448268</v>
      </c>
      <c r="BX133">
        <f t="shared" si="31"/>
        <v>3.1063931571870222</v>
      </c>
    </row>
    <row r="134" spans="1:76" x14ac:dyDescent="0.3">
      <c r="A134" s="749">
        <v>44841</v>
      </c>
      <c r="B134">
        <v>91200</v>
      </c>
      <c r="C134">
        <v>2356.75</v>
      </c>
      <c r="D134">
        <v>56200</v>
      </c>
      <c r="E134">
        <v>52.91</v>
      </c>
      <c r="F134">
        <v>11039.47</v>
      </c>
      <c r="G134">
        <v>2186.4899999999998</v>
      </c>
      <c r="H134">
        <v>698.49</v>
      </c>
      <c r="I134">
        <v>290.41000000000003</v>
      </c>
      <c r="J134">
        <v>1988.37</v>
      </c>
      <c r="K134">
        <v>16340000</v>
      </c>
      <c r="L134">
        <v>3639.66</v>
      </c>
      <c r="M134" s="749">
        <v>44841</v>
      </c>
      <c r="N134">
        <v>0.82890855457227142</v>
      </c>
      <c r="O134">
        <v>0.81428571428571428</v>
      </c>
      <c r="P134">
        <v>0.73343498752425829</v>
      </c>
      <c r="Q134">
        <v>0.77052206772264897</v>
      </c>
      <c r="R134">
        <v>0.81721141447552825</v>
      </c>
      <c r="S134">
        <v>0.75532961279882671</v>
      </c>
      <c r="AO134" s="749">
        <v>44841</v>
      </c>
      <c r="AP134">
        <v>11039.47</v>
      </c>
      <c r="AQ134">
        <v>2186.4899999999998</v>
      </c>
      <c r="AR134">
        <f t="shared" si="22"/>
        <v>2.5367595018153404</v>
      </c>
      <c r="AS134">
        <f t="shared" si="23"/>
        <v>1.115521973817128</v>
      </c>
      <c r="BF134" s="749">
        <v>44841</v>
      </c>
      <c r="BG134">
        <v>11039.47</v>
      </c>
      <c r="BH134">
        <v>91200</v>
      </c>
      <c r="BI134">
        <v>2356.75</v>
      </c>
      <c r="BJ134">
        <v>52.91</v>
      </c>
      <c r="BK134">
        <v>3639.66</v>
      </c>
      <c r="BL134">
        <v>698.49</v>
      </c>
      <c r="BM134">
        <v>1988.37</v>
      </c>
      <c r="BN134" s="14">
        <f t="shared" si="32"/>
        <v>6.220821385406472E-3</v>
      </c>
      <c r="BO134" s="14">
        <f t="shared" si="24"/>
        <v>9.7472924187725685E-2</v>
      </c>
      <c r="BP134" s="14">
        <f t="shared" si="25"/>
        <v>2.1698992108629689E-2</v>
      </c>
      <c r="BQ134" s="14">
        <f t="shared" si="26"/>
        <v>5.6087824351297222E-2</v>
      </c>
      <c r="BR134" s="14">
        <f t="shared" si="27"/>
        <v>1.5071312632124911E-2</v>
      </c>
      <c r="BS134" s="14">
        <f t="shared" si="28"/>
        <v>3.8415223370251939E-2</v>
      </c>
      <c r="BT134" s="14">
        <f t="shared" si="29"/>
        <v>3.1863495539629527E-2</v>
      </c>
      <c r="BV134" s="749">
        <v>44841</v>
      </c>
      <c r="BW134">
        <f t="shared" si="30"/>
        <v>1.7488444055776051</v>
      </c>
      <c r="BX134">
        <f t="shared" si="31"/>
        <v>3.3857069795772952</v>
      </c>
    </row>
    <row r="135" spans="1:76" x14ac:dyDescent="0.3">
      <c r="A135" s="749">
        <v>44834</v>
      </c>
      <c r="B135">
        <v>83100</v>
      </c>
      <c r="C135">
        <v>2306.6970000000001</v>
      </c>
      <c r="D135">
        <v>53100</v>
      </c>
      <c r="E135">
        <v>50.1</v>
      </c>
      <c r="F135">
        <v>10971.22</v>
      </c>
      <c r="G135">
        <v>2117.65</v>
      </c>
      <c r="H135">
        <v>672.65</v>
      </c>
      <c r="I135">
        <v>281.36</v>
      </c>
      <c r="J135">
        <v>1926.97</v>
      </c>
      <c r="K135">
        <v>15730000</v>
      </c>
      <c r="L135">
        <v>3585.62</v>
      </c>
      <c r="M135" s="749">
        <v>44834</v>
      </c>
      <c r="N135">
        <v>0.7831858407079646</v>
      </c>
      <c r="O135">
        <v>0.74196428571428574</v>
      </c>
      <c r="P135">
        <v>0.69448294981979486</v>
      </c>
      <c r="Q135">
        <v>0.76575842135900374</v>
      </c>
      <c r="R135">
        <v>0.79148212517052563</v>
      </c>
      <c r="S135">
        <v>0.73928781239173236</v>
      </c>
      <c r="AO135" s="749">
        <v>44834</v>
      </c>
      <c r="AP135">
        <v>10971.22</v>
      </c>
      <c r="AQ135">
        <v>2117.65</v>
      </c>
      <c r="AR135">
        <f t="shared" si="22"/>
        <v>2.5210763362286865</v>
      </c>
      <c r="AS135">
        <f t="shared" si="23"/>
        <v>1.0804005999816333</v>
      </c>
      <c r="BF135" s="749">
        <v>44834</v>
      </c>
      <c r="BG135">
        <v>10971.22</v>
      </c>
      <c r="BH135">
        <v>83100</v>
      </c>
      <c r="BI135">
        <v>2306.6970000000001</v>
      </c>
      <c r="BJ135">
        <v>50.1</v>
      </c>
      <c r="BK135">
        <v>3585.62</v>
      </c>
      <c r="BL135">
        <v>672.65</v>
      </c>
      <c r="BM135">
        <v>1926.97</v>
      </c>
      <c r="BN135" s="14">
        <f t="shared" si="32"/>
        <v>-3.0060364734547318E-2</v>
      </c>
      <c r="BO135" s="14">
        <f t="shared" si="24"/>
        <v>-4.7904191616766623E-3</v>
      </c>
      <c r="BP135" s="14">
        <f t="shared" si="25"/>
        <v>-4.2425261375028778E-2</v>
      </c>
      <c r="BQ135" s="14">
        <f t="shared" si="26"/>
        <v>0</v>
      </c>
      <c r="BR135" s="14">
        <f t="shared" si="27"/>
        <v>-2.9137096796029494E-2</v>
      </c>
      <c r="BS135" s="14">
        <f t="shared" si="28"/>
        <v>-7.7753098606997972E-2</v>
      </c>
      <c r="BT135" s="14">
        <f t="shared" si="29"/>
        <v>-5.2233704018847416E-2</v>
      </c>
      <c r="BV135" s="749">
        <v>44834</v>
      </c>
      <c r="BW135">
        <f t="shared" si="30"/>
        <v>1.7228783670802141</v>
      </c>
      <c r="BX135">
        <f t="shared" si="31"/>
        <v>3.3138008412729429</v>
      </c>
    </row>
    <row r="136" spans="1:76" x14ac:dyDescent="0.3">
      <c r="A136" s="749">
        <v>44827</v>
      </c>
      <c r="B136">
        <v>83500</v>
      </c>
      <c r="C136">
        <v>2408.895</v>
      </c>
      <c r="D136">
        <v>54500</v>
      </c>
      <c r="E136">
        <v>50.1</v>
      </c>
      <c r="F136">
        <v>11311.24</v>
      </c>
      <c r="G136">
        <v>2236.62</v>
      </c>
      <c r="H136">
        <v>729.36</v>
      </c>
      <c r="I136">
        <v>297.74</v>
      </c>
      <c r="J136">
        <v>2033.17</v>
      </c>
      <c r="K136">
        <v>15430000</v>
      </c>
      <c r="L136">
        <v>3693.23</v>
      </c>
      <c r="M136" s="749">
        <v>44827</v>
      </c>
      <c r="N136">
        <v>0.80383480825958697</v>
      </c>
      <c r="O136">
        <v>0.7455357142857143</v>
      </c>
      <c r="P136">
        <v>0.69448294981979486</v>
      </c>
      <c r="Q136">
        <v>0.78949080284715989</v>
      </c>
      <c r="R136">
        <v>0.8359477490609406</v>
      </c>
      <c r="S136">
        <v>0.77204189142803847</v>
      </c>
      <c r="AO136" s="749">
        <v>44827</v>
      </c>
      <c r="AP136">
        <v>11311.24</v>
      </c>
      <c r="AQ136">
        <v>2236.62</v>
      </c>
      <c r="AR136">
        <f t="shared" si="22"/>
        <v>2.5992095224964382</v>
      </c>
      <c r="AS136">
        <f t="shared" si="23"/>
        <v>1.1410977214983216</v>
      </c>
      <c r="BF136" s="749">
        <v>44827</v>
      </c>
      <c r="BG136">
        <v>11311.24</v>
      </c>
      <c r="BH136">
        <v>83500</v>
      </c>
      <c r="BI136">
        <v>2408.895</v>
      </c>
      <c r="BJ136">
        <v>50.1</v>
      </c>
      <c r="BK136">
        <v>3693.23</v>
      </c>
      <c r="BL136">
        <v>729.36</v>
      </c>
      <c r="BM136">
        <v>2033.17</v>
      </c>
      <c r="BN136" s="14">
        <f t="shared" si="32"/>
        <v>-4.6380775255493001E-2</v>
      </c>
      <c r="BO136" s="14">
        <f t="shared" si="24"/>
        <v>-8.4429824561403466E-2</v>
      </c>
      <c r="BP136" s="14">
        <f t="shared" si="25"/>
        <v>-6.0178874209856459E-2</v>
      </c>
      <c r="BQ136" s="14">
        <f t="shared" si="26"/>
        <v>-5.2034058656575177E-2</v>
      </c>
      <c r="BR136" s="14">
        <f t="shared" si="27"/>
        <v>-4.6497458259430524E-2</v>
      </c>
      <c r="BS136" s="14">
        <f t="shared" si="28"/>
        <v>-5.2828424497428639E-2</v>
      </c>
      <c r="BT136" s="14">
        <f t="shared" si="29"/>
        <v>-3.7388620072532963E-2</v>
      </c>
      <c r="BV136" s="749">
        <v>44827</v>
      </c>
      <c r="BW136">
        <f t="shared" si="30"/>
        <v>1.7745846106535716</v>
      </c>
      <c r="BX136">
        <f t="shared" si="31"/>
        <v>3.4606184850191357</v>
      </c>
    </row>
    <row r="137" spans="1:76" x14ac:dyDescent="0.3">
      <c r="A137" s="749">
        <v>44820</v>
      </c>
      <c r="B137">
        <v>91200</v>
      </c>
      <c r="C137">
        <v>2563.1419999999998</v>
      </c>
      <c r="D137">
        <v>56200</v>
      </c>
      <c r="E137">
        <v>52.85</v>
      </c>
      <c r="F137">
        <v>11861.38</v>
      </c>
      <c r="G137">
        <v>2318.63</v>
      </c>
      <c r="H137">
        <v>770.04</v>
      </c>
      <c r="I137">
        <v>308.69</v>
      </c>
      <c r="J137">
        <v>2112.14</v>
      </c>
      <c r="K137">
        <v>9730000</v>
      </c>
      <c r="L137">
        <v>3873.33</v>
      </c>
      <c r="M137" s="749">
        <v>44820</v>
      </c>
      <c r="N137">
        <v>0.82890855457227142</v>
      </c>
      <c r="O137">
        <v>0.81428571428571428</v>
      </c>
      <c r="P137">
        <v>0.73260327141668979</v>
      </c>
      <c r="Q137">
        <v>0.82788893340387482</v>
      </c>
      <c r="R137">
        <v>0.86659939077946591</v>
      </c>
      <c r="S137">
        <v>0.82147748145047639</v>
      </c>
      <c r="AO137" s="749">
        <v>44820</v>
      </c>
      <c r="AP137">
        <v>11861.38</v>
      </c>
      <c r="AQ137">
        <v>2318.63</v>
      </c>
      <c r="AR137">
        <f t="shared" si="22"/>
        <v>2.7256261776736062</v>
      </c>
      <c r="AS137">
        <f t="shared" si="23"/>
        <v>1.1829382773996715</v>
      </c>
      <c r="BF137" s="749">
        <v>44820</v>
      </c>
      <c r="BG137">
        <v>11861.38</v>
      </c>
      <c r="BH137">
        <v>91200</v>
      </c>
      <c r="BI137">
        <v>2563.1419999999998</v>
      </c>
      <c r="BJ137">
        <v>52.85</v>
      </c>
      <c r="BK137">
        <v>3873.33</v>
      </c>
      <c r="BL137">
        <v>770.04</v>
      </c>
      <c r="BM137">
        <v>2112.14</v>
      </c>
      <c r="BN137" s="14">
        <f t="shared" si="32"/>
        <v>-5.7744935968269018E-2</v>
      </c>
      <c r="BO137" s="14">
        <f t="shared" si="24"/>
        <v>8.8495575221239076E-3</v>
      </c>
      <c r="BP137" s="14">
        <f t="shared" si="25"/>
        <v>-5.828257599639064E-2</v>
      </c>
      <c r="BQ137" s="14">
        <f t="shared" si="26"/>
        <v>-7.9909470752089096E-2</v>
      </c>
      <c r="BR137" s="14">
        <f t="shared" si="27"/>
        <v>-4.7704161913378784E-2</v>
      </c>
      <c r="BS137" s="14">
        <f t="shared" si="28"/>
        <v>-9.9895861457167667E-3</v>
      </c>
      <c r="BT137" s="14">
        <f t="shared" si="29"/>
        <v>3.6469211933476409E-4</v>
      </c>
      <c r="BV137" s="749">
        <v>44820</v>
      </c>
      <c r="BW137">
        <f t="shared" si="30"/>
        <v>1.8611220557568304</v>
      </c>
      <c r="BX137">
        <f t="shared" si="31"/>
        <v>3.6822097206100377</v>
      </c>
    </row>
    <row r="138" spans="1:76" x14ac:dyDescent="0.3">
      <c r="A138" s="749">
        <v>44813</v>
      </c>
      <c r="B138">
        <v>90400</v>
      </c>
      <c r="C138">
        <v>2721.7739999999999</v>
      </c>
      <c r="D138">
        <v>55600</v>
      </c>
      <c r="E138">
        <v>57.44</v>
      </c>
      <c r="F138">
        <v>12588.29</v>
      </c>
      <c r="G138">
        <v>2319.64</v>
      </c>
      <c r="H138">
        <v>777.81</v>
      </c>
      <c r="I138">
        <v>309.12</v>
      </c>
      <c r="J138">
        <v>2111.37</v>
      </c>
      <c r="K138">
        <v>7160000</v>
      </c>
      <c r="L138">
        <v>4067.36</v>
      </c>
      <c r="M138" s="749">
        <v>44813</v>
      </c>
      <c r="N138">
        <v>0.82005899705014751</v>
      </c>
      <c r="O138">
        <v>0.80714285714285716</v>
      </c>
      <c r="P138">
        <v>0.79622955364568893</v>
      </c>
      <c r="Q138">
        <v>0.87862508253497185</v>
      </c>
      <c r="R138">
        <v>0.86697688325764788</v>
      </c>
      <c r="S138">
        <v>0.87231844766984779</v>
      </c>
      <c r="AO138" s="749">
        <v>44813</v>
      </c>
      <c r="AP138">
        <v>12588.29</v>
      </c>
      <c r="AQ138">
        <v>2319.64</v>
      </c>
      <c r="AR138">
        <f t="shared" si="22"/>
        <v>2.8926628061951378</v>
      </c>
      <c r="AS138">
        <f t="shared" si="23"/>
        <v>1.1834535677479261</v>
      </c>
      <c r="BF138" s="749">
        <v>44813</v>
      </c>
      <c r="BG138">
        <v>12588.29</v>
      </c>
      <c r="BH138">
        <v>90400</v>
      </c>
      <c r="BI138">
        <v>2721.7739999999999</v>
      </c>
      <c r="BJ138">
        <v>57.44</v>
      </c>
      <c r="BK138">
        <v>4067.36</v>
      </c>
      <c r="BL138">
        <v>777.81</v>
      </c>
      <c r="BM138">
        <v>2111.37</v>
      </c>
      <c r="BN138" s="14">
        <f t="shared" si="32"/>
        <v>4.0488691103977015E-2</v>
      </c>
      <c r="BO138" s="14">
        <f t="shared" si="24"/>
        <v>-1.4176663031624903E-2</v>
      </c>
      <c r="BP138" s="14">
        <f t="shared" si="25"/>
        <v>4.7132572912947479E-2</v>
      </c>
      <c r="BQ138" s="14">
        <f t="shared" si="26"/>
        <v>1.970530800639092E-2</v>
      </c>
      <c r="BR138" s="14">
        <f t="shared" si="27"/>
        <v>3.646547374536846E-2</v>
      </c>
      <c r="BS138" s="14">
        <f t="shared" si="28"/>
        <v>-1.0268743319590823E-2</v>
      </c>
      <c r="BT138" s="14">
        <f t="shared" si="29"/>
        <v>-1.0558132995923009E-2</v>
      </c>
      <c r="BV138" s="749">
        <v>44813</v>
      </c>
      <c r="BW138">
        <f t="shared" si="30"/>
        <v>1.9543528190737949</v>
      </c>
      <c r="BX138">
        <f t="shared" si="31"/>
        <v>3.9101004470699108</v>
      </c>
    </row>
    <row r="139" spans="1:76" x14ac:dyDescent="0.3">
      <c r="A139" s="749">
        <v>44806</v>
      </c>
      <c r="B139">
        <v>91700</v>
      </c>
      <c r="C139">
        <v>2599.2640000000001</v>
      </c>
      <c r="D139">
        <v>57500</v>
      </c>
      <c r="E139">
        <v>56.33</v>
      </c>
      <c r="F139">
        <v>12098.44</v>
      </c>
      <c r="G139">
        <v>2348.91</v>
      </c>
      <c r="H139">
        <v>785.88</v>
      </c>
      <c r="I139">
        <v>312.92</v>
      </c>
      <c r="J139">
        <v>2133.9</v>
      </c>
      <c r="K139">
        <v>11010000</v>
      </c>
      <c r="L139">
        <v>3924.26</v>
      </c>
      <c r="M139" s="749">
        <v>44806</v>
      </c>
      <c r="N139">
        <v>0.84808259587020651</v>
      </c>
      <c r="O139">
        <v>0.81874999999999998</v>
      </c>
      <c r="P139">
        <v>0.78084280565566955</v>
      </c>
      <c r="Q139">
        <v>0.8444350140920176</v>
      </c>
      <c r="R139">
        <v>0.87791669002634964</v>
      </c>
      <c r="S139">
        <v>0.83305444815187424</v>
      </c>
      <c r="AO139" s="749">
        <v>44806</v>
      </c>
      <c r="AP139">
        <v>12098.44</v>
      </c>
      <c r="AQ139">
        <v>2348.91</v>
      </c>
      <c r="AR139">
        <f t="shared" si="22"/>
        <v>2.780100188427777</v>
      </c>
      <c r="AS139">
        <f t="shared" si="23"/>
        <v>1.1983867840780384</v>
      </c>
      <c r="BF139" s="749">
        <v>44806</v>
      </c>
      <c r="BG139">
        <v>12098.44</v>
      </c>
      <c r="BH139">
        <v>91700</v>
      </c>
      <c r="BI139">
        <v>2599.2640000000001</v>
      </c>
      <c r="BJ139">
        <v>56.33</v>
      </c>
      <c r="BK139">
        <v>3924.26</v>
      </c>
      <c r="BL139">
        <v>785.88</v>
      </c>
      <c r="BM139">
        <v>2133.9</v>
      </c>
      <c r="BN139" s="14">
        <f t="shared" si="32"/>
        <v>-4.0200171834255283E-2</v>
      </c>
      <c r="BO139" s="14">
        <f t="shared" si="24"/>
        <v>-3.5751840168243953E-2</v>
      </c>
      <c r="BP139" s="14">
        <f t="shared" si="25"/>
        <v>-7.1174603582993656E-2</v>
      </c>
      <c r="BQ139" s="14">
        <f t="shared" si="26"/>
        <v>-2.2557695644629616E-2</v>
      </c>
      <c r="BR139" s="14">
        <f t="shared" si="27"/>
        <v>-3.2876091146128439E-2</v>
      </c>
      <c r="BS139" s="14">
        <f t="shared" si="28"/>
        <v>-2.0649261636239036E-2</v>
      </c>
      <c r="BT139" s="14">
        <f t="shared" si="29"/>
        <v>-3.1243190237524421E-2</v>
      </c>
      <c r="BV139" s="749">
        <v>44806</v>
      </c>
      <c r="BW139">
        <f t="shared" si="30"/>
        <v>1.88559374969969</v>
      </c>
      <c r="BX139">
        <f t="shared" si="31"/>
        <v>3.7341025847306666</v>
      </c>
    </row>
    <row r="140" spans="1:76" x14ac:dyDescent="0.3">
      <c r="A140" s="749">
        <v>44799</v>
      </c>
      <c r="B140">
        <v>95100</v>
      </c>
      <c r="C140">
        <v>2798.442</v>
      </c>
      <c r="D140">
        <v>60000</v>
      </c>
      <c r="E140">
        <v>57.63</v>
      </c>
      <c r="F140">
        <v>12605.17</v>
      </c>
      <c r="G140">
        <v>2429.94</v>
      </c>
      <c r="H140">
        <v>802.45</v>
      </c>
      <c r="I140">
        <v>323.91000000000003</v>
      </c>
      <c r="J140">
        <v>2202.7199999999998</v>
      </c>
      <c r="K140">
        <v>10160000</v>
      </c>
      <c r="L140">
        <v>4057.66</v>
      </c>
      <c r="M140" s="749">
        <v>44799</v>
      </c>
      <c r="N140">
        <v>0.88495575221238942</v>
      </c>
      <c r="O140">
        <v>0.84910714285714284</v>
      </c>
      <c r="P140">
        <v>0.79886332131965621</v>
      </c>
      <c r="Q140">
        <v>0.87980325617040522</v>
      </c>
      <c r="R140">
        <v>0.9082020519145596</v>
      </c>
      <c r="S140">
        <v>0.896890256624578</v>
      </c>
      <c r="AO140" s="749">
        <v>44799</v>
      </c>
      <c r="AP140">
        <v>12605.17</v>
      </c>
      <c r="AQ140">
        <v>2429.94</v>
      </c>
      <c r="AR140">
        <f t="shared" si="22"/>
        <v>2.8965416609219172</v>
      </c>
      <c r="AS140">
        <f t="shared" si="23"/>
        <v>1.2397273552850423</v>
      </c>
      <c r="BF140" s="749">
        <v>44799</v>
      </c>
      <c r="BG140">
        <v>12605.17</v>
      </c>
      <c r="BH140">
        <v>95100</v>
      </c>
      <c r="BI140">
        <v>2798.442</v>
      </c>
      <c r="BJ140">
        <v>57.63</v>
      </c>
      <c r="BK140">
        <v>4057.66</v>
      </c>
      <c r="BL140">
        <v>802.45</v>
      </c>
      <c r="BM140">
        <v>2202.7199999999998</v>
      </c>
      <c r="BN140" s="14">
        <f t="shared" si="32"/>
        <v>-4.8156370583482433E-2</v>
      </c>
      <c r="BO140" s="14">
        <f t="shared" si="24"/>
        <v>-1.3485477178423189E-2</v>
      </c>
      <c r="BP140" s="14">
        <f t="shared" si="25"/>
        <v>-5.2448093496886061E-2</v>
      </c>
      <c r="BQ140" s="14">
        <f t="shared" si="26"/>
        <v>-4.7595438770451137E-2</v>
      </c>
      <c r="BR140" s="14">
        <f t="shared" si="27"/>
        <v>-4.0397495080974677E-2</v>
      </c>
      <c r="BS140" s="14">
        <f t="shared" si="28"/>
        <v>-1.4395028065391613E-2</v>
      </c>
      <c r="BT140" s="14">
        <f t="shared" si="29"/>
        <v>-1.3507219375873403E-2</v>
      </c>
      <c r="BV140" s="749">
        <v>44799</v>
      </c>
      <c r="BW140">
        <f t="shared" si="30"/>
        <v>1.9496920016529085</v>
      </c>
      <c r="BX140">
        <f t="shared" si="31"/>
        <v>4.0202416935789733</v>
      </c>
    </row>
    <row r="141" spans="1:76" x14ac:dyDescent="0.3">
      <c r="A141" s="749">
        <v>44792</v>
      </c>
      <c r="B141">
        <v>96400</v>
      </c>
      <c r="C141">
        <v>2953.3389999999999</v>
      </c>
      <c r="D141">
        <v>60900</v>
      </c>
      <c r="E141">
        <v>60.51</v>
      </c>
      <c r="F141">
        <v>13242.9</v>
      </c>
      <c r="G141">
        <v>2456.87</v>
      </c>
      <c r="H141">
        <v>814.17</v>
      </c>
      <c r="I141">
        <v>326.79000000000002</v>
      </c>
      <c r="J141">
        <v>2232.88</v>
      </c>
      <c r="K141">
        <v>9810000</v>
      </c>
      <c r="L141">
        <v>4228.4799999999996</v>
      </c>
      <c r="M141" s="749">
        <v>44792</v>
      </c>
      <c r="N141">
        <v>0.89823008849557517</v>
      </c>
      <c r="O141">
        <v>0.86071428571428577</v>
      </c>
      <c r="P141">
        <v>0.83878569448294982</v>
      </c>
      <c r="Q141">
        <v>0.92431490738633904</v>
      </c>
      <c r="R141">
        <v>0.91826727214965143</v>
      </c>
      <c r="S141">
        <v>0.94653416923036982</v>
      </c>
      <c r="AO141" s="749">
        <v>44792</v>
      </c>
      <c r="AP141">
        <v>13242.9</v>
      </c>
      <c r="AQ141">
        <v>2456.87</v>
      </c>
      <c r="AR141">
        <f t="shared" si="22"/>
        <v>3.0430856197435543</v>
      </c>
      <c r="AS141">
        <f t="shared" si="23"/>
        <v>1.2534667306102873</v>
      </c>
      <c r="BF141" s="749">
        <v>44792</v>
      </c>
      <c r="BG141">
        <v>13242.9</v>
      </c>
      <c r="BH141">
        <v>96400</v>
      </c>
      <c r="BI141">
        <v>2953.3389999999999</v>
      </c>
      <c r="BJ141">
        <v>60.51</v>
      </c>
      <c r="BK141">
        <v>4228.4799999999996</v>
      </c>
      <c r="BL141">
        <v>814.17</v>
      </c>
      <c r="BM141">
        <v>2232.88</v>
      </c>
      <c r="BN141" s="14">
        <f t="shared" si="32"/>
        <v>-2.3807540541078587E-2</v>
      </c>
      <c r="BO141" s="14">
        <f t="shared" si="24"/>
        <v>3.3226152197213255E-2</v>
      </c>
      <c r="BP141" s="14">
        <f t="shared" si="25"/>
        <v>-3.7323630095682958E-2</v>
      </c>
      <c r="BQ141" s="14">
        <f t="shared" si="26"/>
        <v>-6.9649446494465028E-2</v>
      </c>
      <c r="BR141" s="14">
        <f t="shared" si="27"/>
        <v>-1.2072006822190784E-2</v>
      </c>
      <c r="BS141" s="14">
        <f t="shared" si="28"/>
        <v>-2.0994913603405441E-2</v>
      </c>
      <c r="BT141" s="14">
        <f t="shared" si="29"/>
        <v>-1.3697661988877452E-2</v>
      </c>
      <c r="BV141" s="749">
        <v>44792</v>
      </c>
      <c r="BW141">
        <f t="shared" si="30"/>
        <v>2.0317704379246391</v>
      </c>
      <c r="BX141">
        <f t="shared" si="31"/>
        <v>4.2427667191504526</v>
      </c>
    </row>
    <row r="142" spans="1:76" x14ac:dyDescent="0.3">
      <c r="A142" s="749">
        <v>44785</v>
      </c>
      <c r="B142">
        <v>93300</v>
      </c>
      <c r="C142">
        <v>3067.8420000000001</v>
      </c>
      <c r="D142">
        <v>60200</v>
      </c>
      <c r="E142">
        <v>65.040000000000006</v>
      </c>
      <c r="F142">
        <v>13565.87</v>
      </c>
      <c r="G142">
        <v>2486.5300000000002</v>
      </c>
      <c r="H142">
        <v>831.63</v>
      </c>
      <c r="I142">
        <v>330.67</v>
      </c>
      <c r="J142">
        <v>2263.89</v>
      </c>
      <c r="K142">
        <v>17830000</v>
      </c>
      <c r="L142">
        <v>4280.1499999999996</v>
      </c>
      <c r="M142" s="749">
        <v>44785</v>
      </c>
      <c r="N142">
        <v>0.88790560471976399</v>
      </c>
      <c r="O142">
        <v>0.83303571428571432</v>
      </c>
      <c r="P142">
        <v>0.90158026060438046</v>
      </c>
      <c r="Q142">
        <v>0.94685724974628793</v>
      </c>
      <c r="R142">
        <v>0.92935284334062152</v>
      </c>
      <c r="S142">
        <v>0.98323195501770588</v>
      </c>
      <c r="AO142" s="749">
        <v>44785</v>
      </c>
      <c r="AP142">
        <v>13565.87</v>
      </c>
      <c r="AQ142">
        <v>2486.5300000000002</v>
      </c>
      <c r="AR142">
        <f t="shared" si="22"/>
        <v>3.117300886989292</v>
      </c>
      <c r="AS142">
        <f t="shared" si="23"/>
        <v>1.2685989204412111</v>
      </c>
      <c r="BF142" s="749">
        <v>44785</v>
      </c>
      <c r="BG142">
        <v>13565.87</v>
      </c>
      <c r="BH142">
        <v>93300</v>
      </c>
      <c r="BI142">
        <v>3067.8420000000001</v>
      </c>
      <c r="BJ142">
        <v>65.040000000000006</v>
      </c>
      <c r="BK142">
        <v>4280.1499999999996</v>
      </c>
      <c r="BL142">
        <v>831.63</v>
      </c>
      <c r="BM142">
        <v>2263.89</v>
      </c>
      <c r="BN142" s="14">
        <f t="shared" si="32"/>
        <v>2.7119049583992361E-2</v>
      </c>
      <c r="BO142" s="14">
        <f t="shared" si="24"/>
        <v>-5.2791878172588791E-2</v>
      </c>
      <c r="BP142" s="14">
        <f t="shared" si="25"/>
        <v>4.7317837134677188E-3</v>
      </c>
      <c r="BQ142" s="14">
        <f t="shared" si="26"/>
        <v>4.1306436119116219E-2</v>
      </c>
      <c r="BR142" s="14">
        <f t="shared" si="27"/>
        <v>3.2558218079267842E-2</v>
      </c>
      <c r="BS142" s="14">
        <f t="shared" si="28"/>
        <v>-1.2024433649115984E-5</v>
      </c>
      <c r="BT142" s="14">
        <f t="shared" si="29"/>
        <v>6.6565284669974911E-3</v>
      </c>
      <c r="BV142" s="749">
        <v>44785</v>
      </c>
      <c r="BW142">
        <f t="shared" si="30"/>
        <v>2.0565976993820811</v>
      </c>
      <c r="BX142">
        <f t="shared" si="31"/>
        <v>4.4072617255289561</v>
      </c>
    </row>
    <row r="143" spans="1:76" x14ac:dyDescent="0.3">
      <c r="A143" s="749">
        <v>44778</v>
      </c>
      <c r="B143">
        <v>98500</v>
      </c>
      <c r="C143">
        <v>3053.3939999999998</v>
      </c>
      <c r="D143">
        <v>61500</v>
      </c>
      <c r="E143">
        <v>62.46</v>
      </c>
      <c r="F143">
        <v>13207.69</v>
      </c>
      <c r="G143">
        <v>2467.61</v>
      </c>
      <c r="H143">
        <v>831.64</v>
      </c>
      <c r="I143">
        <v>327.5</v>
      </c>
      <c r="J143">
        <v>2248.92</v>
      </c>
      <c r="K143">
        <v>9640000</v>
      </c>
      <c r="L143">
        <v>4145.1899999999996</v>
      </c>
      <c r="M143" s="749">
        <v>44778</v>
      </c>
      <c r="N143">
        <v>0.90707964601769908</v>
      </c>
      <c r="O143">
        <v>0.8794642857142857</v>
      </c>
      <c r="P143">
        <v>0.86581646797892986</v>
      </c>
      <c r="Q143">
        <v>0.92185735444181238</v>
      </c>
      <c r="R143">
        <v>0.9222814000859636</v>
      </c>
      <c r="S143">
        <v>0.97860142473417233</v>
      </c>
      <c r="AO143" s="749">
        <v>44778</v>
      </c>
      <c r="AP143">
        <v>13207.69</v>
      </c>
      <c r="AQ143">
        <v>2467.61</v>
      </c>
      <c r="AR143">
        <f t="shared" si="22"/>
        <v>3.0349947148306446</v>
      </c>
      <c r="AS143">
        <f t="shared" si="23"/>
        <v>1.2589461547095497</v>
      </c>
      <c r="BF143" s="749">
        <v>44778</v>
      </c>
      <c r="BG143">
        <v>13207.69</v>
      </c>
      <c r="BH143">
        <v>98500</v>
      </c>
      <c r="BI143">
        <v>3053.3939999999998</v>
      </c>
      <c r="BJ143">
        <v>62.46</v>
      </c>
      <c r="BK143">
        <v>4145.1899999999996</v>
      </c>
      <c r="BL143">
        <v>831.64</v>
      </c>
      <c r="BM143">
        <v>2248.92</v>
      </c>
      <c r="BN143" s="14">
        <f t="shared" si="32"/>
        <v>2.0058742799064389E-2</v>
      </c>
      <c r="BO143" s="14">
        <f t="shared" si="24"/>
        <v>6.1287027579162157E-3</v>
      </c>
      <c r="BP143" s="14">
        <f t="shared" si="25"/>
        <v>2.9071131218791457E-2</v>
      </c>
      <c r="BQ143" s="14">
        <f t="shared" si="26"/>
        <v>9.6993210475266878E-3</v>
      </c>
      <c r="BR143" s="14">
        <f t="shared" si="27"/>
        <v>3.6074948732411904E-3</v>
      </c>
      <c r="BS143" s="14">
        <f t="shared" si="28"/>
        <v>3.4867225803240309E-2</v>
      </c>
      <c r="BT143" s="14">
        <f t="shared" si="29"/>
        <v>1.5144197131856219E-2</v>
      </c>
      <c r="BV143" s="749">
        <v>44778</v>
      </c>
      <c r="BW143">
        <f t="shared" si="30"/>
        <v>1.99174987266839</v>
      </c>
      <c r="BX143">
        <f t="shared" si="31"/>
        <v>4.3865057291606808</v>
      </c>
    </row>
    <row r="144" spans="1:76" x14ac:dyDescent="0.3">
      <c r="A144" s="749">
        <v>44771</v>
      </c>
      <c r="B144">
        <v>97900</v>
      </c>
      <c r="C144">
        <v>2967.136</v>
      </c>
      <c r="D144">
        <v>61400</v>
      </c>
      <c r="E144">
        <v>61.86</v>
      </c>
      <c r="F144">
        <v>12947.97</v>
      </c>
      <c r="G144">
        <v>2434.71</v>
      </c>
      <c r="H144">
        <v>803.62</v>
      </c>
      <c r="I144">
        <v>323.31</v>
      </c>
      <c r="J144">
        <v>2215.37</v>
      </c>
      <c r="K144">
        <v>14240000</v>
      </c>
      <c r="L144">
        <v>4130.29</v>
      </c>
      <c r="M144" s="749">
        <v>44771</v>
      </c>
      <c r="N144">
        <v>0.9056047197640118</v>
      </c>
      <c r="O144">
        <v>0.87410714285714286</v>
      </c>
      <c r="P144">
        <v>0.85749930690324372</v>
      </c>
      <c r="Q144">
        <v>0.90372967336392296</v>
      </c>
      <c r="R144">
        <v>0.90998486292537983</v>
      </c>
      <c r="S144">
        <v>0.95095605643426728</v>
      </c>
      <c r="AO144" s="749">
        <v>44771</v>
      </c>
      <c r="AP144">
        <v>12947.97</v>
      </c>
      <c r="AQ144">
        <v>2434.71</v>
      </c>
      <c r="AR144">
        <f t="shared" si="22"/>
        <v>2.975313663311733</v>
      </c>
      <c r="AS144">
        <f t="shared" si="23"/>
        <v>1.2421609542565024</v>
      </c>
      <c r="BF144" s="749">
        <v>44771</v>
      </c>
      <c r="BG144">
        <v>12947.97</v>
      </c>
      <c r="BH144">
        <v>97900</v>
      </c>
      <c r="BI144">
        <v>2967.136</v>
      </c>
      <c r="BJ144">
        <v>61.86</v>
      </c>
      <c r="BK144">
        <v>4130.29</v>
      </c>
      <c r="BL144">
        <v>803.62</v>
      </c>
      <c r="BM144">
        <v>2215.37</v>
      </c>
      <c r="BN144" s="14">
        <f t="shared" si="32"/>
        <v>4.4488471314817923E-2</v>
      </c>
      <c r="BO144" s="14">
        <f t="shared" si="24"/>
        <v>-2.1000000000000019E-2</v>
      </c>
      <c r="BP144" s="14">
        <f t="shared" si="25"/>
        <v>4.3880001871650531E-2</v>
      </c>
      <c r="BQ144" s="14">
        <f t="shared" si="26"/>
        <v>9.3000489476260384E-3</v>
      </c>
      <c r="BR144" s="14">
        <f t="shared" si="27"/>
        <v>4.2573385197506974E-2</v>
      </c>
      <c r="BS144" s="14">
        <f t="shared" si="28"/>
        <v>1.7562519784741992E-2</v>
      </c>
      <c r="BT144" s="14">
        <f t="shared" si="29"/>
        <v>1.4633006934075876E-2</v>
      </c>
      <c r="BV144" s="749">
        <v>44771</v>
      </c>
      <c r="BW144">
        <f t="shared" si="30"/>
        <v>1.9845904727125958</v>
      </c>
      <c r="BX144">
        <f t="shared" si="31"/>
        <v>4.2625874889381805</v>
      </c>
    </row>
    <row r="145" spans="1:76" x14ac:dyDescent="0.3">
      <c r="A145" s="749">
        <v>44764</v>
      </c>
      <c r="B145">
        <v>100000</v>
      </c>
      <c r="C145">
        <v>2842.4110000000001</v>
      </c>
      <c r="D145">
        <v>61300</v>
      </c>
      <c r="E145">
        <v>61.29</v>
      </c>
      <c r="F145">
        <v>12396.47</v>
      </c>
      <c r="G145">
        <v>2393.66</v>
      </c>
      <c r="H145">
        <v>789.75</v>
      </c>
      <c r="I145">
        <v>317.33</v>
      </c>
      <c r="J145">
        <v>2183.42</v>
      </c>
      <c r="K145">
        <v>16530000</v>
      </c>
      <c r="L145">
        <v>3961.63</v>
      </c>
      <c r="M145" s="749">
        <v>44764</v>
      </c>
      <c r="N145">
        <v>0.90412979351032452</v>
      </c>
      <c r="O145">
        <v>0.8928571428571429</v>
      </c>
      <c r="P145">
        <v>0.84959800388134177</v>
      </c>
      <c r="Q145">
        <v>0.86523661886501668</v>
      </c>
      <c r="R145">
        <v>0.89464222309431696</v>
      </c>
      <c r="S145">
        <v>0.91098215765148016</v>
      </c>
      <c r="AO145" s="749">
        <v>44764</v>
      </c>
      <c r="AP145">
        <v>12396.47</v>
      </c>
      <c r="AQ145">
        <v>2393.66</v>
      </c>
      <c r="AR145">
        <f t="shared" si="22"/>
        <v>2.8485844937726914</v>
      </c>
      <c r="AS145">
        <f t="shared" si="23"/>
        <v>1.2212177178249646</v>
      </c>
      <c r="BF145" s="749">
        <v>44764</v>
      </c>
      <c r="BG145">
        <v>12396.47</v>
      </c>
      <c r="BH145">
        <v>100000</v>
      </c>
      <c r="BI145">
        <v>2842.4110000000001</v>
      </c>
      <c r="BJ145">
        <v>61.29</v>
      </c>
      <c r="BK145">
        <v>3961.63</v>
      </c>
      <c r="BL145">
        <v>789.75</v>
      </c>
      <c r="BM145">
        <v>2183.42</v>
      </c>
      <c r="BN145" s="14">
        <f t="shared" si="32"/>
        <v>3.4451192544489695E-2</v>
      </c>
      <c r="BO145" s="14">
        <f t="shared" si="24"/>
        <v>1.3171225937183451E-2</v>
      </c>
      <c r="BP145" s="14">
        <f t="shared" si="25"/>
        <v>5.5180719045114346E-2</v>
      </c>
      <c r="BQ145" s="14">
        <f t="shared" si="26"/>
        <v>-3.9005363237445412E-3</v>
      </c>
      <c r="BR145" s="14">
        <f t="shared" si="27"/>
        <v>2.5489495646051408E-2</v>
      </c>
      <c r="BS145" s="14">
        <f t="shared" si="28"/>
        <v>3.5887144374926239E-2</v>
      </c>
      <c r="BT145" s="14">
        <f t="shared" si="29"/>
        <v>2.9594560184093677E-2</v>
      </c>
      <c r="BV145" s="749">
        <v>44764</v>
      </c>
      <c r="BW145">
        <f t="shared" si="30"/>
        <v>1.903549909186135</v>
      </c>
      <c r="BX145">
        <f t="shared" si="31"/>
        <v>4.0834075576651232</v>
      </c>
    </row>
    <row r="146" spans="1:76" x14ac:dyDescent="0.3">
      <c r="A146" s="749">
        <v>44757</v>
      </c>
      <c r="B146">
        <v>98700</v>
      </c>
      <c r="C146">
        <v>2693.7669999999998</v>
      </c>
      <c r="D146">
        <v>60000</v>
      </c>
      <c r="E146">
        <v>61.53</v>
      </c>
      <c r="F146">
        <v>11983.62</v>
      </c>
      <c r="G146">
        <v>2325.66</v>
      </c>
      <c r="H146">
        <v>762.39</v>
      </c>
      <c r="I146">
        <v>307.91000000000003</v>
      </c>
      <c r="J146">
        <v>2120.66</v>
      </c>
      <c r="K146">
        <v>14000000</v>
      </c>
      <c r="L146">
        <v>3863.16</v>
      </c>
      <c r="M146" s="749">
        <v>44757</v>
      </c>
      <c r="N146">
        <v>0.88495575221238942</v>
      </c>
      <c r="O146">
        <v>0.88124999999999998</v>
      </c>
      <c r="P146">
        <v>0.85292486831161629</v>
      </c>
      <c r="Q146">
        <v>0.83642092067848284</v>
      </c>
      <c r="R146">
        <v>0.86922688792958447</v>
      </c>
      <c r="S146">
        <v>0.86334230829755254</v>
      </c>
      <c r="AO146" s="749">
        <v>44757</v>
      </c>
      <c r="AP146">
        <v>11983.62</v>
      </c>
      <c r="AQ146">
        <v>2325.66</v>
      </c>
      <c r="AR146">
        <f t="shared" si="22"/>
        <v>2.7537157038466842</v>
      </c>
      <c r="AS146">
        <f t="shared" si="23"/>
        <v>1.1865249022989093</v>
      </c>
      <c r="BF146" s="749">
        <v>44757</v>
      </c>
      <c r="BG146">
        <v>11983.62</v>
      </c>
      <c r="BH146">
        <v>98700</v>
      </c>
      <c r="BI146">
        <v>2693.7669999999998</v>
      </c>
      <c r="BJ146">
        <v>61.53</v>
      </c>
      <c r="BK146">
        <v>3863.16</v>
      </c>
      <c r="BL146">
        <v>762.39</v>
      </c>
      <c r="BM146">
        <v>2120.66</v>
      </c>
      <c r="BN146" s="14">
        <f t="shared" si="32"/>
        <v>-1.1716446651695689E-2</v>
      </c>
      <c r="BO146" s="14">
        <f t="shared" si="24"/>
        <v>4.1139240506329111E-2</v>
      </c>
      <c r="BP146" s="14">
        <f t="shared" si="25"/>
        <v>2.8933720089013848E-2</v>
      </c>
      <c r="BQ146" s="14">
        <f t="shared" si="26"/>
        <v>4.0412580317889857E-2</v>
      </c>
      <c r="BR146" s="14">
        <f t="shared" si="27"/>
        <v>-9.2886561453360272E-3</v>
      </c>
      <c r="BS146" s="14">
        <f t="shared" si="28"/>
        <v>-5.3360818286192213E-3</v>
      </c>
      <c r="BT146" s="14">
        <f t="shared" si="29"/>
        <v>-9.9398427526309341E-4</v>
      </c>
      <c r="BV146" s="749">
        <v>44757</v>
      </c>
      <c r="BW146">
        <f t="shared" si="30"/>
        <v>1.8562354049145198</v>
      </c>
      <c r="BX146">
        <f t="shared" si="31"/>
        <v>3.8698655917067954</v>
      </c>
    </row>
    <row r="147" spans="1:76" x14ac:dyDescent="0.3">
      <c r="A147" s="749">
        <v>44750</v>
      </c>
      <c r="B147">
        <v>94800</v>
      </c>
      <c r="C147">
        <v>2618.018</v>
      </c>
      <c r="D147">
        <v>58700</v>
      </c>
      <c r="E147">
        <v>59.14</v>
      </c>
      <c r="F147">
        <v>12125.69</v>
      </c>
      <c r="G147">
        <v>2337.5100000000002</v>
      </c>
      <c r="H147">
        <v>766.48</v>
      </c>
      <c r="I147">
        <v>310.14999999999998</v>
      </c>
      <c r="J147">
        <v>2122.77</v>
      </c>
      <c r="K147">
        <v>18020000</v>
      </c>
      <c r="L147">
        <v>3899.38</v>
      </c>
      <c r="M147" s="749">
        <v>44750</v>
      </c>
      <c r="N147">
        <v>0.86578171091445433</v>
      </c>
      <c r="O147">
        <v>0.84642857142857142</v>
      </c>
      <c r="P147">
        <v>0.81979484336013309</v>
      </c>
      <c r="Q147">
        <v>0.84633698278665981</v>
      </c>
      <c r="R147">
        <v>0.87365588383696813</v>
      </c>
      <c r="S147">
        <v>0.83906503542605648</v>
      </c>
      <c r="AO147" s="749">
        <v>44750</v>
      </c>
      <c r="AP147">
        <v>12125.69</v>
      </c>
      <c r="AQ147">
        <v>2337.5100000000002</v>
      </c>
      <c r="AR147">
        <f t="shared" si="22"/>
        <v>2.7863619651638403</v>
      </c>
      <c r="AS147">
        <f t="shared" si="23"/>
        <v>1.1925706355927881</v>
      </c>
      <c r="BF147" s="749">
        <v>44750</v>
      </c>
      <c r="BG147">
        <v>12125.69</v>
      </c>
      <c r="BH147">
        <v>94800</v>
      </c>
      <c r="BI147">
        <v>2618.018</v>
      </c>
      <c r="BJ147">
        <v>59.14</v>
      </c>
      <c r="BK147">
        <v>3899.38</v>
      </c>
      <c r="BL147">
        <v>766.48</v>
      </c>
      <c r="BM147">
        <v>2122.77</v>
      </c>
      <c r="BN147" s="14">
        <f t="shared" si="32"/>
        <v>4.661012560333111E-2</v>
      </c>
      <c r="BO147" s="14">
        <f t="shared" si="24"/>
        <v>8.3428571428571408E-2</v>
      </c>
      <c r="BP147" s="14">
        <f t="shared" si="25"/>
        <v>6.4903337704640629E-2</v>
      </c>
      <c r="BQ147" s="14">
        <f t="shared" si="26"/>
        <v>0.10232991612301956</v>
      </c>
      <c r="BR147" s="14">
        <f t="shared" si="27"/>
        <v>1.9357807038869801E-2</v>
      </c>
      <c r="BS147" s="14">
        <f t="shared" si="28"/>
        <v>5.0721061578110405E-2</v>
      </c>
      <c r="BT147" s="14">
        <f t="shared" si="29"/>
        <v>2.9546281252273543E-2</v>
      </c>
      <c r="BV147" s="749">
        <v>44750</v>
      </c>
      <c r="BW147">
        <f t="shared" si="30"/>
        <v>1.8736389932634372</v>
      </c>
      <c r="BX147">
        <f t="shared" si="31"/>
        <v>3.7610445805702728</v>
      </c>
    </row>
    <row r="148" spans="1:76" x14ac:dyDescent="0.3">
      <c r="A148" s="749">
        <v>44743</v>
      </c>
      <c r="B148">
        <v>87500</v>
      </c>
      <c r="C148">
        <v>2458.4560000000001</v>
      </c>
      <c r="D148">
        <v>56200</v>
      </c>
      <c r="E148">
        <v>53.65</v>
      </c>
      <c r="F148">
        <v>11585.68</v>
      </c>
      <c r="G148">
        <v>2284.5</v>
      </c>
      <c r="H148">
        <v>729.48</v>
      </c>
      <c r="I148">
        <v>304.02</v>
      </c>
      <c r="J148">
        <v>2061.85</v>
      </c>
      <c r="K148">
        <v>16020000</v>
      </c>
      <c r="L148">
        <v>3825.33</v>
      </c>
      <c r="M148" s="749">
        <v>44743</v>
      </c>
      <c r="N148">
        <v>0.82890855457227142</v>
      </c>
      <c r="O148">
        <v>0.78125</v>
      </c>
      <c r="P148">
        <v>0.74369281951760469</v>
      </c>
      <c r="Q148">
        <v>0.80864589600523762</v>
      </c>
      <c r="R148">
        <v>0.85384313505634346</v>
      </c>
      <c r="S148">
        <v>0.78792600766434817</v>
      </c>
      <c r="AO148" s="749">
        <v>44743</v>
      </c>
      <c r="AP148">
        <v>11585.68</v>
      </c>
      <c r="AQ148">
        <v>2284.5</v>
      </c>
      <c r="AR148">
        <f t="shared" si="22"/>
        <v>2.6622730824026841</v>
      </c>
      <c r="AS148">
        <f t="shared" si="23"/>
        <v>1.1655255451363735</v>
      </c>
      <c r="BF148" s="749">
        <v>44743</v>
      </c>
      <c r="BG148">
        <v>11585.68</v>
      </c>
      <c r="BH148">
        <v>87500</v>
      </c>
      <c r="BI148">
        <v>2458.4560000000001</v>
      </c>
      <c r="BJ148">
        <v>53.65</v>
      </c>
      <c r="BK148">
        <v>3825.33</v>
      </c>
      <c r="BL148">
        <v>729.48</v>
      </c>
      <c r="BM148">
        <v>2061.85</v>
      </c>
      <c r="BN148" s="14">
        <f t="shared" si="32"/>
        <v>-4.2968482180102963E-2</v>
      </c>
      <c r="BO148" s="14">
        <f t="shared" si="24"/>
        <v>-4.4759825327510883E-2</v>
      </c>
      <c r="BP148" s="14">
        <f t="shared" si="25"/>
        <v>-9.5647183893881382E-2</v>
      </c>
      <c r="BQ148" s="14">
        <f t="shared" si="26"/>
        <v>-8.1964407939767225E-2</v>
      </c>
      <c r="BR148" s="14">
        <f t="shared" si="27"/>
        <v>-2.2089913951336193E-2</v>
      </c>
      <c r="BS148" s="14">
        <f t="shared" si="28"/>
        <v>-2.7748900439824031E-2</v>
      </c>
      <c r="BT148" s="14">
        <f t="shared" si="29"/>
        <v>-3.5328629711419812E-2</v>
      </c>
      <c r="BV148" s="749">
        <v>44743</v>
      </c>
      <c r="BW148">
        <f t="shared" si="30"/>
        <v>1.8380582169730635</v>
      </c>
      <c r="BX148">
        <f t="shared" si="31"/>
        <v>3.5318178161381897</v>
      </c>
    </row>
    <row r="149" spans="1:76" x14ac:dyDescent="0.3">
      <c r="A149" s="749">
        <v>44736</v>
      </c>
      <c r="B149">
        <v>91600</v>
      </c>
      <c r="C149">
        <v>2718.47</v>
      </c>
      <c r="D149">
        <v>58400</v>
      </c>
      <c r="E149">
        <v>58.44</v>
      </c>
      <c r="F149">
        <v>12105.85</v>
      </c>
      <c r="G149">
        <v>2351.91</v>
      </c>
      <c r="H149">
        <v>750.3</v>
      </c>
      <c r="I149">
        <v>312.07</v>
      </c>
      <c r="J149">
        <v>2137.36</v>
      </c>
      <c r="K149">
        <v>15630000</v>
      </c>
      <c r="L149">
        <v>3911.74</v>
      </c>
      <c r="M149" s="749">
        <v>44736</v>
      </c>
      <c r="N149">
        <v>0.86135693215339237</v>
      </c>
      <c r="O149">
        <v>0.81785714285714284</v>
      </c>
      <c r="P149">
        <v>0.81009148877183246</v>
      </c>
      <c r="Q149">
        <v>0.84495220998292764</v>
      </c>
      <c r="R149">
        <v>0.87903795481302893</v>
      </c>
      <c r="S149">
        <v>0.87125952795384587</v>
      </c>
      <c r="AO149" s="749">
        <v>44736</v>
      </c>
      <c r="AP149">
        <v>12105.85</v>
      </c>
      <c r="AQ149">
        <v>2351.91</v>
      </c>
      <c r="AR149">
        <f t="shared" si="22"/>
        <v>2.7818029321200424</v>
      </c>
      <c r="AS149">
        <f t="shared" si="23"/>
        <v>1.1999173494688937</v>
      </c>
      <c r="BF149" s="749">
        <v>44736</v>
      </c>
      <c r="BG149">
        <v>12105.85</v>
      </c>
      <c r="BH149">
        <v>91600</v>
      </c>
      <c r="BI149">
        <v>2718.47</v>
      </c>
      <c r="BJ149">
        <v>58.44</v>
      </c>
      <c r="BK149">
        <v>3911.74</v>
      </c>
      <c r="BL149">
        <v>750.3</v>
      </c>
      <c r="BM149">
        <v>2137.36</v>
      </c>
      <c r="BN149" s="14">
        <f t="shared" si="32"/>
        <v>7.454826428924588E-2</v>
      </c>
      <c r="BO149" s="14">
        <f t="shared" si="24"/>
        <v>-4.9792531120331995E-2</v>
      </c>
      <c r="BP149" s="14">
        <f t="shared" si="25"/>
        <v>5.4265507976594574E-2</v>
      </c>
      <c r="BQ149" s="14">
        <f t="shared" si="26"/>
        <v>4.8251121076233083E-2</v>
      </c>
      <c r="BR149" s="14">
        <f t="shared" si="27"/>
        <v>6.4465391690522456E-2</v>
      </c>
      <c r="BS149" s="14">
        <f t="shared" si="28"/>
        <v>-6.0586710738834926E-2</v>
      </c>
      <c r="BT149" s="14">
        <f t="shared" si="29"/>
        <v>-2.0893553278331645E-2</v>
      </c>
      <c r="BV149" s="749">
        <v>44736</v>
      </c>
      <c r="BW149">
        <f t="shared" si="30"/>
        <v>1.879577931750257</v>
      </c>
      <c r="BX149">
        <f t="shared" si="31"/>
        <v>3.9053539207686385</v>
      </c>
    </row>
    <row r="150" spans="1:76" x14ac:dyDescent="0.3">
      <c r="A150" s="749">
        <v>44729</v>
      </c>
      <c r="B150">
        <v>96400</v>
      </c>
      <c r="C150">
        <v>2578.5439999999999</v>
      </c>
      <c r="D150">
        <v>59800</v>
      </c>
      <c r="E150">
        <v>55.75</v>
      </c>
      <c r="F150">
        <v>11265.99</v>
      </c>
      <c r="G150">
        <v>2407.1</v>
      </c>
      <c r="H150">
        <v>798.69</v>
      </c>
      <c r="I150">
        <v>320.08999999999997</v>
      </c>
      <c r="J150">
        <v>2182.9699999999998</v>
      </c>
      <c r="K150">
        <v>17730000</v>
      </c>
      <c r="L150">
        <v>3674.84</v>
      </c>
      <c r="M150" s="749">
        <v>44729</v>
      </c>
      <c r="N150">
        <v>0.88200589970501475</v>
      </c>
      <c r="O150">
        <v>0.86071428571428577</v>
      </c>
      <c r="P150">
        <v>0.77280288328250624</v>
      </c>
      <c r="Q150">
        <v>0.78633248785880894</v>
      </c>
      <c r="R150">
        <v>0.89966548933864054</v>
      </c>
      <c r="S150">
        <v>0.82641376518711684</v>
      </c>
      <c r="AO150" s="749">
        <v>44729</v>
      </c>
      <c r="AP150">
        <v>11265.99</v>
      </c>
      <c r="AQ150">
        <v>2407.1</v>
      </c>
      <c r="AR150">
        <f t="shared" si="22"/>
        <v>2.5888115262649936</v>
      </c>
      <c r="AS150">
        <f t="shared" si="23"/>
        <v>1.2280746507759965</v>
      </c>
      <c r="BF150" s="749">
        <v>44729</v>
      </c>
      <c r="BG150">
        <v>11265.99</v>
      </c>
      <c r="BH150">
        <v>96400</v>
      </c>
      <c r="BI150">
        <v>2578.5439999999999</v>
      </c>
      <c r="BJ150">
        <v>55.75</v>
      </c>
      <c r="BK150">
        <v>3674.84</v>
      </c>
      <c r="BL150">
        <v>798.69</v>
      </c>
      <c r="BM150">
        <v>2182.9699999999998</v>
      </c>
      <c r="BN150" s="14">
        <f t="shared" si="32"/>
        <v>-4.7903204815082145E-2</v>
      </c>
      <c r="BO150" s="14">
        <f t="shared" si="24"/>
        <v>-6.859903381642507E-2</v>
      </c>
      <c r="BP150" s="14">
        <f t="shared" si="25"/>
        <v>-8.9489458950217204E-2</v>
      </c>
      <c r="BQ150" s="14">
        <f t="shared" si="26"/>
        <v>-0.10970935803257742</v>
      </c>
      <c r="BR150" s="14">
        <f t="shared" si="27"/>
        <v>-5.7941069405208045E-2</v>
      </c>
      <c r="BS150" s="14">
        <f t="shared" si="28"/>
        <v>-8.1817763778079144E-2</v>
      </c>
      <c r="BT150" s="14">
        <f t="shared" si="29"/>
        <v>-6.2479331744293432E-2</v>
      </c>
      <c r="BV150" s="749">
        <v>44729</v>
      </c>
      <c r="BW150">
        <f t="shared" si="30"/>
        <v>1.765748277419541</v>
      </c>
      <c r="BX150">
        <f t="shared" si="31"/>
        <v>3.7043362333498062</v>
      </c>
    </row>
    <row r="151" spans="1:76" x14ac:dyDescent="0.3">
      <c r="A151" s="749">
        <v>44722</v>
      </c>
      <c r="B151">
        <v>103500</v>
      </c>
      <c r="C151">
        <v>2831.9760000000001</v>
      </c>
      <c r="D151">
        <v>63800</v>
      </c>
      <c r="E151">
        <v>62.62</v>
      </c>
      <c r="F151">
        <v>11832.82</v>
      </c>
      <c r="G151">
        <v>2565.04</v>
      </c>
      <c r="H151">
        <v>869.86</v>
      </c>
      <c r="I151">
        <v>341.89</v>
      </c>
      <c r="J151">
        <v>2328.4499999999998</v>
      </c>
      <c r="K151">
        <v>14370000</v>
      </c>
      <c r="L151">
        <v>3900.86</v>
      </c>
      <c r="M151" s="749">
        <v>44722</v>
      </c>
      <c r="N151">
        <v>0.94100294985250732</v>
      </c>
      <c r="O151">
        <v>0.9241071428571429</v>
      </c>
      <c r="P151">
        <v>0.86803437759911284</v>
      </c>
      <c r="Q151">
        <v>0.82589553061785714</v>
      </c>
      <c r="R151">
        <v>0.95869634280802074</v>
      </c>
      <c r="S151">
        <v>0.90763777894794528</v>
      </c>
      <c r="AO151" s="749">
        <v>44722</v>
      </c>
      <c r="AP151">
        <v>11832.82</v>
      </c>
      <c r="AQ151">
        <v>2565.04</v>
      </c>
      <c r="AR151">
        <f t="shared" si="22"/>
        <v>2.719063376074268</v>
      </c>
      <c r="AS151">
        <f t="shared" si="23"/>
        <v>1.3086538167198964</v>
      </c>
      <c r="BF151" s="749">
        <v>44722</v>
      </c>
      <c r="BG151">
        <v>11832.82</v>
      </c>
      <c r="BH151">
        <v>103500</v>
      </c>
      <c r="BI151">
        <v>2831.9760000000001</v>
      </c>
      <c r="BJ151">
        <v>62.62</v>
      </c>
      <c r="BK151">
        <v>3900.86</v>
      </c>
      <c r="BL151">
        <v>869.86</v>
      </c>
      <c r="BM151">
        <v>2328.4499999999998</v>
      </c>
      <c r="BN151" s="14">
        <f t="shared" si="32"/>
        <v>-5.6997791685228782E-2</v>
      </c>
      <c r="BO151" s="14">
        <f t="shared" si="24"/>
        <v>-3.2710280373831724E-2</v>
      </c>
      <c r="BP151" s="14">
        <f t="shared" si="25"/>
        <v>-7.5299411902421065E-2</v>
      </c>
      <c r="BQ151" s="14">
        <f t="shared" si="26"/>
        <v>-0.10466113811838718</v>
      </c>
      <c r="BR151" s="14">
        <f t="shared" si="27"/>
        <v>-5.054836998057699E-2</v>
      </c>
      <c r="BS151" s="14">
        <f t="shared" si="28"/>
        <v>-2.4284640665836577E-2</v>
      </c>
      <c r="BT151" s="14">
        <f t="shared" si="29"/>
        <v>-3.0914834375897482E-2</v>
      </c>
      <c r="BV151" s="749">
        <v>44722</v>
      </c>
      <c r="BW151">
        <f t="shared" si="30"/>
        <v>1.8743501282926034</v>
      </c>
      <c r="BX151">
        <f t="shared" si="31"/>
        <v>4.0684166369769343</v>
      </c>
    </row>
    <row r="152" spans="1:76" x14ac:dyDescent="0.3">
      <c r="A152" s="749">
        <v>44715</v>
      </c>
      <c r="B152">
        <v>107000</v>
      </c>
      <c r="C152">
        <v>3062.587</v>
      </c>
      <c r="D152">
        <v>66800</v>
      </c>
      <c r="E152">
        <v>69.94</v>
      </c>
      <c r="F152">
        <v>12548.03</v>
      </c>
      <c r="G152">
        <v>2643.08</v>
      </c>
      <c r="H152">
        <v>891.51</v>
      </c>
      <c r="I152">
        <v>352.01</v>
      </c>
      <c r="J152">
        <v>2402.73</v>
      </c>
      <c r="K152">
        <v>10810000</v>
      </c>
      <c r="L152">
        <v>4108.54</v>
      </c>
      <c r="M152" s="749">
        <v>44715</v>
      </c>
      <c r="N152">
        <v>0.98525073746312686</v>
      </c>
      <c r="O152">
        <v>0.9553571428571429</v>
      </c>
      <c r="P152">
        <v>0.96950374272248407</v>
      </c>
      <c r="Q152">
        <v>0.87581505465804355</v>
      </c>
      <c r="R152">
        <v>0.98786417745884014</v>
      </c>
      <c r="S152">
        <v>0.9815477470553603</v>
      </c>
      <c r="AO152" s="749">
        <v>44715</v>
      </c>
      <c r="AP152">
        <v>12548.03</v>
      </c>
      <c r="AQ152">
        <v>2643.08</v>
      </c>
      <c r="AR152">
        <f t="shared" si="22"/>
        <v>2.8834114619238016</v>
      </c>
      <c r="AS152">
        <f t="shared" si="23"/>
        <v>1.3484689244206809</v>
      </c>
      <c r="BF152" s="749">
        <v>44715</v>
      </c>
      <c r="BG152">
        <v>12548.03</v>
      </c>
      <c r="BH152">
        <v>107000</v>
      </c>
      <c r="BI152">
        <v>3062.587</v>
      </c>
      <c r="BJ152">
        <v>69.94</v>
      </c>
      <c r="BK152">
        <v>4108.54</v>
      </c>
      <c r="BL152">
        <v>891.51</v>
      </c>
      <c r="BM152">
        <v>2402.73</v>
      </c>
      <c r="BN152" s="14">
        <f t="shared" si="32"/>
        <v>-1.0518538144781875E-2</v>
      </c>
      <c r="BO152" s="14">
        <f t="shared" si="24"/>
        <v>9.4339622641510523E-3</v>
      </c>
      <c r="BP152" s="14">
        <f t="shared" si="25"/>
        <v>-1.6937090896951612E-2</v>
      </c>
      <c r="BQ152" s="14">
        <f t="shared" si="26"/>
        <v>-4.6099290780141744E-2</v>
      </c>
      <c r="BR152" s="14">
        <f t="shared" si="27"/>
        <v>-1.1952172072799971E-2</v>
      </c>
      <c r="BS152" s="14">
        <f t="shared" si="28"/>
        <v>2.0069338764488354E-2</v>
      </c>
      <c r="BT152" s="14">
        <f t="shared" si="29"/>
        <v>1.1288306375241586E-2</v>
      </c>
      <c r="BV152" s="749">
        <v>44715</v>
      </c>
      <c r="BW152">
        <f t="shared" si="30"/>
        <v>1.9741396707637016</v>
      </c>
      <c r="BX152">
        <f t="shared" si="31"/>
        <v>4.3997123926859825</v>
      </c>
    </row>
    <row r="153" spans="1:76" x14ac:dyDescent="0.3">
      <c r="A153" s="749">
        <v>44708</v>
      </c>
      <c r="B153">
        <v>106000</v>
      </c>
      <c r="C153">
        <v>3115.3519999999999</v>
      </c>
      <c r="D153">
        <v>66500</v>
      </c>
      <c r="E153">
        <v>73.319999999999993</v>
      </c>
      <c r="F153">
        <v>12681.42</v>
      </c>
      <c r="G153">
        <v>2615.66</v>
      </c>
      <c r="H153">
        <v>873.97</v>
      </c>
      <c r="I153">
        <v>348.04</v>
      </c>
      <c r="J153">
        <v>2375.91</v>
      </c>
      <c r="K153">
        <v>24010000</v>
      </c>
      <c r="L153">
        <v>4158.24</v>
      </c>
      <c r="M153" s="749">
        <v>44708</v>
      </c>
      <c r="N153">
        <v>0.9808259587020649</v>
      </c>
      <c r="O153">
        <v>0.9464285714285714</v>
      </c>
      <c r="P153">
        <v>1.0163570834488493</v>
      </c>
      <c r="Q153">
        <v>0.88512527866458768</v>
      </c>
      <c r="R153">
        <v>0.9776158173085906</v>
      </c>
      <c r="S153">
        <v>0.99845873337946334</v>
      </c>
      <c r="AO153" s="749">
        <v>44708</v>
      </c>
      <c r="AP153">
        <v>12681.42</v>
      </c>
      <c r="AQ153">
        <v>2615.66</v>
      </c>
      <c r="AR153">
        <f t="shared" si="22"/>
        <v>2.9140631462842959</v>
      </c>
      <c r="AS153">
        <f t="shared" si="23"/>
        <v>1.3344795567482628</v>
      </c>
      <c r="BF153" s="749">
        <v>44708</v>
      </c>
      <c r="BG153">
        <v>12681.42</v>
      </c>
      <c r="BH153">
        <v>106000</v>
      </c>
      <c r="BI153">
        <v>3115.3519999999999</v>
      </c>
      <c r="BJ153">
        <v>73.319999999999993</v>
      </c>
      <c r="BK153">
        <v>4158.24</v>
      </c>
      <c r="BL153">
        <v>873.97</v>
      </c>
      <c r="BM153">
        <v>2375.91</v>
      </c>
      <c r="BN153" s="14">
        <f t="shared" si="32"/>
        <v>7.146224701367565E-2</v>
      </c>
      <c r="BO153" s="14">
        <f t="shared" si="24"/>
        <v>-5.7777777777777817E-2</v>
      </c>
      <c r="BP153" s="14">
        <f t="shared" si="25"/>
        <v>8.072427750557476E-2</v>
      </c>
      <c r="BQ153" s="14">
        <f t="shared" si="26"/>
        <v>6.4150943396226179E-2</v>
      </c>
      <c r="BR153" s="14">
        <f t="shared" si="27"/>
        <v>6.5843705784649265E-2</v>
      </c>
      <c r="BS153" s="14">
        <f t="shared" si="28"/>
        <v>-6.7168250215937642E-3</v>
      </c>
      <c r="BT153" s="14">
        <f t="shared" si="29"/>
        <v>-8.3310029342159586E-3</v>
      </c>
      <c r="BV153" s="749">
        <v>44708</v>
      </c>
      <c r="BW153">
        <f t="shared" si="30"/>
        <v>1.9980203538377268</v>
      </c>
      <c r="BX153">
        <f t="shared" si="31"/>
        <v>4.475514590109297</v>
      </c>
    </row>
    <row r="154" spans="1:76" x14ac:dyDescent="0.3">
      <c r="A154" s="749">
        <v>44701</v>
      </c>
      <c r="B154">
        <v>112500</v>
      </c>
      <c r="C154">
        <v>2882.652</v>
      </c>
      <c r="D154">
        <v>68000</v>
      </c>
      <c r="E154">
        <v>68.900000000000006</v>
      </c>
      <c r="F154">
        <v>11835.62</v>
      </c>
      <c r="G154">
        <v>2628.11</v>
      </c>
      <c r="H154">
        <v>879.88</v>
      </c>
      <c r="I154">
        <v>349.29</v>
      </c>
      <c r="J154">
        <v>2395.87</v>
      </c>
      <c r="K154">
        <v>15640000</v>
      </c>
      <c r="L154">
        <v>3901.36</v>
      </c>
      <c r="M154" s="749">
        <v>44701</v>
      </c>
      <c r="N154">
        <v>1.0029498525073746</v>
      </c>
      <c r="O154">
        <v>1.0044642857142858</v>
      </c>
      <c r="P154">
        <v>0.95508733019129477</v>
      </c>
      <c r="Q154">
        <v>0.82609096226354517</v>
      </c>
      <c r="R154">
        <v>0.98226906617331011</v>
      </c>
      <c r="S154">
        <v>0.92387924853877734</v>
      </c>
      <c r="AO154" s="749">
        <v>44701</v>
      </c>
      <c r="AP154">
        <v>11835.62</v>
      </c>
      <c r="AQ154">
        <v>2628.11</v>
      </c>
      <c r="AR154">
        <f t="shared" si="22"/>
        <v>2.7197067879957721</v>
      </c>
      <c r="AS154">
        <f t="shared" si="23"/>
        <v>1.3408314031203128</v>
      </c>
      <c r="BF154" s="749">
        <v>44701</v>
      </c>
      <c r="BG154">
        <v>11835.62</v>
      </c>
      <c r="BH154">
        <v>112500</v>
      </c>
      <c r="BI154">
        <v>2882.652</v>
      </c>
      <c r="BJ154">
        <v>68.900000000000006</v>
      </c>
      <c r="BK154">
        <v>3901.36</v>
      </c>
      <c r="BL154">
        <v>879.88</v>
      </c>
      <c r="BM154">
        <v>2395.87</v>
      </c>
      <c r="BN154" s="14">
        <f t="shared" si="32"/>
        <v>-4.4543649191920776E-2</v>
      </c>
      <c r="BO154" s="14">
        <f t="shared" si="24"/>
        <v>0</v>
      </c>
      <c r="BP154" s="14">
        <f t="shared" si="25"/>
        <v>-2.9530021037804444E-2</v>
      </c>
      <c r="BQ154" s="14">
        <f t="shared" si="26"/>
        <v>-4.1991101223581739E-2</v>
      </c>
      <c r="BR154" s="14">
        <f t="shared" si="27"/>
        <v>-3.0450633590878406E-2</v>
      </c>
      <c r="BS154" s="14">
        <f t="shared" si="28"/>
        <v>3.1415576499273179E-2</v>
      </c>
      <c r="BT154" s="14">
        <f t="shared" si="29"/>
        <v>1.2872978160326731E-2</v>
      </c>
      <c r="BV154" s="749">
        <v>44701</v>
      </c>
      <c r="BW154">
        <f t="shared" si="30"/>
        <v>1.8745903766132677</v>
      </c>
      <c r="BX154">
        <f t="shared" si="31"/>
        <v>4.1412177770626704</v>
      </c>
    </row>
    <row r="155" spans="1:76" x14ac:dyDescent="0.3">
      <c r="A155" s="749">
        <v>44694</v>
      </c>
      <c r="B155">
        <v>112500</v>
      </c>
      <c r="C155">
        <v>2970.3670000000002</v>
      </c>
      <c r="D155">
        <v>66500</v>
      </c>
      <c r="E155">
        <v>71.92</v>
      </c>
      <c r="F155">
        <v>12387.4</v>
      </c>
      <c r="G155">
        <v>2599.5</v>
      </c>
      <c r="H155">
        <v>853.08</v>
      </c>
      <c r="I155">
        <v>345.5</v>
      </c>
      <c r="J155">
        <v>2365.42</v>
      </c>
      <c r="K155">
        <v>18140000</v>
      </c>
      <c r="L155">
        <v>4023.89</v>
      </c>
      <c r="M155" s="749">
        <v>44694</v>
      </c>
      <c r="N155">
        <v>0.9808259587020649</v>
      </c>
      <c r="O155">
        <v>1.0044642857142858</v>
      </c>
      <c r="P155">
        <v>0.99695037427224842</v>
      </c>
      <c r="Q155">
        <v>0.8646035599270202</v>
      </c>
      <c r="R155">
        <v>0.9715759376576778</v>
      </c>
      <c r="S155">
        <v>0.95199157992167716</v>
      </c>
      <c r="AO155" s="749">
        <v>44694</v>
      </c>
      <c r="AP155">
        <v>12387.4</v>
      </c>
      <c r="AQ155">
        <v>2599.5</v>
      </c>
      <c r="AR155">
        <f t="shared" si="22"/>
        <v>2.8465002987269634</v>
      </c>
      <c r="AS155">
        <f t="shared" si="23"/>
        <v>1.3262349111761884</v>
      </c>
      <c r="BF155" s="749">
        <v>44694</v>
      </c>
      <c r="BG155">
        <v>12387.4</v>
      </c>
      <c r="BH155">
        <v>112500</v>
      </c>
      <c r="BI155">
        <v>2970.3670000000002</v>
      </c>
      <c r="BJ155">
        <v>71.92</v>
      </c>
      <c r="BK155">
        <v>4023.89</v>
      </c>
      <c r="BL155">
        <v>853.08</v>
      </c>
      <c r="BM155">
        <v>2365.42</v>
      </c>
      <c r="BN155" s="14">
        <f t="shared" si="32"/>
        <v>-2.4117779594975186E-2</v>
      </c>
      <c r="BO155" s="14">
        <f t="shared" si="24"/>
        <v>4.6511627906976827E-2</v>
      </c>
      <c r="BP155" s="14">
        <f t="shared" si="25"/>
        <v>-3.9224510272078961E-3</v>
      </c>
      <c r="BQ155" s="14">
        <f t="shared" si="26"/>
        <v>2.231698649609104E-2</v>
      </c>
      <c r="BR155" s="14">
        <f t="shared" si="27"/>
        <v>-2.4118796897660721E-2</v>
      </c>
      <c r="BS155" s="14">
        <f t="shared" si="28"/>
        <v>-3.5217479812716279E-2</v>
      </c>
      <c r="BT155" s="14">
        <f t="shared" si="29"/>
        <v>-7.5355167870838624E-3</v>
      </c>
      <c r="BV155" s="749">
        <v>44694</v>
      </c>
      <c r="BW155">
        <f t="shared" si="30"/>
        <v>1.933465630075246</v>
      </c>
      <c r="BX155">
        <f t="shared" si="31"/>
        <v>4.2672291434416341</v>
      </c>
    </row>
    <row r="156" spans="1:76" x14ac:dyDescent="0.3">
      <c r="A156" s="749">
        <v>44687</v>
      </c>
      <c r="B156">
        <v>107500</v>
      </c>
      <c r="C156">
        <v>2982.0639999999999</v>
      </c>
      <c r="D156">
        <v>66500</v>
      </c>
      <c r="E156">
        <v>70.349999999999994</v>
      </c>
      <c r="F156">
        <v>12693.54</v>
      </c>
      <c r="G156">
        <v>2619.12</v>
      </c>
      <c r="H156">
        <v>884.22</v>
      </c>
      <c r="I156">
        <v>349</v>
      </c>
      <c r="J156">
        <v>2383.38</v>
      </c>
      <c r="K156">
        <v>9910000</v>
      </c>
      <c r="L156">
        <v>4123.34</v>
      </c>
      <c r="M156" s="749">
        <v>44687</v>
      </c>
      <c r="N156">
        <v>0.9808259587020649</v>
      </c>
      <c r="O156">
        <v>0.9598214285714286</v>
      </c>
      <c r="P156">
        <v>0.97518713612420282</v>
      </c>
      <c r="Q156">
        <v>0.8859712185023515</v>
      </c>
      <c r="R156">
        <v>0.97890900936256087</v>
      </c>
      <c r="S156">
        <v>0.95574042493320055</v>
      </c>
      <c r="AO156" s="749">
        <v>44687</v>
      </c>
      <c r="AP156">
        <v>12693.54</v>
      </c>
      <c r="AQ156">
        <v>2619.12</v>
      </c>
      <c r="AR156">
        <f t="shared" si="22"/>
        <v>2.9168482007445196</v>
      </c>
      <c r="AS156">
        <f t="shared" si="23"/>
        <v>1.3362448088323826</v>
      </c>
      <c r="BF156" s="749">
        <v>44687</v>
      </c>
      <c r="BG156">
        <v>12693.54</v>
      </c>
      <c r="BH156">
        <v>107500</v>
      </c>
      <c r="BI156">
        <v>2982.0639999999999</v>
      </c>
      <c r="BJ156">
        <v>70.349999999999994</v>
      </c>
      <c r="BK156">
        <v>4123.34</v>
      </c>
      <c r="BL156">
        <v>884.22</v>
      </c>
      <c r="BM156">
        <v>2383.38</v>
      </c>
      <c r="BN156" s="14">
        <f t="shared" si="32"/>
        <v>-1.2544730373090118E-2</v>
      </c>
      <c r="BO156" s="14">
        <f t="shared" si="24"/>
        <v>-4.4444444444444398E-2</v>
      </c>
      <c r="BP156" s="14">
        <f t="shared" si="25"/>
        <v>2.1346086071391879E-2</v>
      </c>
      <c r="BQ156" s="14">
        <f t="shared" si="26"/>
        <v>3.167619885613715E-2</v>
      </c>
      <c r="BR156" s="14">
        <f t="shared" si="27"/>
        <v>-2.0789316372736844E-3</v>
      </c>
      <c r="BS156" s="14">
        <f t="shared" si="28"/>
        <v>-2.2691351201989507E-2</v>
      </c>
      <c r="BT156" s="14">
        <f t="shared" si="29"/>
        <v>-1.9830564237539039E-2</v>
      </c>
      <c r="BV156" s="749">
        <v>44687</v>
      </c>
      <c r="BW156">
        <f t="shared" si="30"/>
        <v>1.9812510210553631</v>
      </c>
      <c r="BX156">
        <f t="shared" si="31"/>
        <v>4.2840330532921129</v>
      </c>
    </row>
    <row r="157" spans="1:76" x14ac:dyDescent="0.3">
      <c r="A157" s="749">
        <v>44680</v>
      </c>
      <c r="B157">
        <v>112500</v>
      </c>
      <c r="C157">
        <v>2919.739</v>
      </c>
      <c r="D157">
        <v>67400</v>
      </c>
      <c r="E157">
        <v>68.19</v>
      </c>
      <c r="F157">
        <v>12854.8</v>
      </c>
      <c r="G157">
        <v>2667.16</v>
      </c>
      <c r="H157">
        <v>904.75</v>
      </c>
      <c r="I157">
        <v>355.08</v>
      </c>
      <c r="J157">
        <v>2431.6</v>
      </c>
      <c r="K157">
        <v>15070000</v>
      </c>
      <c r="L157">
        <v>4131.93</v>
      </c>
      <c r="M157" s="749">
        <v>44680</v>
      </c>
      <c r="N157">
        <v>0.99410029498525077</v>
      </c>
      <c r="O157">
        <v>1.0044642857142858</v>
      </c>
      <c r="P157">
        <v>0.94524535625173267</v>
      </c>
      <c r="Q157">
        <v>0.89722668535365446</v>
      </c>
      <c r="R157">
        <v>0.99686419614658661</v>
      </c>
      <c r="S157">
        <v>0.93576549415238508</v>
      </c>
      <c r="AO157" s="749">
        <v>44680</v>
      </c>
      <c r="AP157">
        <v>12854.8</v>
      </c>
      <c r="AQ157">
        <v>2667.16</v>
      </c>
      <c r="AR157">
        <f t="shared" si="22"/>
        <v>2.9539041316236956</v>
      </c>
      <c r="AS157">
        <f t="shared" si="23"/>
        <v>1.3607542626246134</v>
      </c>
      <c r="BF157" s="749">
        <v>44680</v>
      </c>
      <c r="BG157">
        <v>12854.8</v>
      </c>
      <c r="BH157">
        <v>112500</v>
      </c>
      <c r="BI157">
        <v>2919.739</v>
      </c>
      <c r="BJ157">
        <v>68.19</v>
      </c>
      <c r="BK157">
        <v>4131.93</v>
      </c>
      <c r="BL157">
        <v>904.75</v>
      </c>
      <c r="BM157">
        <v>2431.6</v>
      </c>
      <c r="BN157" s="14">
        <f t="shared" si="32"/>
        <v>-3.7588896200981381E-2</v>
      </c>
      <c r="BO157" s="14">
        <f t="shared" si="24"/>
        <v>1.8099547511312153E-2</v>
      </c>
      <c r="BP157" s="14">
        <f t="shared" si="25"/>
        <v>-2.3443138907563221E-2</v>
      </c>
      <c r="BQ157" s="14">
        <f t="shared" si="26"/>
        <v>-1.7576718052153883E-2</v>
      </c>
      <c r="BR157" s="14">
        <f t="shared" si="27"/>
        <v>-3.2738109172288699E-2</v>
      </c>
      <c r="BS157" s="14">
        <f t="shared" si="28"/>
        <v>-1.9538784975833834E-2</v>
      </c>
      <c r="BT157" s="14">
        <f t="shared" si="29"/>
        <v>1.2888773589956326E-3</v>
      </c>
      <c r="BV157" s="749">
        <v>44680</v>
      </c>
      <c r="BW157">
        <f t="shared" si="30"/>
        <v>1.9853784872043747</v>
      </c>
      <c r="BX157">
        <f t="shared" si="31"/>
        <v>4.1944969601544635</v>
      </c>
    </row>
    <row r="158" spans="1:76" x14ac:dyDescent="0.3">
      <c r="A158" s="749">
        <v>44673</v>
      </c>
      <c r="B158">
        <v>110500</v>
      </c>
      <c r="C158">
        <v>2989.83</v>
      </c>
      <c r="D158">
        <v>67000</v>
      </c>
      <c r="E158">
        <v>69.41</v>
      </c>
      <c r="F158">
        <v>13356.87</v>
      </c>
      <c r="G158">
        <v>2666.85</v>
      </c>
      <c r="H158">
        <v>922.78</v>
      </c>
      <c r="I158">
        <v>355.43</v>
      </c>
      <c r="J158">
        <v>2428.4699999999998</v>
      </c>
      <c r="K158">
        <v>14160000</v>
      </c>
      <c r="L158">
        <v>4271.78</v>
      </c>
      <c r="M158" s="749">
        <v>44673</v>
      </c>
      <c r="N158">
        <v>0.98820058997050142</v>
      </c>
      <c r="O158">
        <v>0.9866071428571429</v>
      </c>
      <c r="P158">
        <v>0.9621569171056279</v>
      </c>
      <c r="Q158">
        <v>0.9322696733360043</v>
      </c>
      <c r="R158">
        <v>0.99674833211862968</v>
      </c>
      <c r="S158">
        <v>0.95822939905985616</v>
      </c>
      <c r="AO158" s="749">
        <v>44673</v>
      </c>
      <c r="AP158">
        <v>13356.87</v>
      </c>
      <c r="AQ158">
        <v>2666.85</v>
      </c>
      <c r="AR158">
        <f t="shared" si="22"/>
        <v>3.0692747828484768</v>
      </c>
      <c r="AS158">
        <f t="shared" si="23"/>
        <v>1.3605961042008918</v>
      </c>
      <c r="BF158" s="749">
        <v>44673</v>
      </c>
      <c r="BG158">
        <v>13356.87</v>
      </c>
      <c r="BH158">
        <v>110500</v>
      </c>
      <c r="BI158">
        <v>2989.83</v>
      </c>
      <c r="BJ158">
        <v>69.41</v>
      </c>
      <c r="BK158">
        <v>4271.78</v>
      </c>
      <c r="BL158">
        <v>922.78</v>
      </c>
      <c r="BM158">
        <v>2428.4699999999998</v>
      </c>
      <c r="BN158" s="14">
        <f t="shared" si="32"/>
        <v>-3.8604469377487183E-2</v>
      </c>
      <c r="BO158" s="14">
        <f t="shared" si="24"/>
        <v>2.314814814814814E-2</v>
      </c>
      <c r="BP158" s="14">
        <f t="shared" si="25"/>
        <v>-1.2678392575447672E-2</v>
      </c>
      <c r="BQ158" s="14">
        <f t="shared" si="26"/>
        <v>-1.0266647654356142E-2</v>
      </c>
      <c r="BR158" s="14">
        <f t="shared" si="27"/>
        <v>-2.7503135963065195E-2</v>
      </c>
      <c r="BS158" s="14">
        <f t="shared" si="28"/>
        <v>-1.7956817100083233E-3</v>
      </c>
      <c r="BT158" s="14">
        <f t="shared" si="29"/>
        <v>4.3507930271511341E-3</v>
      </c>
      <c r="BV158" s="749">
        <v>44673</v>
      </c>
      <c r="BW158">
        <f t="shared" si="30"/>
        <v>2.0525759424941619</v>
      </c>
      <c r="BX158">
        <f t="shared" si="31"/>
        <v>4.2951896886600549</v>
      </c>
    </row>
    <row r="159" spans="1:76" x14ac:dyDescent="0.3">
      <c r="A159" s="749">
        <v>44666</v>
      </c>
      <c r="B159">
        <v>108000</v>
      </c>
      <c r="C159">
        <v>3028.223</v>
      </c>
      <c r="D159">
        <v>66600</v>
      </c>
      <c r="E159">
        <v>70.13</v>
      </c>
      <c r="F159">
        <v>13893.21</v>
      </c>
      <c r="G159">
        <v>2655.69</v>
      </c>
      <c r="H159">
        <v>924.44</v>
      </c>
      <c r="I159">
        <v>353.84</v>
      </c>
      <c r="J159">
        <v>2417.9499999999998</v>
      </c>
      <c r="K159">
        <v>16020000</v>
      </c>
      <c r="L159">
        <v>4392.59</v>
      </c>
      <c r="M159" s="749">
        <v>44666</v>
      </c>
      <c r="N159">
        <v>0.98230088495575218</v>
      </c>
      <c r="O159">
        <v>0.9642857142857143</v>
      </c>
      <c r="P159">
        <v>0.97213751039645124</v>
      </c>
      <c r="Q159">
        <v>0.96970460506754252</v>
      </c>
      <c r="R159">
        <v>0.99257722711218255</v>
      </c>
      <c r="S159">
        <v>0.97053421281786423</v>
      </c>
      <c r="AO159" s="749">
        <v>44666</v>
      </c>
      <c r="AP159">
        <v>13893.21</v>
      </c>
      <c r="AQ159">
        <v>2655.69</v>
      </c>
      <c r="AR159">
        <f t="shared" si="22"/>
        <v>3.1925203364125188</v>
      </c>
      <c r="AS159">
        <f t="shared" si="23"/>
        <v>1.3549024009469099</v>
      </c>
      <c r="BF159" s="749">
        <v>44666</v>
      </c>
      <c r="BG159">
        <v>13893.21</v>
      </c>
      <c r="BH159">
        <v>108000</v>
      </c>
      <c r="BI159">
        <v>3028.223</v>
      </c>
      <c r="BJ159">
        <v>70.13</v>
      </c>
      <c r="BK159">
        <v>4392.59</v>
      </c>
      <c r="BL159">
        <v>924.44</v>
      </c>
      <c r="BM159">
        <v>2417.9499999999998</v>
      </c>
      <c r="BN159" s="14">
        <f t="shared" si="32"/>
        <v>-3.0295394932457476E-2</v>
      </c>
      <c r="BO159" s="14">
        <f t="shared" si="24"/>
        <v>-3.5714285714285698E-2</v>
      </c>
      <c r="BP159" s="14">
        <f t="shared" si="25"/>
        <v>-2.9465787182135772E-2</v>
      </c>
      <c r="BQ159" s="14">
        <f t="shared" si="26"/>
        <v>-2.7862489603548757E-2</v>
      </c>
      <c r="BR159" s="14">
        <f t="shared" si="27"/>
        <v>-2.1319971124796E-2</v>
      </c>
      <c r="BS159" s="14">
        <f t="shared" si="28"/>
        <v>-1.1008526526376516E-2</v>
      </c>
      <c r="BT159" s="14">
        <f t="shared" si="29"/>
        <v>-1.0107916025284158E-2</v>
      </c>
      <c r="BV159" s="749">
        <v>44666</v>
      </c>
      <c r="BW159">
        <f t="shared" si="30"/>
        <v>2.1106247417330555</v>
      </c>
      <c r="BX159">
        <f t="shared" si="31"/>
        <v>4.3503450713128231</v>
      </c>
    </row>
    <row r="160" spans="1:76" x14ac:dyDescent="0.3">
      <c r="A160" s="749">
        <v>44659</v>
      </c>
      <c r="B160">
        <v>112000</v>
      </c>
      <c r="C160">
        <v>3120.1610000000001</v>
      </c>
      <c r="D160">
        <v>67800</v>
      </c>
      <c r="E160">
        <v>72.14</v>
      </c>
      <c r="F160">
        <v>14327.26</v>
      </c>
      <c r="G160">
        <v>2675.55</v>
      </c>
      <c r="H160">
        <v>934.73</v>
      </c>
      <c r="I160">
        <v>356.01</v>
      </c>
      <c r="J160">
        <v>2442.64</v>
      </c>
      <c r="K160">
        <v>18410000</v>
      </c>
      <c r="L160">
        <v>4488.28</v>
      </c>
      <c r="M160" s="749">
        <v>44659</v>
      </c>
      <c r="N160">
        <v>1</v>
      </c>
      <c r="O160">
        <v>1</v>
      </c>
      <c r="P160">
        <v>1</v>
      </c>
      <c r="Q160">
        <v>1</v>
      </c>
      <c r="R160">
        <v>1</v>
      </c>
      <c r="S160">
        <v>1</v>
      </c>
      <c r="AO160" s="749">
        <v>44659</v>
      </c>
      <c r="AP160">
        <v>14327.26</v>
      </c>
      <c r="AQ160">
        <v>2675.55</v>
      </c>
      <c r="AR160">
        <f t="shared" si="22"/>
        <v>3.2922606737441975</v>
      </c>
      <c r="AS160">
        <f t="shared" si="23"/>
        <v>1.3650347438343726</v>
      </c>
      <c r="BF160" s="749">
        <v>44659</v>
      </c>
      <c r="BG160">
        <v>14327.26</v>
      </c>
      <c r="BH160">
        <v>112000</v>
      </c>
      <c r="BI160">
        <v>3120.1610000000001</v>
      </c>
      <c r="BJ160">
        <v>72.14</v>
      </c>
      <c r="BK160">
        <v>4488.28</v>
      </c>
      <c r="BL160">
        <v>934.73</v>
      </c>
      <c r="BM160">
        <v>2442.64</v>
      </c>
      <c r="BN160" s="14">
        <f t="shared" si="32"/>
        <v>-3.5929106714729042E-2</v>
      </c>
      <c r="BO160" s="14">
        <f t="shared" si="24"/>
        <v>-3.4482758620689613E-2</v>
      </c>
      <c r="BP160" s="14">
        <f t="shared" si="25"/>
        <v>-7.3211338198920783E-2</v>
      </c>
      <c r="BQ160" s="14">
        <f t="shared" si="26"/>
        <v>-5.3032291940141807E-2</v>
      </c>
      <c r="BR160" s="14">
        <f t="shared" si="27"/>
        <v>-1.266647015086253E-2</v>
      </c>
      <c r="BS160" s="14">
        <f t="shared" si="28"/>
        <v>-6.2090009249710088E-3</v>
      </c>
      <c r="BT160" s="14">
        <f t="shared" si="29"/>
        <v>-2.1585961314304347E-2</v>
      </c>
      <c r="BV160" s="749">
        <v>44659</v>
      </c>
      <c r="BW160">
        <f t="shared" si="30"/>
        <v>2.1566034653417772</v>
      </c>
      <c r="BX160">
        <f t="shared" si="31"/>
        <v>4.4824231993655976</v>
      </c>
    </row>
    <row r="161" spans="1:76" x14ac:dyDescent="0.3">
      <c r="A161" s="749">
        <v>44652</v>
      </c>
      <c r="B161">
        <v>116000</v>
      </c>
      <c r="C161">
        <v>3366.6370000000002</v>
      </c>
      <c r="D161">
        <v>69100</v>
      </c>
      <c r="E161">
        <v>76.180000000000007</v>
      </c>
      <c r="F161">
        <v>14861.21</v>
      </c>
      <c r="G161">
        <v>2731.23</v>
      </c>
      <c r="H161">
        <v>940.57</v>
      </c>
      <c r="I161">
        <v>363.19</v>
      </c>
      <c r="J161">
        <v>2496.5300000000002</v>
      </c>
      <c r="K161">
        <v>18460000</v>
      </c>
      <c r="L161">
        <v>4545.8599999999997</v>
      </c>
      <c r="AO161" s="749">
        <v>44652</v>
      </c>
      <c r="AP161">
        <v>14861.21</v>
      </c>
      <c r="AQ161">
        <v>2731.23</v>
      </c>
      <c r="AR161">
        <f t="shared" si="22"/>
        <v>3.414957029275242</v>
      </c>
      <c r="AS161">
        <f t="shared" si="23"/>
        <v>1.3934420374886483</v>
      </c>
      <c r="BF161" s="749">
        <v>44652</v>
      </c>
      <c r="BG161">
        <v>14861.21</v>
      </c>
      <c r="BH161">
        <v>116000</v>
      </c>
      <c r="BI161">
        <v>3366.6370000000002</v>
      </c>
      <c r="BJ161">
        <v>76.180000000000007</v>
      </c>
      <c r="BK161">
        <v>4545.8599999999997</v>
      </c>
      <c r="BL161">
        <v>940.57</v>
      </c>
      <c r="BM161">
        <v>2496.5300000000002</v>
      </c>
      <c r="BN161" s="14">
        <f t="shared" si="32"/>
        <v>7.2453405140600058E-3</v>
      </c>
      <c r="BO161" s="14">
        <f t="shared" si="24"/>
        <v>-1.6949152542372836E-2</v>
      </c>
      <c r="BP161" s="14">
        <f t="shared" si="25"/>
        <v>-4.5016972845432934E-2</v>
      </c>
      <c r="BQ161" s="14">
        <f t="shared" si="26"/>
        <v>-2.458386683738778E-2</v>
      </c>
      <c r="BR161" s="14">
        <f t="shared" si="27"/>
        <v>6.1632467984118477E-4</v>
      </c>
      <c r="BS161" s="14">
        <f t="shared" si="28"/>
        <v>6.2908557917598085E-3</v>
      </c>
      <c r="BT161" s="14">
        <f t="shared" si="29"/>
        <v>3.9086218890869162E-3</v>
      </c>
      <c r="BV161" s="749">
        <v>44652</v>
      </c>
      <c r="BW161">
        <f t="shared" si="30"/>
        <v>2.1842704619494708</v>
      </c>
      <c r="BX161">
        <f t="shared" si="31"/>
        <v>4.8365106136005798</v>
      </c>
    </row>
    <row r="162" spans="1:76" x14ac:dyDescent="0.3">
      <c r="A162" s="749">
        <v>44645</v>
      </c>
      <c r="B162">
        <v>118000</v>
      </c>
      <c r="C162">
        <v>3525.337</v>
      </c>
      <c r="D162">
        <v>69800</v>
      </c>
      <c r="E162">
        <v>78.099999999999994</v>
      </c>
      <c r="F162">
        <v>14754.31</v>
      </c>
      <c r="G162">
        <v>2724.97</v>
      </c>
      <c r="H162">
        <v>934.69</v>
      </c>
      <c r="I162">
        <v>362.06</v>
      </c>
      <c r="J162">
        <v>2486.81</v>
      </c>
      <c r="K162">
        <v>19500000</v>
      </c>
      <c r="L162">
        <v>4543.0600000000004</v>
      </c>
      <c r="AO162" s="749">
        <v>44645</v>
      </c>
      <c r="AP162">
        <v>14754.31</v>
      </c>
      <c r="AQ162">
        <v>2724.97</v>
      </c>
      <c r="AR162">
        <f t="shared" si="22"/>
        <v>3.3903924812721171</v>
      </c>
      <c r="AS162">
        <f t="shared" si="23"/>
        <v>1.3902482577063966</v>
      </c>
      <c r="BF162" s="749">
        <v>44645</v>
      </c>
      <c r="BG162">
        <v>14754.31</v>
      </c>
      <c r="BH162">
        <v>118000</v>
      </c>
      <c r="BI162">
        <v>3525.337</v>
      </c>
      <c r="BJ162">
        <v>78.099999999999994</v>
      </c>
      <c r="BK162">
        <v>4543.0600000000004</v>
      </c>
      <c r="BL162">
        <v>934.69</v>
      </c>
      <c r="BM162">
        <v>2486.81</v>
      </c>
      <c r="BN162" s="14">
        <f t="shared" si="32"/>
        <v>2.3178096099328194E-2</v>
      </c>
      <c r="BO162" s="14">
        <f t="shared" si="24"/>
        <v>-4.8387096774193505E-2</v>
      </c>
      <c r="BP162" s="14">
        <f t="shared" si="25"/>
        <v>2.7106912045515852E-2</v>
      </c>
      <c r="BQ162" s="14">
        <f t="shared" si="26"/>
        <v>-1.6496662888804914E-2</v>
      </c>
      <c r="BR162" s="14">
        <f t="shared" si="27"/>
        <v>1.7911236982200984E-2</v>
      </c>
      <c r="BS162" s="14">
        <f t="shared" si="28"/>
        <v>1.270910982057738E-2</v>
      </c>
      <c r="BT162" s="14">
        <f t="shared" si="29"/>
        <v>-1.9545045912797709E-3</v>
      </c>
      <c r="BV162" s="749">
        <v>44645</v>
      </c>
      <c r="BW162">
        <f t="shared" si="30"/>
        <v>2.1829250713537518</v>
      </c>
      <c r="BX162">
        <f t="shared" si="31"/>
        <v>5.0644990288584202</v>
      </c>
    </row>
    <row r="163" spans="1:76" x14ac:dyDescent="0.3">
      <c r="A163" s="749">
        <v>44638</v>
      </c>
      <c r="B163">
        <v>124000</v>
      </c>
      <c r="C163">
        <v>3432.2979999999998</v>
      </c>
      <c r="D163">
        <v>70700</v>
      </c>
      <c r="E163">
        <v>79.41</v>
      </c>
      <c r="F163">
        <v>14420.08</v>
      </c>
      <c r="G163">
        <v>2729.63</v>
      </c>
      <c r="H163">
        <v>922.96</v>
      </c>
      <c r="I163">
        <v>362.33</v>
      </c>
      <c r="J163">
        <v>2491.6799999999998</v>
      </c>
      <c r="K163">
        <v>22200000</v>
      </c>
      <c r="L163">
        <v>4463.12</v>
      </c>
      <c r="AO163" s="749">
        <v>44638</v>
      </c>
      <c r="AP163">
        <v>14420.08</v>
      </c>
      <c r="AQ163">
        <v>2729.63</v>
      </c>
      <c r="AR163">
        <f t="shared" si="22"/>
        <v>3.3135897789420468</v>
      </c>
      <c r="AS163">
        <f t="shared" si="23"/>
        <v>1.3926257359468588</v>
      </c>
      <c r="BF163" s="749">
        <v>44638</v>
      </c>
      <c r="BG163">
        <v>14420.08</v>
      </c>
      <c r="BH163">
        <v>124000</v>
      </c>
      <c r="BI163">
        <v>3432.2979999999998</v>
      </c>
      <c r="BJ163">
        <v>79.41</v>
      </c>
      <c r="BK163">
        <v>4463.12</v>
      </c>
      <c r="BL163">
        <v>922.96</v>
      </c>
      <c r="BM163">
        <v>2491.6799999999998</v>
      </c>
      <c r="BN163" s="14">
        <f t="shared" si="32"/>
        <v>8.4067380202573538E-2</v>
      </c>
      <c r="BO163" s="14">
        <f t="shared" si="24"/>
        <v>5.9829059829059839E-2</v>
      </c>
      <c r="BP163" s="14">
        <f t="shared" si="25"/>
        <v>9.1647143612287651E-2</v>
      </c>
      <c r="BQ163" s="14">
        <f t="shared" si="26"/>
        <v>9.0497116176874615E-2</v>
      </c>
      <c r="BR163" s="14">
        <f t="shared" si="27"/>
        <v>6.1558258073262762E-2</v>
      </c>
      <c r="BS163" s="14">
        <f t="shared" si="28"/>
        <v>3.5045025849210987E-2</v>
      </c>
      <c r="BT163" s="14">
        <f t="shared" si="29"/>
        <v>2.4088908251714836E-2</v>
      </c>
      <c r="BV163" s="749">
        <v>44638</v>
      </c>
      <c r="BW163">
        <f t="shared" si="30"/>
        <v>2.1445141698459529</v>
      </c>
      <c r="BX163">
        <f t="shared" si="31"/>
        <v>4.930839204238544</v>
      </c>
    </row>
    <row r="164" spans="1:76" x14ac:dyDescent="0.3">
      <c r="A164" s="749">
        <v>44631</v>
      </c>
      <c r="B164">
        <v>117000</v>
      </c>
      <c r="C164">
        <v>3144.1460000000002</v>
      </c>
      <c r="D164">
        <v>70000</v>
      </c>
      <c r="E164">
        <v>72.819999999999993</v>
      </c>
      <c r="F164">
        <v>13301.83</v>
      </c>
      <c r="G164">
        <v>2672.56</v>
      </c>
      <c r="H164">
        <v>891.71</v>
      </c>
      <c r="I164">
        <v>355.31</v>
      </c>
      <c r="J164">
        <v>2433.0700000000002</v>
      </c>
      <c r="K164">
        <v>15820000</v>
      </c>
      <c r="L164">
        <v>4204.3100000000004</v>
      </c>
      <c r="AO164" s="749">
        <v>44631</v>
      </c>
      <c r="AP164">
        <v>13301.83</v>
      </c>
      <c r="AQ164">
        <v>2672.56</v>
      </c>
      <c r="AR164">
        <f t="shared" si="22"/>
        <v>3.0566271427914886</v>
      </c>
      <c r="AS164">
        <f t="shared" si="23"/>
        <v>1.3635092803281532</v>
      </c>
      <c r="BF164" s="749">
        <v>44631</v>
      </c>
      <c r="BG164">
        <v>13301.83</v>
      </c>
      <c r="BH164">
        <v>117000</v>
      </c>
      <c r="BI164">
        <v>3144.1460000000002</v>
      </c>
      <c r="BJ164">
        <v>72.819999999999993</v>
      </c>
      <c r="BK164">
        <v>4204.3100000000004</v>
      </c>
      <c r="BL164">
        <v>891.71</v>
      </c>
      <c r="BM164">
        <v>2433.0700000000002</v>
      </c>
      <c r="BN164" s="14">
        <f t="shared" si="32"/>
        <v>-3.8734396939404503E-2</v>
      </c>
      <c r="BO164" s="14">
        <f t="shared" si="24"/>
        <v>-6.0240963855421659E-2</v>
      </c>
      <c r="BP164" s="14">
        <f t="shared" si="25"/>
        <v>-3.5219008003259944E-2</v>
      </c>
      <c r="BQ164" s="14">
        <f t="shared" si="26"/>
        <v>-0.11097546087168852</v>
      </c>
      <c r="BR164" s="14">
        <f t="shared" si="27"/>
        <v>-2.8774252865066297E-2</v>
      </c>
      <c r="BS164" s="14">
        <f t="shared" si="28"/>
        <v>-1.0266826496181825E-2</v>
      </c>
      <c r="BT164" s="14">
        <f t="shared" si="29"/>
        <v>-2.0471673805919632E-2</v>
      </c>
      <c r="BV164" s="749">
        <v>44631</v>
      </c>
      <c r="BW164">
        <f t="shared" si="30"/>
        <v>2.0201568341037301</v>
      </c>
      <c r="BX164">
        <f t="shared" si="31"/>
        <v>4.5168800496488952</v>
      </c>
    </row>
    <row r="165" spans="1:76" x14ac:dyDescent="0.3">
      <c r="A165" s="749">
        <v>44624</v>
      </c>
      <c r="B165">
        <v>124500</v>
      </c>
      <c r="C165">
        <v>3258.922</v>
      </c>
      <c r="D165">
        <v>71500</v>
      </c>
      <c r="E165">
        <v>81.91</v>
      </c>
      <c r="F165">
        <v>13837.83</v>
      </c>
      <c r="G165">
        <v>2723.13</v>
      </c>
      <c r="H165">
        <v>900.96</v>
      </c>
      <c r="I165">
        <v>361.69</v>
      </c>
      <c r="J165">
        <v>2483.92</v>
      </c>
      <c r="K165">
        <v>12470000</v>
      </c>
      <c r="L165">
        <v>4328.87</v>
      </c>
      <c r="AO165" s="749">
        <v>44624</v>
      </c>
      <c r="AP165">
        <v>13837.83</v>
      </c>
      <c r="AQ165">
        <v>2723.13</v>
      </c>
      <c r="AR165">
        <f t="shared" si="22"/>
        <v>3.1797945677650628</v>
      </c>
      <c r="AS165">
        <f t="shared" si="23"/>
        <v>1.3893095109333389</v>
      </c>
      <c r="BF165" s="749">
        <v>44624</v>
      </c>
      <c r="BG165">
        <v>13837.83</v>
      </c>
      <c r="BH165">
        <v>124500</v>
      </c>
      <c r="BI165">
        <v>3258.922</v>
      </c>
      <c r="BJ165">
        <v>81.91</v>
      </c>
      <c r="BK165">
        <v>4328.87</v>
      </c>
      <c r="BL165">
        <v>900.96</v>
      </c>
      <c r="BM165">
        <v>2483.92</v>
      </c>
      <c r="BN165" s="14">
        <f t="shared" si="32"/>
        <v>-2.4760450935784828E-2</v>
      </c>
      <c r="BO165" s="14">
        <f t="shared" si="24"/>
        <v>1.2195121951219523E-2</v>
      </c>
      <c r="BP165" s="14">
        <f t="shared" si="25"/>
        <v>-5.6116505641714221E-2</v>
      </c>
      <c r="BQ165" s="14">
        <f t="shared" si="26"/>
        <v>-9.0899001109877919E-2</v>
      </c>
      <c r="BR165" s="14">
        <f t="shared" si="27"/>
        <v>-1.2721653951854761E-2</v>
      </c>
      <c r="BS165" s="14">
        <f t="shared" si="28"/>
        <v>3.2051135192100677E-2</v>
      </c>
      <c r="BT165" s="14">
        <f t="shared" si="29"/>
        <v>2.6884541792140393E-3</v>
      </c>
      <c r="BV165" s="749">
        <v>44624</v>
      </c>
      <c r="BW165">
        <f t="shared" si="30"/>
        <v>2.0800074957476049</v>
      </c>
      <c r="BX165">
        <f t="shared" si="31"/>
        <v>4.6817672478192414</v>
      </c>
    </row>
    <row r="166" spans="1:76" x14ac:dyDescent="0.3">
      <c r="A166" s="749">
        <v>44617</v>
      </c>
      <c r="B166">
        <v>123000</v>
      </c>
      <c r="C166">
        <v>3452.674</v>
      </c>
      <c r="D166">
        <v>71900</v>
      </c>
      <c r="E166">
        <v>90.1</v>
      </c>
      <c r="F166">
        <v>14189.16</v>
      </c>
      <c r="G166">
        <v>2702.07</v>
      </c>
      <c r="H166">
        <v>872.98</v>
      </c>
      <c r="I166">
        <v>358.44</v>
      </c>
      <c r="J166">
        <v>2477.2600000000002</v>
      </c>
      <c r="K166">
        <v>19040000</v>
      </c>
      <c r="L166">
        <v>4384.6499999999996</v>
      </c>
      <c r="AO166" s="749">
        <v>44617</v>
      </c>
      <c r="AP166">
        <v>14189.16</v>
      </c>
      <c r="AQ166">
        <v>2702.07</v>
      </c>
      <c r="AR166">
        <f t="shared" si="22"/>
        <v>3.260526678615745</v>
      </c>
      <c r="AS166">
        <f t="shared" si="23"/>
        <v>1.378564941889534</v>
      </c>
      <c r="BF166" s="749">
        <v>44617</v>
      </c>
      <c r="BG166">
        <v>14189.16</v>
      </c>
      <c r="BH166">
        <v>123000</v>
      </c>
      <c r="BI166">
        <v>3452.674</v>
      </c>
      <c r="BJ166">
        <v>90.1</v>
      </c>
      <c r="BK166">
        <v>4384.6499999999996</v>
      </c>
      <c r="BL166">
        <v>872.98</v>
      </c>
      <c r="BM166">
        <v>2477.2600000000002</v>
      </c>
      <c r="BN166" s="14">
        <f t="shared" si="32"/>
        <v>1.2821263224916724E-2</v>
      </c>
      <c r="BO166" s="14">
        <f t="shared" si="24"/>
        <v>-6.4638783269961975E-2</v>
      </c>
      <c r="BP166" s="14">
        <f t="shared" si="25"/>
        <v>2.0204196026530674E-2</v>
      </c>
      <c r="BQ166" s="14">
        <f t="shared" si="26"/>
        <v>-7.7092511013215903E-3</v>
      </c>
      <c r="BR166" s="14">
        <f t="shared" si="27"/>
        <v>8.2274245953546377E-3</v>
      </c>
      <c r="BS166" s="14">
        <f t="shared" si="28"/>
        <v>-9.9012146851005234E-3</v>
      </c>
      <c r="BT166" s="14">
        <f t="shared" si="29"/>
        <v>-3.4240513978067044E-2</v>
      </c>
      <c r="BV166" s="749">
        <v>44617</v>
      </c>
      <c r="BW166">
        <f t="shared" si="30"/>
        <v>2.1068095984009072</v>
      </c>
      <c r="BX166">
        <f t="shared" si="31"/>
        <v>4.9601113652296842</v>
      </c>
    </row>
    <row r="167" spans="1:76" x14ac:dyDescent="0.3">
      <c r="A167" s="749">
        <v>44610</v>
      </c>
      <c r="B167">
        <v>131500</v>
      </c>
      <c r="C167">
        <v>3384.297</v>
      </c>
      <c r="D167">
        <v>74300</v>
      </c>
      <c r="E167">
        <v>90.8</v>
      </c>
      <c r="F167">
        <v>14009.54</v>
      </c>
      <c r="G167">
        <v>2786.29</v>
      </c>
      <c r="H167">
        <v>881.71</v>
      </c>
      <c r="I167">
        <v>368.55</v>
      </c>
      <c r="J167">
        <v>2565.09</v>
      </c>
      <c r="K167">
        <v>22100000</v>
      </c>
      <c r="L167">
        <v>4348.87</v>
      </c>
      <c r="AO167" s="749">
        <v>44610</v>
      </c>
      <c r="AP167">
        <v>14009.54</v>
      </c>
      <c r="AQ167">
        <v>2786.29</v>
      </c>
      <c r="AR167">
        <f t="shared" si="22"/>
        <v>3.2192518038512801</v>
      </c>
      <c r="AS167">
        <f t="shared" si="23"/>
        <v>1.4215330142954807</v>
      </c>
      <c r="BF167" s="749">
        <v>44610</v>
      </c>
      <c r="BG167">
        <v>14009.54</v>
      </c>
      <c r="BH167">
        <v>131500</v>
      </c>
      <c r="BI167">
        <v>3384.297</v>
      </c>
      <c r="BJ167">
        <v>90.8</v>
      </c>
      <c r="BK167">
        <v>4348.87</v>
      </c>
      <c r="BL167">
        <v>881.71</v>
      </c>
      <c r="BM167">
        <v>2565.09</v>
      </c>
      <c r="BN167" s="14">
        <f t="shared" si="32"/>
        <v>-1.7139241074685785E-2</v>
      </c>
      <c r="BO167" s="14">
        <f t="shared" si="24"/>
        <v>-3.7878787878787845E-3</v>
      </c>
      <c r="BP167" s="14">
        <f t="shared" si="25"/>
        <v>5.6611017441221545E-3</v>
      </c>
      <c r="BQ167" s="14">
        <f t="shared" si="26"/>
        <v>1.1586452762923249E-2</v>
      </c>
      <c r="BR167" s="14">
        <f t="shared" si="27"/>
        <v>-1.5789926312168578E-2</v>
      </c>
      <c r="BS167" s="14">
        <f t="shared" si="28"/>
        <v>4.8893346401952531E-3</v>
      </c>
      <c r="BT167" s="14">
        <f t="shared" si="29"/>
        <v>-1.5764029986686801E-3</v>
      </c>
      <c r="BV167" s="749">
        <v>44610</v>
      </c>
      <c r="BW167">
        <f t="shared" si="30"/>
        <v>2.0896174285741744</v>
      </c>
      <c r="BX167">
        <f t="shared" si="31"/>
        <v>4.8618809690728764</v>
      </c>
    </row>
    <row r="168" spans="1:76" x14ac:dyDescent="0.3">
      <c r="A168" s="749">
        <v>44603</v>
      </c>
      <c r="B168">
        <v>132000</v>
      </c>
      <c r="C168">
        <v>3365.2460000000001</v>
      </c>
      <c r="D168">
        <v>74900</v>
      </c>
      <c r="E168">
        <v>89.76</v>
      </c>
      <c r="F168">
        <v>14253.84</v>
      </c>
      <c r="G168">
        <v>2787.62</v>
      </c>
      <c r="H168">
        <v>877.42</v>
      </c>
      <c r="I168">
        <v>368.61</v>
      </c>
      <c r="J168">
        <v>2569.14</v>
      </c>
      <c r="K168">
        <v>26520000</v>
      </c>
      <c r="L168">
        <v>4418.6400000000003</v>
      </c>
      <c r="AO168" s="749">
        <v>44603</v>
      </c>
      <c r="AP168">
        <v>14253.84</v>
      </c>
      <c r="AQ168">
        <v>2787.62</v>
      </c>
      <c r="AR168">
        <f t="shared" si="22"/>
        <v>3.2753894940024817</v>
      </c>
      <c r="AS168">
        <f t="shared" si="23"/>
        <v>1.4222115649520932</v>
      </c>
      <c r="BF168" s="749">
        <v>44603</v>
      </c>
      <c r="BG168">
        <v>14253.84</v>
      </c>
      <c r="BH168">
        <v>132000</v>
      </c>
      <c r="BI168">
        <v>3365.2460000000001</v>
      </c>
      <c r="BJ168">
        <v>89.76</v>
      </c>
      <c r="BK168">
        <v>4418.6400000000003</v>
      </c>
      <c r="BL168">
        <v>877.42</v>
      </c>
      <c r="BM168">
        <v>2569.14</v>
      </c>
      <c r="BN168" s="14">
        <f t="shared" si="32"/>
        <v>-2.9978188895732005E-2</v>
      </c>
      <c r="BO168" s="14">
        <f t="shared" si="24"/>
        <v>6.024096385542177E-2</v>
      </c>
      <c r="BP168" s="14">
        <f t="shared" si="25"/>
        <v>-2.543472859255258E-2</v>
      </c>
      <c r="BQ168" s="14">
        <f t="shared" si="26"/>
        <v>0.10582727608722431</v>
      </c>
      <c r="BR168" s="14">
        <f t="shared" si="27"/>
        <v>-1.8195634736353106E-2</v>
      </c>
      <c r="BS168" s="14">
        <f t="shared" si="28"/>
        <v>-2.8187889729418436E-2</v>
      </c>
      <c r="BT168" s="14">
        <f t="shared" si="29"/>
        <v>6.5782514153622795E-3</v>
      </c>
      <c r="BV168" s="749">
        <v>44603</v>
      </c>
      <c r="BW168">
        <f t="shared" si="30"/>
        <v>2.1231416792396622</v>
      </c>
      <c r="BX168">
        <f t="shared" si="31"/>
        <v>4.8345123030421444</v>
      </c>
    </row>
    <row r="169" spans="1:76" x14ac:dyDescent="0.3">
      <c r="A169" s="749">
        <v>44596</v>
      </c>
      <c r="B169">
        <v>124500</v>
      </c>
      <c r="C169">
        <v>3453.0740000000001</v>
      </c>
      <c r="D169">
        <v>74000</v>
      </c>
      <c r="E169">
        <v>81.17</v>
      </c>
      <c r="F169">
        <v>14694.35</v>
      </c>
      <c r="G169">
        <v>2768.72</v>
      </c>
      <c r="H169">
        <v>902.87</v>
      </c>
      <c r="I169">
        <v>366.34</v>
      </c>
      <c r="J169">
        <v>2552.35</v>
      </c>
      <c r="K169">
        <v>8210000</v>
      </c>
      <c r="L169">
        <v>4500.53</v>
      </c>
      <c r="AO169" s="749">
        <v>44596</v>
      </c>
      <c r="AP169">
        <v>14694.35</v>
      </c>
      <c r="AQ169">
        <v>2768.72</v>
      </c>
      <c r="AR169">
        <f t="shared" si="22"/>
        <v>3.3766142745530585</v>
      </c>
      <c r="AS169">
        <f t="shared" si="23"/>
        <v>1.4125690029897042</v>
      </c>
      <c r="BF169" s="749">
        <v>44596</v>
      </c>
      <c r="BG169">
        <v>14694.35</v>
      </c>
      <c r="BH169">
        <v>124500</v>
      </c>
      <c r="BI169">
        <v>3453.0740000000001</v>
      </c>
      <c r="BJ169">
        <v>81.17</v>
      </c>
      <c r="BK169">
        <v>4500.53</v>
      </c>
      <c r="BL169">
        <v>902.87</v>
      </c>
      <c r="BM169">
        <v>2552.35</v>
      </c>
      <c r="BN169" s="14">
        <f t="shared" si="32"/>
        <v>1.6585712101537142E-2</v>
      </c>
      <c r="BO169" s="14">
        <f t="shared" si="24"/>
        <v>3.3195020746888071E-2</v>
      </c>
      <c r="BP169" s="14">
        <f t="shared" si="25"/>
        <v>4.5310657671880028E-2</v>
      </c>
      <c r="BQ169" s="14">
        <f t="shared" si="26"/>
        <v>2.3968714519994938E-2</v>
      </c>
      <c r="BR169" s="14">
        <f t="shared" si="27"/>
        <v>1.5496914381127436E-2</v>
      </c>
      <c r="BS169" s="14">
        <f t="shared" si="28"/>
        <v>3.436937917444749E-2</v>
      </c>
      <c r="BT169" s="14">
        <f t="shared" si="29"/>
        <v>2.0490983967054399E-2</v>
      </c>
      <c r="BV169" s="749">
        <v>44596</v>
      </c>
      <c r="BW169">
        <f t="shared" si="30"/>
        <v>2.1624895491980514</v>
      </c>
      <c r="BX169">
        <f t="shared" si="31"/>
        <v>4.9606860052177311</v>
      </c>
    </row>
    <row r="170" spans="1:76" x14ac:dyDescent="0.3">
      <c r="A170" s="749">
        <v>44589</v>
      </c>
      <c r="B170">
        <v>120500</v>
      </c>
      <c r="C170">
        <v>3303.395</v>
      </c>
      <c r="D170">
        <v>73300</v>
      </c>
      <c r="E170">
        <v>79.27</v>
      </c>
      <c r="F170">
        <v>14454.61</v>
      </c>
      <c r="G170">
        <v>2709.36</v>
      </c>
      <c r="H170">
        <v>872.87</v>
      </c>
      <c r="I170">
        <v>357.98</v>
      </c>
      <c r="J170">
        <v>2501.1</v>
      </c>
      <c r="K170">
        <v>25460000</v>
      </c>
      <c r="L170">
        <v>4431.8500000000004</v>
      </c>
      <c r="AO170" s="749">
        <v>44589</v>
      </c>
      <c r="AP170">
        <v>14454.61</v>
      </c>
      <c r="AQ170">
        <v>2709.36</v>
      </c>
      <c r="AR170">
        <f t="shared" si="22"/>
        <v>3.3215244266740198</v>
      </c>
      <c r="AS170">
        <f t="shared" si="23"/>
        <v>1.3822842157893127</v>
      </c>
      <c r="BF170" s="749">
        <v>44589</v>
      </c>
      <c r="BG170">
        <v>14454.61</v>
      </c>
      <c r="BH170">
        <v>120500</v>
      </c>
      <c r="BI170">
        <v>3303.395</v>
      </c>
      <c r="BJ170">
        <v>79.27</v>
      </c>
      <c r="BK170">
        <v>4431.8500000000004</v>
      </c>
      <c r="BL170">
        <v>872.87</v>
      </c>
      <c r="BM170">
        <v>2501.1</v>
      </c>
      <c r="BN170" s="14">
        <f t="shared" si="32"/>
        <v>1.1227005762413089E-3</v>
      </c>
      <c r="BO170" s="14">
        <f t="shared" si="24"/>
        <v>1.2605042016806678E-2</v>
      </c>
      <c r="BP170" s="14">
        <f t="shared" si="25"/>
        <v>-3.8252758178459412E-2</v>
      </c>
      <c r="BQ170" s="14">
        <f t="shared" si="26"/>
        <v>-3.2466739899914665E-2</v>
      </c>
      <c r="BR170" s="14">
        <f t="shared" si="27"/>
        <v>7.7104280640483136E-3</v>
      </c>
      <c r="BS170" s="14">
        <f t="shared" si="28"/>
        <v>-7.4221774407381869E-2</v>
      </c>
      <c r="BT170" s="14">
        <f t="shared" si="29"/>
        <v>-4.6836890243902474E-2</v>
      </c>
      <c r="BV170" s="749">
        <v>44589</v>
      </c>
      <c r="BW170">
        <f t="shared" si="30"/>
        <v>2.1294890398716118</v>
      </c>
      <c r="BX170">
        <f t="shared" si="31"/>
        <v>4.7456571582903315</v>
      </c>
    </row>
    <row r="171" spans="1:76" x14ac:dyDescent="0.3">
      <c r="A171" s="749">
        <v>44582</v>
      </c>
      <c r="B171">
        <v>119000</v>
      </c>
      <c r="C171">
        <v>3434.7849999999999</v>
      </c>
      <c r="D171">
        <v>75600</v>
      </c>
      <c r="E171">
        <v>81.93</v>
      </c>
      <c r="F171">
        <v>14438.4</v>
      </c>
      <c r="G171">
        <v>2840.6</v>
      </c>
      <c r="H171">
        <v>942.85</v>
      </c>
      <c r="I171">
        <v>376.08</v>
      </c>
      <c r="J171">
        <v>2624</v>
      </c>
      <c r="K171">
        <v>23340000</v>
      </c>
      <c r="L171">
        <v>4397.9399999999996</v>
      </c>
      <c r="AO171" s="749">
        <v>44582</v>
      </c>
      <c r="AP171">
        <v>14438.4</v>
      </c>
      <c r="AQ171">
        <v>2840.6</v>
      </c>
      <c r="AR171">
        <f t="shared" si="22"/>
        <v>3.3177995312284572</v>
      </c>
      <c r="AS171">
        <f t="shared" si="23"/>
        <v>1.4492413497545993</v>
      </c>
      <c r="BF171" s="749">
        <v>44582</v>
      </c>
      <c r="BG171">
        <v>14438.4</v>
      </c>
      <c r="BH171">
        <v>119000</v>
      </c>
      <c r="BI171">
        <v>3434.7849999999999</v>
      </c>
      <c r="BJ171">
        <v>81.93</v>
      </c>
      <c r="BK171">
        <v>4397.9399999999996</v>
      </c>
      <c r="BL171">
        <v>942.85</v>
      </c>
      <c r="BM171">
        <v>2624</v>
      </c>
      <c r="BN171" s="14">
        <f t="shared" si="32"/>
        <v>-7.5148655582166879E-2</v>
      </c>
      <c r="BO171" s="14">
        <f t="shared" si="24"/>
        <v>-7.3929961089494123E-2</v>
      </c>
      <c r="BP171" s="14">
        <f t="shared" si="25"/>
        <v>-0.11942362861193512</v>
      </c>
      <c r="BQ171" s="14">
        <f t="shared" si="26"/>
        <v>-0.15848397699260464</v>
      </c>
      <c r="BR171" s="14">
        <f t="shared" si="27"/>
        <v>-5.6812893402104048E-2</v>
      </c>
      <c r="BS171" s="14">
        <f t="shared" si="28"/>
        <v>-2.9380578346493103E-2</v>
      </c>
      <c r="BT171" s="14">
        <f t="shared" si="29"/>
        <v>-2.8094153378891429E-2</v>
      </c>
      <c r="BV171" s="749">
        <v>44582</v>
      </c>
      <c r="BW171">
        <f t="shared" si="30"/>
        <v>2.1131953987641627</v>
      </c>
      <c r="BX171">
        <f t="shared" si="31"/>
        <v>4.9344120283642301</v>
      </c>
    </row>
    <row r="172" spans="1:76" x14ac:dyDescent="0.3">
      <c r="A172" s="749">
        <v>44575</v>
      </c>
      <c r="B172">
        <v>128500</v>
      </c>
      <c r="C172">
        <v>3900.61</v>
      </c>
      <c r="D172">
        <v>77300</v>
      </c>
      <c r="E172">
        <v>97.36</v>
      </c>
      <c r="F172">
        <v>15611.59</v>
      </c>
      <c r="G172">
        <v>2924.03</v>
      </c>
      <c r="H172">
        <v>971.39</v>
      </c>
      <c r="I172">
        <v>387.45</v>
      </c>
      <c r="J172">
        <v>2699.85</v>
      </c>
      <c r="K172">
        <v>18890000</v>
      </c>
      <c r="L172">
        <v>4662.8500000000004</v>
      </c>
      <c r="AO172" s="749">
        <v>44575</v>
      </c>
      <c r="AP172">
        <v>15611.59</v>
      </c>
      <c r="AQ172">
        <v>2924.03</v>
      </c>
      <c r="AR172">
        <f t="shared" si="22"/>
        <v>3.5873868284388069</v>
      </c>
      <c r="AS172">
        <f t="shared" si="23"/>
        <v>1.4918063732742877</v>
      </c>
      <c r="BF172" s="749">
        <v>44575</v>
      </c>
      <c r="BG172">
        <v>15611.59</v>
      </c>
      <c r="BH172">
        <v>128500</v>
      </c>
      <c r="BI172">
        <v>3900.61</v>
      </c>
      <c r="BJ172">
        <v>97.36</v>
      </c>
      <c r="BK172">
        <v>4662.8500000000004</v>
      </c>
      <c r="BL172">
        <v>971.39</v>
      </c>
      <c r="BM172">
        <v>2699.85</v>
      </c>
      <c r="BN172" s="14">
        <f t="shared" si="32"/>
        <v>1.244212647485643E-3</v>
      </c>
      <c r="BO172" s="14">
        <f t="shared" si="24"/>
        <v>1.1811023622047223E-2</v>
      </c>
      <c r="BP172" s="14">
        <f t="shared" si="25"/>
        <v>2.7470258070702025E-2</v>
      </c>
      <c r="BQ172" s="14">
        <f t="shared" si="26"/>
        <v>3.0809952355743686E-2</v>
      </c>
      <c r="BR172" s="14">
        <f t="shared" si="27"/>
        <v>-3.0318385813217219E-3</v>
      </c>
      <c r="BS172" s="14">
        <f t="shared" si="28"/>
        <v>-2.3885606334659748E-2</v>
      </c>
      <c r="BT172" s="14">
        <f t="shared" si="29"/>
        <v>-8.7528316364932079E-3</v>
      </c>
      <c r="BV172" s="749">
        <v>44575</v>
      </c>
      <c r="BW172">
        <f t="shared" si="30"/>
        <v>2.24048376401849</v>
      </c>
      <c r="BX172">
        <f t="shared" si="31"/>
        <v>5.603616209444783</v>
      </c>
    </row>
    <row r="173" spans="1:76" x14ac:dyDescent="0.3">
      <c r="A173" s="749">
        <v>44568</v>
      </c>
      <c r="B173">
        <v>127000</v>
      </c>
      <c r="C173">
        <v>3796.3240000000001</v>
      </c>
      <c r="D173">
        <v>78300</v>
      </c>
      <c r="E173">
        <v>94.45</v>
      </c>
      <c r="F173">
        <v>15592.19</v>
      </c>
      <c r="G173">
        <v>2948.22</v>
      </c>
      <c r="H173">
        <v>995.16</v>
      </c>
      <c r="I173">
        <v>390.85</v>
      </c>
      <c r="J173">
        <v>2723.69</v>
      </c>
      <c r="K173">
        <v>21820000</v>
      </c>
      <c r="L173">
        <v>4677.03</v>
      </c>
      <c r="AO173" s="749">
        <v>44568</v>
      </c>
      <c r="AP173">
        <v>15592.19</v>
      </c>
      <c r="AQ173">
        <v>2948.22</v>
      </c>
      <c r="AR173">
        <f t="shared" si="22"/>
        <v>3.5829289029826739</v>
      </c>
      <c r="AS173">
        <f t="shared" si="23"/>
        <v>1.5041478322092181</v>
      </c>
      <c r="BF173" s="749">
        <v>44568</v>
      </c>
      <c r="BG173">
        <v>15592.19</v>
      </c>
      <c r="BH173">
        <v>127000</v>
      </c>
      <c r="BI173">
        <v>3796.3240000000001</v>
      </c>
      <c r="BJ173">
        <v>94.45</v>
      </c>
      <c r="BK173">
        <v>4677.03</v>
      </c>
      <c r="BL173">
        <v>995.16</v>
      </c>
      <c r="BM173">
        <v>2723.69</v>
      </c>
      <c r="BN173" s="14">
        <f t="shared" si="32"/>
        <v>-4.4600884309390576E-2</v>
      </c>
      <c r="BO173" s="14">
        <f t="shared" si="24"/>
        <v>-3.0534351145038219E-2</v>
      </c>
      <c r="BP173" s="14">
        <f t="shared" si="25"/>
        <v>-3.7971296182496173E-2</v>
      </c>
      <c r="BQ173" s="14">
        <f t="shared" si="26"/>
        <v>1.3955984970477786E-2</v>
      </c>
      <c r="BR173" s="14">
        <f t="shared" si="27"/>
        <v>-1.8704706914132618E-2</v>
      </c>
      <c r="BS173" s="14">
        <f t="shared" si="28"/>
        <v>-3.7544246503800949E-2</v>
      </c>
      <c r="BT173" s="14">
        <f t="shared" si="29"/>
        <v>-1.1594402752173605E-2</v>
      </c>
      <c r="BV173" s="749">
        <v>44568</v>
      </c>
      <c r="BW173">
        <f t="shared" si="30"/>
        <v>2.2472972063925272</v>
      </c>
      <c r="BX173">
        <f t="shared" si="31"/>
        <v>5.4537989449609823</v>
      </c>
    </row>
    <row r="174" spans="1:76" x14ac:dyDescent="0.3">
      <c r="A174" s="749">
        <v>44561</v>
      </c>
      <c r="B174">
        <v>131000</v>
      </c>
      <c r="C174">
        <v>3946.165</v>
      </c>
      <c r="D174">
        <v>78300</v>
      </c>
      <c r="E174">
        <v>93.15</v>
      </c>
      <c r="F174">
        <v>16320.08</v>
      </c>
      <c r="G174">
        <v>2976.54</v>
      </c>
      <c r="H174">
        <v>1033.98</v>
      </c>
      <c r="I174">
        <v>394.19</v>
      </c>
      <c r="J174">
        <v>2755.64</v>
      </c>
      <c r="K174">
        <v>15780000</v>
      </c>
      <c r="L174">
        <v>4766.18</v>
      </c>
      <c r="AO174" s="749">
        <v>44561</v>
      </c>
      <c r="AP174">
        <v>16320.08</v>
      </c>
      <c r="AQ174">
        <v>2976.54</v>
      </c>
      <c r="AR174">
        <f t="shared" si="22"/>
        <v>3.7501907256767315</v>
      </c>
      <c r="AS174">
        <f t="shared" si="23"/>
        <v>1.5185963694988929</v>
      </c>
      <c r="BF174" s="749">
        <v>44561</v>
      </c>
      <c r="BG174">
        <v>16320.08</v>
      </c>
      <c r="BH174">
        <v>131000</v>
      </c>
      <c r="BI174">
        <v>3946.165</v>
      </c>
      <c r="BJ174">
        <v>93.15</v>
      </c>
      <c r="BK174">
        <v>4766.18</v>
      </c>
      <c r="BL174">
        <v>1033.98</v>
      </c>
      <c r="BM174">
        <v>2755.64</v>
      </c>
      <c r="BN174" s="14">
        <f t="shared" si="32"/>
        <v>7.2785425255128544E-4</v>
      </c>
      <c r="BO174" s="14">
        <f t="shared" si="24"/>
        <v>2.34375E-2</v>
      </c>
      <c r="BP174" s="14">
        <f t="shared" si="25"/>
        <v>3.5034691388540207E-3</v>
      </c>
      <c r="BQ174" s="14">
        <f t="shared" si="26"/>
        <v>-1.3450540139800848E-2</v>
      </c>
      <c r="BR174" s="14">
        <f t="shared" si="27"/>
        <v>8.5467191728791914E-3</v>
      </c>
      <c r="BS174" s="14">
        <f t="shared" si="28"/>
        <v>2.6364376327648875E-2</v>
      </c>
      <c r="BT174" s="14">
        <f t="shared" si="29"/>
        <v>-1.6355757355093425E-2</v>
      </c>
      <c r="BV174" s="749">
        <v>44561</v>
      </c>
      <c r="BW174">
        <f t="shared" si="30"/>
        <v>2.2901334819669614</v>
      </c>
      <c r="BX174">
        <f t="shared" si="31"/>
        <v>5.6690605210835416</v>
      </c>
    </row>
    <row r="175" spans="1:76" x14ac:dyDescent="0.3">
      <c r="A175" s="749">
        <v>44554</v>
      </c>
      <c r="B175">
        <v>128000</v>
      </c>
      <c r="C175">
        <v>3932.3879999999999</v>
      </c>
      <c r="D175">
        <v>80500</v>
      </c>
      <c r="E175">
        <v>94.42</v>
      </c>
      <c r="F175">
        <v>16308.21</v>
      </c>
      <c r="G175">
        <v>3027.26</v>
      </c>
      <c r="H175">
        <v>1007.42</v>
      </c>
      <c r="I175">
        <v>400.53</v>
      </c>
      <c r="J175">
        <v>2801.46</v>
      </c>
      <c r="K175">
        <v>15200000</v>
      </c>
      <c r="L175">
        <v>4725.79</v>
      </c>
      <c r="AO175" s="749">
        <v>44554</v>
      </c>
      <c r="AP175">
        <v>16308.21</v>
      </c>
      <c r="AQ175">
        <v>3027.26</v>
      </c>
      <c r="AR175">
        <f t="shared" si="22"/>
        <v>3.7474631187094993</v>
      </c>
      <c r="AS175">
        <f t="shared" si="23"/>
        <v>1.5444731283736213</v>
      </c>
      <c r="BF175" s="749">
        <v>44554</v>
      </c>
      <c r="BG175">
        <v>16308.21</v>
      </c>
      <c r="BH175">
        <v>128000</v>
      </c>
      <c r="BI175">
        <v>3932.3879999999999</v>
      </c>
      <c r="BJ175">
        <v>94.42</v>
      </c>
      <c r="BK175">
        <v>4725.79</v>
      </c>
      <c r="BL175">
        <v>1007.42</v>
      </c>
      <c r="BM175">
        <v>2801.46</v>
      </c>
      <c r="BN175" s="14">
        <f t="shared" si="32"/>
        <v>3.2069821396250697E-2</v>
      </c>
      <c r="BO175" s="14">
        <f t="shared" si="24"/>
        <v>4.9180327868852514E-2</v>
      </c>
      <c r="BP175" s="14">
        <f t="shared" si="25"/>
        <v>4.5558397262885464E-2</v>
      </c>
      <c r="BQ175" s="14">
        <f t="shared" si="26"/>
        <v>0.13759036144578318</v>
      </c>
      <c r="BR175" s="14">
        <f t="shared" si="27"/>
        <v>2.2756587831988639E-2</v>
      </c>
      <c r="BS175" s="14">
        <f t="shared" si="28"/>
        <v>6.1522481673090823E-3</v>
      </c>
      <c r="BT175" s="14">
        <f t="shared" si="29"/>
        <v>4.4747542112169025E-3</v>
      </c>
      <c r="BV175" s="749">
        <v>44554</v>
      </c>
      <c r="BW175">
        <f t="shared" si="30"/>
        <v>2.2707262226237042</v>
      </c>
      <c r="BX175">
        <f t="shared" si="31"/>
        <v>5.6492684832952156</v>
      </c>
    </row>
    <row r="176" spans="1:76" x14ac:dyDescent="0.3">
      <c r="A176" s="749">
        <v>44547</v>
      </c>
      <c r="B176">
        <v>122000</v>
      </c>
      <c r="C176">
        <v>3761.0410000000002</v>
      </c>
      <c r="D176">
        <v>78000</v>
      </c>
      <c r="E176">
        <v>83</v>
      </c>
      <c r="F176">
        <v>15801.46</v>
      </c>
      <c r="G176">
        <v>3016.43</v>
      </c>
      <c r="H176">
        <v>1001.26</v>
      </c>
      <c r="I176">
        <v>398.96</v>
      </c>
      <c r="J176">
        <v>2788.98</v>
      </c>
      <c r="K176">
        <v>15930000</v>
      </c>
      <c r="L176">
        <v>4620.6400000000003</v>
      </c>
      <c r="AO176" s="749">
        <v>44547</v>
      </c>
      <c r="AP176">
        <v>15801.46</v>
      </c>
      <c r="AQ176">
        <v>3016.43</v>
      </c>
      <c r="AR176">
        <f t="shared" si="22"/>
        <v>3.6310170504159194</v>
      </c>
      <c r="AS176">
        <f t="shared" si="23"/>
        <v>1.5389477873126332</v>
      </c>
      <c r="BF176" s="749">
        <v>44547</v>
      </c>
      <c r="BG176">
        <v>15801.46</v>
      </c>
      <c r="BH176">
        <v>122000</v>
      </c>
      <c r="BI176">
        <v>3761.0410000000002</v>
      </c>
      <c r="BJ176">
        <v>83</v>
      </c>
      <c r="BK176">
        <v>4620.6400000000003</v>
      </c>
      <c r="BL176">
        <v>1001.26</v>
      </c>
      <c r="BM176">
        <v>2788.98</v>
      </c>
      <c r="BN176" s="14">
        <f t="shared" si="32"/>
        <v>-3.2483507817178348E-2</v>
      </c>
      <c r="BO176" s="14">
        <f t="shared" si="24"/>
        <v>1.2448132780082943E-2</v>
      </c>
      <c r="BP176" s="14">
        <f t="shared" si="25"/>
        <v>-3.9244431842275329E-2</v>
      </c>
      <c r="BQ176" s="14">
        <f t="shared" si="26"/>
        <v>-2.9693710544774432E-2</v>
      </c>
      <c r="BR176" s="14">
        <f t="shared" si="27"/>
        <v>-1.9392956736176914E-2</v>
      </c>
      <c r="BS176" s="14">
        <f t="shared" si="28"/>
        <v>-1.0192077661457022E-2</v>
      </c>
      <c r="BT176" s="14">
        <f t="shared" si="29"/>
        <v>1.23494905835142E-3</v>
      </c>
      <c r="BV176" s="749">
        <v>44547</v>
      </c>
      <c r="BW176">
        <f t="shared" si="30"/>
        <v>2.220202000788015</v>
      </c>
      <c r="BX176">
        <f t="shared" si="31"/>
        <v>5.4031113882152839</v>
      </c>
    </row>
    <row r="177" spans="1:76" x14ac:dyDescent="0.3">
      <c r="A177" s="749">
        <v>44540</v>
      </c>
      <c r="B177">
        <v>120500</v>
      </c>
      <c r="C177">
        <v>3914.67</v>
      </c>
      <c r="D177">
        <v>76900</v>
      </c>
      <c r="E177">
        <v>85.54</v>
      </c>
      <c r="F177">
        <v>16331.98</v>
      </c>
      <c r="G177">
        <v>3007.29</v>
      </c>
      <c r="H177">
        <v>1011.57</v>
      </c>
      <c r="I177">
        <v>397.97</v>
      </c>
      <c r="J177">
        <v>2785.54</v>
      </c>
      <c r="K177">
        <v>23740000</v>
      </c>
      <c r="L177">
        <v>4712.0200000000004</v>
      </c>
      <c r="AO177" s="749">
        <v>44540</v>
      </c>
      <c r="AP177">
        <v>16331.98</v>
      </c>
      <c r="AQ177">
        <v>3007.29</v>
      </c>
      <c r="AR177">
        <f t="shared" si="22"/>
        <v>3.7529252263431223</v>
      </c>
      <c r="AS177">
        <f t="shared" si="23"/>
        <v>1.5342846647551607</v>
      </c>
      <c r="BF177" s="749">
        <v>44540</v>
      </c>
      <c r="BG177">
        <v>16331.98</v>
      </c>
      <c r="BH177">
        <v>120500</v>
      </c>
      <c r="BI177">
        <v>3914.67</v>
      </c>
      <c r="BJ177">
        <v>85.54</v>
      </c>
      <c r="BK177">
        <v>4712.0200000000004</v>
      </c>
      <c r="BL177">
        <v>1011.57</v>
      </c>
      <c r="BM177">
        <v>2785.54</v>
      </c>
      <c r="BN177" s="14">
        <f t="shared" si="32"/>
        <v>3.9456365946115124E-2</v>
      </c>
      <c r="BO177" s="14">
        <f t="shared" si="24"/>
        <v>2.1186440677966045E-2</v>
      </c>
      <c r="BP177" s="14">
        <f t="shared" si="25"/>
        <v>2.8948076716845295E-2</v>
      </c>
      <c r="BQ177" s="14">
        <f t="shared" si="26"/>
        <v>4.8027444253859297E-2</v>
      </c>
      <c r="BR177" s="14">
        <f t="shared" si="27"/>
        <v>3.8248909865305825E-2</v>
      </c>
      <c r="BS177" s="14">
        <f t="shared" si="28"/>
        <v>1.3120073712780567E-2</v>
      </c>
      <c r="BT177" s="14">
        <f t="shared" si="29"/>
        <v>1.2555434387495401E-2</v>
      </c>
      <c r="BV177" s="749">
        <v>44540</v>
      </c>
      <c r="BW177">
        <f t="shared" si="30"/>
        <v>2.2641097838726112</v>
      </c>
      <c r="BX177">
        <f t="shared" si="31"/>
        <v>5.6238148050246526</v>
      </c>
    </row>
    <row r="178" spans="1:76" x14ac:dyDescent="0.3">
      <c r="A178" s="749">
        <v>44533</v>
      </c>
      <c r="B178">
        <v>118000</v>
      </c>
      <c r="C178">
        <v>3804.5360000000001</v>
      </c>
      <c r="D178">
        <v>75600</v>
      </c>
      <c r="E178">
        <v>81.62</v>
      </c>
      <c r="F178">
        <v>15712.04</v>
      </c>
      <c r="G178">
        <v>2962.61</v>
      </c>
      <c r="H178">
        <v>998.47</v>
      </c>
      <c r="I178">
        <v>391.96</v>
      </c>
      <c r="J178">
        <v>2751</v>
      </c>
      <c r="K178">
        <v>27620000</v>
      </c>
      <c r="L178">
        <v>4538.43</v>
      </c>
      <c r="AO178" s="749">
        <v>44533</v>
      </c>
      <c r="AP178">
        <v>15712.04</v>
      </c>
      <c r="AQ178">
        <v>2962.61</v>
      </c>
      <c r="AR178">
        <f t="shared" si="22"/>
        <v>3.610469231122754</v>
      </c>
      <c r="AS178">
        <f t="shared" si="23"/>
        <v>1.5114894442006879</v>
      </c>
      <c r="BF178" s="749">
        <v>44533</v>
      </c>
      <c r="BG178">
        <v>15712.04</v>
      </c>
      <c r="BH178">
        <v>118000</v>
      </c>
      <c r="BI178">
        <v>3804.5360000000001</v>
      </c>
      <c r="BJ178">
        <v>81.62</v>
      </c>
      <c r="BK178">
        <v>4538.43</v>
      </c>
      <c r="BL178">
        <v>998.47</v>
      </c>
      <c r="BM178">
        <v>2751</v>
      </c>
      <c r="BN178" s="14">
        <f t="shared" si="32"/>
        <v>-1.9564970503407664E-2</v>
      </c>
      <c r="BO178" s="14">
        <f t="shared" si="24"/>
        <v>2.1645021645021689E-2</v>
      </c>
      <c r="BP178" s="14">
        <f t="shared" si="25"/>
        <v>1.2617609718056144E-2</v>
      </c>
      <c r="BQ178" s="14">
        <f t="shared" si="26"/>
        <v>-2.1577559338288199E-2</v>
      </c>
      <c r="BR178" s="14">
        <f t="shared" si="27"/>
        <v>-1.2229520613238898E-2</v>
      </c>
      <c r="BS178" s="14">
        <f t="shared" si="28"/>
        <v>-7.3765521080833008E-3</v>
      </c>
      <c r="BT178" s="14">
        <f t="shared" si="29"/>
        <v>1.8583313894720455E-2</v>
      </c>
      <c r="BV178" s="749">
        <v>44533</v>
      </c>
      <c r="BW178">
        <f t="shared" si="30"/>
        <v>2.1807003719044009</v>
      </c>
      <c r="BX178">
        <f t="shared" si="31"/>
        <v>5.4655963039155973</v>
      </c>
    </row>
    <row r="179" spans="1:76" x14ac:dyDescent="0.3">
      <c r="A179" s="749">
        <v>44526</v>
      </c>
      <c r="B179">
        <v>115500</v>
      </c>
      <c r="C179">
        <v>3757.13</v>
      </c>
      <c r="D179">
        <v>72300</v>
      </c>
      <c r="E179">
        <v>83.42</v>
      </c>
      <c r="F179">
        <v>16025.58</v>
      </c>
      <c r="G179">
        <v>2906.68</v>
      </c>
      <c r="H179">
        <v>1005.89</v>
      </c>
      <c r="I179">
        <v>385.07</v>
      </c>
      <c r="J179">
        <v>2700.81</v>
      </c>
      <c r="K179">
        <v>26310000</v>
      </c>
      <c r="L179">
        <v>4594.62</v>
      </c>
      <c r="AO179" s="749">
        <v>44526</v>
      </c>
      <c r="AP179">
        <v>16025.58</v>
      </c>
      <c r="AQ179">
        <v>2906.68</v>
      </c>
      <c r="AR179">
        <f t="shared" si="22"/>
        <v>3.6825175789328553</v>
      </c>
      <c r="AS179">
        <f t="shared" si="23"/>
        <v>1.4829546034305072</v>
      </c>
      <c r="BF179" s="749">
        <v>44526</v>
      </c>
      <c r="BG179">
        <v>16025.58</v>
      </c>
      <c r="BH179">
        <v>115500</v>
      </c>
      <c r="BI179">
        <v>3757.13</v>
      </c>
      <c r="BJ179">
        <v>83.42</v>
      </c>
      <c r="BK179">
        <v>4594.62</v>
      </c>
      <c r="BL179">
        <v>1005.89</v>
      </c>
      <c r="BM179">
        <v>2700.81</v>
      </c>
      <c r="BN179" s="14">
        <f t="shared" si="32"/>
        <v>-3.3050670534726212E-2</v>
      </c>
      <c r="BO179" s="14">
        <f t="shared" si="24"/>
        <v>3.5874439461883512E-2</v>
      </c>
      <c r="BP179" s="14">
        <f t="shared" si="25"/>
        <v>-3.9593846864869331E-2</v>
      </c>
      <c r="BQ179" s="14">
        <f t="shared" si="26"/>
        <v>4.6970974346620675E-3</v>
      </c>
      <c r="BR179" s="14">
        <f t="shared" si="27"/>
        <v>-2.1996781581792968E-2</v>
      </c>
      <c r="BS179" s="14">
        <f t="shared" si="28"/>
        <v>-3.4580390049140153E-2</v>
      </c>
      <c r="BT179" s="14">
        <f t="shared" si="29"/>
        <v>-1.202408475022676E-2</v>
      </c>
      <c r="BV179" s="749">
        <v>44526</v>
      </c>
      <c r="BW179">
        <f t="shared" si="30"/>
        <v>2.2076994781806478</v>
      </c>
      <c r="BX179">
        <f t="shared" si="31"/>
        <v>5.3974928457321489</v>
      </c>
    </row>
    <row r="180" spans="1:76" x14ac:dyDescent="0.3">
      <c r="A180" s="749">
        <v>44519</v>
      </c>
      <c r="B180">
        <v>111500</v>
      </c>
      <c r="C180">
        <v>3912.0219999999999</v>
      </c>
      <c r="D180">
        <v>71200</v>
      </c>
      <c r="E180">
        <v>83.03</v>
      </c>
      <c r="F180">
        <v>16573.34</v>
      </c>
      <c r="G180">
        <v>2947.62</v>
      </c>
      <c r="H180">
        <v>1041.92</v>
      </c>
      <c r="I180">
        <v>390.53</v>
      </c>
      <c r="J180">
        <v>2733.68</v>
      </c>
      <c r="K180">
        <v>15780000</v>
      </c>
      <c r="L180">
        <v>4697.96</v>
      </c>
      <c r="AO180" s="749">
        <v>44519</v>
      </c>
      <c r="AP180">
        <v>16573.34</v>
      </c>
      <c r="AQ180">
        <v>2947.62</v>
      </c>
      <c r="AR180">
        <f t="shared" si="22"/>
        <v>3.8083873339767451</v>
      </c>
      <c r="AS180">
        <f t="shared" si="23"/>
        <v>1.5038417191310469</v>
      </c>
      <c r="BF180" s="749">
        <v>44519</v>
      </c>
      <c r="BG180">
        <v>16573.34</v>
      </c>
      <c r="BH180">
        <v>111500</v>
      </c>
      <c r="BI180">
        <v>3912.0219999999999</v>
      </c>
      <c r="BJ180">
        <v>83.03</v>
      </c>
      <c r="BK180">
        <v>4697.96</v>
      </c>
      <c r="BL180">
        <v>1041.92</v>
      </c>
      <c r="BM180">
        <v>2733.68</v>
      </c>
      <c r="BN180" s="14">
        <f t="shared" si="32"/>
        <v>2.3053257184621145E-2</v>
      </c>
      <c r="BO180" s="14">
        <f t="shared" si="24"/>
        <v>4.6948356807511749E-2</v>
      </c>
      <c r="BP180" s="14">
        <f t="shared" si="25"/>
        <v>3.0970854417561311E-2</v>
      </c>
      <c r="BQ180" s="14">
        <f t="shared" si="26"/>
        <v>7.4126778783958569E-2</v>
      </c>
      <c r="BR180" s="14">
        <f t="shared" si="27"/>
        <v>3.2266675208472151E-3</v>
      </c>
      <c r="BS180" s="14">
        <f t="shared" si="28"/>
        <v>3.2554728611493777E-2</v>
      </c>
      <c r="BT180" s="14">
        <f t="shared" si="29"/>
        <v>4.1913550088712448E-3</v>
      </c>
      <c r="BV180" s="749">
        <v>44519</v>
      </c>
      <c r="BW180">
        <f t="shared" si="30"/>
        <v>2.2573540010955324</v>
      </c>
      <c r="BX180">
        <f t="shared" si="31"/>
        <v>5.6200106883037781</v>
      </c>
    </row>
    <row r="181" spans="1:76" x14ac:dyDescent="0.3">
      <c r="A181" s="749">
        <v>44512</v>
      </c>
      <c r="B181">
        <v>106500</v>
      </c>
      <c r="C181">
        <v>3794.5030000000002</v>
      </c>
      <c r="D181">
        <v>70600</v>
      </c>
      <c r="E181">
        <v>77.3</v>
      </c>
      <c r="F181">
        <v>16199.88</v>
      </c>
      <c r="G181">
        <v>2946.04</v>
      </c>
      <c r="H181">
        <v>1009.07</v>
      </c>
      <c r="I181">
        <v>390.38</v>
      </c>
      <c r="J181">
        <v>2722.27</v>
      </c>
      <c r="K181">
        <v>12530000</v>
      </c>
      <c r="L181">
        <v>4682.8500000000004</v>
      </c>
      <c r="AO181" s="749">
        <v>44512</v>
      </c>
      <c r="AP181">
        <v>16199.88</v>
      </c>
      <c r="AQ181">
        <v>2946.04</v>
      </c>
      <c r="AR181">
        <f t="shared" si="22"/>
        <v>3.7225699710464633</v>
      </c>
      <c r="AS181">
        <f t="shared" si="23"/>
        <v>1.5030356213585299</v>
      </c>
      <c r="BF181" s="749">
        <v>44512</v>
      </c>
      <c r="BG181">
        <v>16199.88</v>
      </c>
      <c r="BH181">
        <v>106500</v>
      </c>
      <c r="BI181">
        <v>3794.5030000000002</v>
      </c>
      <c r="BJ181">
        <v>77.3</v>
      </c>
      <c r="BK181">
        <v>4682.8500000000004</v>
      </c>
      <c r="BL181">
        <v>1009.07</v>
      </c>
      <c r="BM181">
        <v>2722.27</v>
      </c>
      <c r="BN181" s="14">
        <f t="shared" si="32"/>
        <v>-9.7497582426717688E-3</v>
      </c>
      <c r="BO181" s="14">
        <f t="shared" si="24"/>
        <v>-4.6728971962616273E-3</v>
      </c>
      <c r="BP181" s="14">
        <f t="shared" si="25"/>
        <v>1.010315315914867E-2</v>
      </c>
      <c r="BQ181" s="14">
        <f t="shared" si="26"/>
        <v>6.0065825562259922E-2</v>
      </c>
      <c r="BR181" s="14">
        <f t="shared" si="27"/>
        <v>-3.1250465670255023E-3</v>
      </c>
      <c r="BS181" s="14">
        <f t="shared" si="28"/>
        <v>7.7095920507315174E-3</v>
      </c>
      <c r="BT181" s="14">
        <f t="shared" si="29"/>
        <v>1.5415293148104414E-3</v>
      </c>
      <c r="BV181" s="749">
        <v>44512</v>
      </c>
      <c r="BW181">
        <f t="shared" si="30"/>
        <v>2.2500936968450596</v>
      </c>
      <c r="BX181">
        <f t="shared" si="31"/>
        <v>5.4511828964153963</v>
      </c>
    </row>
    <row r="182" spans="1:76" x14ac:dyDescent="0.3">
      <c r="A182" s="749">
        <v>44505</v>
      </c>
      <c r="B182">
        <v>107000</v>
      </c>
      <c r="C182">
        <v>3756.55</v>
      </c>
      <c r="D182">
        <v>70200</v>
      </c>
      <c r="E182">
        <v>72.92</v>
      </c>
      <c r="F182">
        <v>16359.38</v>
      </c>
      <c r="G182">
        <v>2941.65</v>
      </c>
      <c r="H182">
        <v>1001.35</v>
      </c>
      <c r="I182">
        <v>389.86</v>
      </c>
      <c r="J182">
        <v>2718.08</v>
      </c>
      <c r="K182">
        <v>13710000</v>
      </c>
      <c r="L182">
        <v>4697.53</v>
      </c>
      <c r="AO182" s="749">
        <v>44505</v>
      </c>
      <c r="AP182">
        <v>16359.38</v>
      </c>
      <c r="AQ182">
        <v>2941.65</v>
      </c>
      <c r="AR182">
        <f t="shared" si="22"/>
        <v>3.7592214715749801</v>
      </c>
      <c r="AS182">
        <f t="shared" si="23"/>
        <v>1.5007958940032449</v>
      </c>
      <c r="BF182" s="749">
        <v>44505</v>
      </c>
      <c r="BG182">
        <v>16359.38</v>
      </c>
      <c r="BH182">
        <v>107000</v>
      </c>
      <c r="BI182">
        <v>3756.55</v>
      </c>
      <c r="BJ182">
        <v>72.92</v>
      </c>
      <c r="BK182">
        <v>4697.53</v>
      </c>
      <c r="BL182">
        <v>1001.35</v>
      </c>
      <c r="BM182">
        <v>2718.08</v>
      </c>
      <c r="BN182" s="14">
        <f t="shared" si="32"/>
        <v>3.2106934368507645E-2</v>
      </c>
      <c r="BO182" s="14">
        <f t="shared" si="24"/>
        <v>3.8834951456310662E-2</v>
      </c>
      <c r="BP182" s="14">
        <f t="shared" si="25"/>
        <v>8.8455341183397485E-2</v>
      </c>
      <c r="BQ182" s="14">
        <f t="shared" si="26"/>
        <v>5.5282199710564583E-2</v>
      </c>
      <c r="BR182" s="14">
        <f t="shared" si="27"/>
        <v>2.0009206623557541E-2</v>
      </c>
      <c r="BS182" s="14">
        <f t="shared" si="28"/>
        <v>9.0897181381193182E-3</v>
      </c>
      <c r="BT182" s="14">
        <f t="shared" si="29"/>
        <v>7.6442282740059042E-3</v>
      </c>
      <c r="BV182" s="749">
        <v>44505</v>
      </c>
      <c r="BW182">
        <f t="shared" si="30"/>
        <v>2.257147387539761</v>
      </c>
      <c r="BX182">
        <f t="shared" si="31"/>
        <v>5.3966596177494806</v>
      </c>
    </row>
    <row r="183" spans="1:76" x14ac:dyDescent="0.3">
      <c r="A183" s="749">
        <v>44498</v>
      </c>
      <c r="B183">
        <v>103000</v>
      </c>
      <c r="C183">
        <v>3451.2669999999998</v>
      </c>
      <c r="D183">
        <v>69800</v>
      </c>
      <c r="E183">
        <v>69.099999999999994</v>
      </c>
      <c r="F183">
        <v>15850.47</v>
      </c>
      <c r="G183">
        <v>2926.41</v>
      </c>
      <c r="H183">
        <v>992.33</v>
      </c>
      <c r="I183">
        <v>388.47</v>
      </c>
      <c r="J183">
        <v>2697.46</v>
      </c>
      <c r="K183">
        <v>19610000</v>
      </c>
      <c r="L183">
        <v>4605.38</v>
      </c>
      <c r="AO183" s="749">
        <v>44498</v>
      </c>
      <c r="AP183">
        <v>15850.47</v>
      </c>
      <c r="AQ183">
        <v>2926.41</v>
      </c>
      <c r="AR183">
        <f t="shared" si="22"/>
        <v>3.6422790569419545</v>
      </c>
      <c r="AS183">
        <f t="shared" si="23"/>
        <v>1.4930206218176993</v>
      </c>
      <c r="BF183" s="749">
        <v>44498</v>
      </c>
      <c r="BG183">
        <v>15850.47</v>
      </c>
      <c r="BH183">
        <v>103000</v>
      </c>
      <c r="BI183">
        <v>3451.2669999999998</v>
      </c>
      <c r="BJ183">
        <v>69.099999999999994</v>
      </c>
      <c r="BK183">
        <v>4605.38</v>
      </c>
      <c r="BL183">
        <v>992.33</v>
      </c>
      <c r="BM183">
        <v>2697.46</v>
      </c>
      <c r="BN183" s="14">
        <f t="shared" si="32"/>
        <v>3.2262959400380486E-2</v>
      </c>
      <c r="BO183" s="14">
        <f t="shared" si="24"/>
        <v>4.5685279187817285E-2</v>
      </c>
      <c r="BP183" s="14">
        <f t="shared" si="25"/>
        <v>2.4029754204398346E-2</v>
      </c>
      <c r="BQ183" s="14">
        <f t="shared" si="26"/>
        <v>2.3552066360539081E-2</v>
      </c>
      <c r="BR183" s="14">
        <f t="shared" si="27"/>
        <v>1.3307223481264785E-2</v>
      </c>
      <c r="BS183" s="14">
        <f t="shared" si="28"/>
        <v>-2.7535751253681129E-3</v>
      </c>
      <c r="BT183" s="14">
        <f t="shared" si="29"/>
        <v>-1.1430560900078768E-2</v>
      </c>
      <c r="BV183" s="749">
        <v>44498</v>
      </c>
      <c r="BW183">
        <f t="shared" si="30"/>
        <v>2.212869622041342</v>
      </c>
      <c r="BX183">
        <f t="shared" si="31"/>
        <v>4.9580900690717264</v>
      </c>
    </row>
    <row r="184" spans="1:76" x14ac:dyDescent="0.3">
      <c r="A184" s="749">
        <v>44491</v>
      </c>
      <c r="B184">
        <v>98500</v>
      </c>
      <c r="C184">
        <v>3370.28</v>
      </c>
      <c r="D184">
        <v>70400</v>
      </c>
      <c r="E184">
        <v>67.510000000000005</v>
      </c>
      <c r="F184">
        <v>15355.07</v>
      </c>
      <c r="G184">
        <v>2963.01</v>
      </c>
      <c r="H184">
        <v>995.07</v>
      </c>
      <c r="I184">
        <v>393.34</v>
      </c>
      <c r="J184">
        <v>2728.65</v>
      </c>
      <c r="K184">
        <v>9640000</v>
      </c>
      <c r="L184">
        <v>4544.8999999999996</v>
      </c>
      <c r="AO184" s="749">
        <v>44491</v>
      </c>
      <c r="AP184">
        <v>15355.07</v>
      </c>
      <c r="AQ184">
        <v>2963.01</v>
      </c>
      <c r="AR184">
        <f t="shared" si="22"/>
        <v>3.5284411048301849</v>
      </c>
      <c r="AS184">
        <f t="shared" si="23"/>
        <v>1.5116935195861352</v>
      </c>
      <c r="BF184" s="749">
        <v>44491</v>
      </c>
      <c r="BG184">
        <v>15355.07</v>
      </c>
      <c r="BH184">
        <v>98500</v>
      </c>
      <c r="BI184">
        <v>3370.28</v>
      </c>
      <c r="BJ184">
        <v>67.510000000000005</v>
      </c>
      <c r="BK184">
        <v>4544.8999999999996</v>
      </c>
      <c r="BL184">
        <v>995.07</v>
      </c>
      <c r="BM184">
        <v>2728.65</v>
      </c>
      <c r="BN184" s="14">
        <f t="shared" si="32"/>
        <v>1.3742067694290316E-2</v>
      </c>
      <c r="BO184" s="14">
        <f t="shared" si="24"/>
        <v>1.0162601626015899E-3</v>
      </c>
      <c r="BP184" s="14">
        <f t="shared" si="25"/>
        <v>1.6857615857074792E-2</v>
      </c>
      <c r="BQ184" s="14">
        <f t="shared" si="26"/>
        <v>-2.5118203309693055E-3</v>
      </c>
      <c r="BR184" s="14">
        <f t="shared" si="27"/>
        <v>1.6444624354504223E-2</v>
      </c>
      <c r="BS184" s="14">
        <f t="shared" si="28"/>
        <v>4.573263068629263E-3</v>
      </c>
      <c r="BT184" s="14">
        <f t="shared" si="29"/>
        <v>5.0535372919375821E-3</v>
      </c>
      <c r="BV184" s="749">
        <v>44491</v>
      </c>
      <c r="BW184">
        <f t="shared" si="30"/>
        <v>2.1838091851737955</v>
      </c>
      <c r="BX184">
        <f t="shared" si="31"/>
        <v>4.8417441472917222</v>
      </c>
    </row>
    <row r="185" spans="1:76" x14ac:dyDescent="0.3">
      <c r="A185" s="749">
        <v>44484</v>
      </c>
      <c r="B185">
        <v>98400</v>
      </c>
      <c r="C185">
        <v>3314.4070000000002</v>
      </c>
      <c r="D185">
        <v>70100</v>
      </c>
      <c r="E185">
        <v>67.680000000000007</v>
      </c>
      <c r="F185">
        <v>15146.92</v>
      </c>
      <c r="G185">
        <v>2957.37</v>
      </c>
      <c r="H185">
        <v>990.54</v>
      </c>
      <c r="I185">
        <v>393.19</v>
      </c>
      <c r="J185">
        <v>2714.93</v>
      </c>
      <c r="K185">
        <v>14420000</v>
      </c>
      <c r="L185">
        <v>4471.37</v>
      </c>
      <c r="AO185" s="749">
        <v>44484</v>
      </c>
      <c r="AP185">
        <v>15146.92</v>
      </c>
      <c r="AQ185">
        <v>2957.37</v>
      </c>
      <c r="AR185">
        <f t="shared" si="22"/>
        <v>3.4806103221655404</v>
      </c>
      <c r="AS185">
        <f t="shared" si="23"/>
        <v>1.5088160566513269</v>
      </c>
      <c r="BF185" s="749">
        <v>44484</v>
      </c>
      <c r="BG185">
        <v>15146.92</v>
      </c>
      <c r="BH185">
        <v>98400</v>
      </c>
      <c r="BI185">
        <v>3314.4070000000002</v>
      </c>
      <c r="BJ185">
        <v>67.680000000000007</v>
      </c>
      <c r="BK185">
        <v>4471.37</v>
      </c>
      <c r="BL185">
        <v>990.54</v>
      </c>
      <c r="BM185">
        <v>2714.93</v>
      </c>
      <c r="BN185" s="14">
        <f t="shared" si="32"/>
        <v>2.2007658181940837E-2</v>
      </c>
      <c r="BO185" s="14">
        <f t="shared" si="24"/>
        <v>4.6808510638297829E-2</v>
      </c>
      <c r="BP185" s="14">
        <f t="shared" si="25"/>
        <v>2.0988062005856678E-2</v>
      </c>
      <c r="BQ185" s="14">
        <f t="shared" si="26"/>
        <v>-3.4797490017113519E-2</v>
      </c>
      <c r="BR185" s="14">
        <f t="shared" si="27"/>
        <v>1.8224505504014665E-2</v>
      </c>
      <c r="BS185" s="14">
        <f t="shared" si="28"/>
        <v>3.9271437714429647E-2</v>
      </c>
      <c r="BT185" s="14">
        <f t="shared" si="29"/>
        <v>1.2973106083218999E-2</v>
      </c>
      <c r="BV185" s="749">
        <v>44484</v>
      </c>
      <c r="BW185">
        <f t="shared" si="30"/>
        <v>2.1484782671369129</v>
      </c>
      <c r="BX185">
        <f t="shared" si="31"/>
        <v>4.7614769971612789</v>
      </c>
    </row>
    <row r="186" spans="1:76" x14ac:dyDescent="0.3">
      <c r="A186" s="749">
        <v>44477</v>
      </c>
      <c r="B186">
        <v>94000</v>
      </c>
      <c r="C186">
        <v>3246.2739999999999</v>
      </c>
      <c r="D186">
        <v>71500</v>
      </c>
      <c r="E186">
        <v>70.12</v>
      </c>
      <c r="F186">
        <v>14820.75</v>
      </c>
      <c r="G186">
        <v>2914.79</v>
      </c>
      <c r="H186">
        <v>953.11</v>
      </c>
      <c r="I186">
        <v>387.42</v>
      </c>
      <c r="J186">
        <v>2680.16</v>
      </c>
      <c r="K186">
        <v>13990000</v>
      </c>
      <c r="L186">
        <v>4391.34</v>
      </c>
      <c r="AO186" s="749">
        <v>44477</v>
      </c>
      <c r="AP186">
        <v>14820.75</v>
      </c>
      <c r="AQ186">
        <v>2914.79</v>
      </c>
      <c r="AR186">
        <f t="shared" si="22"/>
        <v>3.405659727009513</v>
      </c>
      <c r="AS186">
        <f t="shared" si="23"/>
        <v>1.4870922318704529</v>
      </c>
      <c r="BF186" s="749">
        <v>44477</v>
      </c>
      <c r="BG186">
        <v>14820.75</v>
      </c>
      <c r="BH186">
        <v>94000</v>
      </c>
      <c r="BI186">
        <v>3246.2739999999999</v>
      </c>
      <c r="BJ186">
        <v>70.12</v>
      </c>
      <c r="BK186">
        <v>4391.34</v>
      </c>
      <c r="BL186">
        <v>953.11</v>
      </c>
      <c r="BM186">
        <v>2680.16</v>
      </c>
      <c r="BN186" s="14">
        <f t="shared" si="32"/>
        <v>1.9524238652719461E-3</v>
      </c>
      <c r="BO186" s="14">
        <f t="shared" si="24"/>
        <v>-6.0000000000000053E-2</v>
      </c>
      <c r="BP186" s="14">
        <f t="shared" si="25"/>
        <v>-4.571348670512676E-3</v>
      </c>
      <c r="BQ186" s="14">
        <f t="shared" si="26"/>
        <v>-1.2255247217917931E-2</v>
      </c>
      <c r="BR186" s="14">
        <f t="shared" si="27"/>
        <v>7.8723169858436748E-3</v>
      </c>
      <c r="BS186" s="14">
        <f t="shared" si="28"/>
        <v>-3.0604149715215634E-2</v>
      </c>
      <c r="BT186" s="14">
        <f t="shared" si="29"/>
        <v>-1.7727494291798318E-2</v>
      </c>
      <c r="BV186" s="749">
        <v>44477</v>
      </c>
      <c r="BW186">
        <f t="shared" si="30"/>
        <v>2.1100241209313948</v>
      </c>
      <c r="BX186">
        <f t="shared" si="31"/>
        <v>4.6635971313971796</v>
      </c>
    </row>
    <row r="187" spans="1:76" x14ac:dyDescent="0.3">
      <c r="A187" s="749">
        <v>44470</v>
      </c>
      <c r="B187">
        <v>100000</v>
      </c>
      <c r="C187">
        <v>3261.1819999999998</v>
      </c>
      <c r="D187">
        <v>73200</v>
      </c>
      <c r="E187">
        <v>70.989999999999995</v>
      </c>
      <c r="F187">
        <v>14791.87</v>
      </c>
      <c r="G187">
        <v>2968.7</v>
      </c>
      <c r="H187">
        <v>983.2</v>
      </c>
      <c r="I187">
        <v>394.79</v>
      </c>
      <c r="J187">
        <v>2728.53</v>
      </c>
      <c r="K187">
        <v>17740000</v>
      </c>
      <c r="L187">
        <v>4357.04</v>
      </c>
      <c r="AO187" s="749">
        <v>44470</v>
      </c>
      <c r="AP187">
        <v>14791.87</v>
      </c>
      <c r="AQ187">
        <v>2968.7</v>
      </c>
      <c r="AR187">
        <f t="shared" si="22"/>
        <v>3.3990233926191462</v>
      </c>
      <c r="AS187">
        <f t="shared" si="23"/>
        <v>1.5145964919441242</v>
      </c>
      <c r="BF187" s="749">
        <v>44470</v>
      </c>
      <c r="BG187">
        <v>14791.87</v>
      </c>
      <c r="BH187">
        <v>100000</v>
      </c>
      <c r="BI187">
        <v>3261.1819999999998</v>
      </c>
      <c r="BJ187">
        <v>70.989999999999995</v>
      </c>
      <c r="BK187">
        <v>4357.04</v>
      </c>
      <c r="BL187">
        <v>983.2</v>
      </c>
      <c r="BM187">
        <v>2728.53</v>
      </c>
      <c r="BN187" s="14">
        <f t="shared" si="32"/>
        <v>-3.5082924105395485E-2</v>
      </c>
      <c r="BO187" s="14">
        <f t="shared" si="24"/>
        <v>-3.8461538461538436E-2</v>
      </c>
      <c r="BP187" s="14">
        <f t="shared" si="25"/>
        <v>-5.5803775647640275E-2</v>
      </c>
      <c r="BQ187" s="14">
        <f t="shared" si="26"/>
        <v>-4.1323430114787341E-2</v>
      </c>
      <c r="BR187" s="14">
        <f t="shared" si="27"/>
        <v>-2.2094140249759753E-2</v>
      </c>
      <c r="BS187" s="14">
        <f t="shared" si="28"/>
        <v>-5.1907852231854346E-2</v>
      </c>
      <c r="BT187" s="14">
        <f t="shared" si="29"/>
        <v>-3.394007201555016E-2</v>
      </c>
      <c r="BV187" s="749">
        <v>44470</v>
      </c>
      <c r="BW187">
        <f t="shared" si="30"/>
        <v>2.093543086133828</v>
      </c>
      <c r="BX187">
        <f t="shared" si="31"/>
        <v>4.6850139637517092</v>
      </c>
    </row>
    <row r="188" spans="1:76" x14ac:dyDescent="0.3">
      <c r="A188" s="749">
        <v>44463</v>
      </c>
      <c r="B188">
        <v>104000</v>
      </c>
      <c r="C188">
        <v>3453.924</v>
      </c>
      <c r="D188">
        <v>77300</v>
      </c>
      <c r="E188">
        <v>74.05</v>
      </c>
      <c r="F188">
        <v>15329.68</v>
      </c>
      <c r="G188">
        <v>3079.73</v>
      </c>
      <c r="H188">
        <v>1037.03</v>
      </c>
      <c r="I188">
        <v>409.84</v>
      </c>
      <c r="J188">
        <v>2824.39</v>
      </c>
      <c r="K188">
        <v>4730000</v>
      </c>
      <c r="L188">
        <v>4455.4799999999996</v>
      </c>
      <c r="AO188" s="749">
        <v>44463</v>
      </c>
      <c r="AP188">
        <v>15329.68</v>
      </c>
      <c r="AQ188">
        <v>3079.73</v>
      </c>
      <c r="AR188">
        <f t="shared" si="22"/>
        <v>3.5226067374419778</v>
      </c>
      <c r="AS188">
        <f t="shared" si="23"/>
        <v>1.5712427170596819</v>
      </c>
      <c r="BF188" s="749">
        <v>44463</v>
      </c>
      <c r="BG188">
        <v>15329.68</v>
      </c>
      <c r="BH188">
        <v>104000</v>
      </c>
      <c r="BI188">
        <v>3453.924</v>
      </c>
      <c r="BJ188">
        <v>74.05</v>
      </c>
      <c r="BK188">
        <v>4455.4799999999996</v>
      </c>
      <c r="BL188">
        <v>1037.03</v>
      </c>
      <c r="BM188">
        <v>2824.39</v>
      </c>
      <c r="BN188" s="14">
        <f t="shared" si="32"/>
        <v>-2.4717170999122295E-4</v>
      </c>
      <c r="BO188" s="14">
        <f t="shared" si="24"/>
        <v>-2.8037383177570097E-2</v>
      </c>
      <c r="BP188" s="14">
        <f t="shared" si="25"/>
        <v>9.5780490571022447E-3</v>
      </c>
      <c r="BQ188" s="14">
        <f t="shared" si="26"/>
        <v>-3.3647375504710642E-3</v>
      </c>
      <c r="BR188" s="14">
        <f t="shared" si="27"/>
        <v>5.0733252274424157E-3</v>
      </c>
      <c r="BS188" s="14">
        <f t="shared" si="28"/>
        <v>-8.6892517110847001E-3</v>
      </c>
      <c r="BT188" s="14">
        <f t="shared" si="29"/>
        <v>-7.6771764972261014E-4</v>
      </c>
      <c r="BV188" s="749">
        <v>44463</v>
      </c>
      <c r="BW188">
        <f t="shared" si="30"/>
        <v>2.1408431755062032</v>
      </c>
      <c r="BX188">
        <f t="shared" si="31"/>
        <v>4.9619071151923322</v>
      </c>
    </row>
    <row r="189" spans="1:76" x14ac:dyDescent="0.3">
      <c r="A189" s="749">
        <v>44456</v>
      </c>
      <c r="B189">
        <v>107000</v>
      </c>
      <c r="C189">
        <v>3421.1559999999999</v>
      </c>
      <c r="D189">
        <v>77200</v>
      </c>
      <c r="E189">
        <v>74.3</v>
      </c>
      <c r="F189">
        <v>15333.47</v>
      </c>
      <c r="G189">
        <v>3088.58</v>
      </c>
      <c r="H189">
        <v>1046.1199999999999</v>
      </c>
      <c r="I189">
        <v>410.99</v>
      </c>
      <c r="J189">
        <v>2826.56</v>
      </c>
      <c r="K189">
        <v>14310000</v>
      </c>
      <c r="L189">
        <v>4432.99</v>
      </c>
      <c r="AO189" s="749">
        <v>44456</v>
      </c>
      <c r="AP189">
        <v>15333.47</v>
      </c>
      <c r="AQ189">
        <v>3088.58</v>
      </c>
      <c r="AR189">
        <f t="shared" si="22"/>
        <v>3.5234776414357274</v>
      </c>
      <c r="AS189">
        <f t="shared" si="23"/>
        <v>1.5757578849627052</v>
      </c>
      <c r="BF189" s="749">
        <v>44456</v>
      </c>
      <c r="BG189">
        <v>15333.47</v>
      </c>
      <c r="BH189">
        <v>107000</v>
      </c>
      <c r="BI189">
        <v>3421.1559999999999</v>
      </c>
      <c r="BJ189">
        <v>74.3</v>
      </c>
      <c r="BK189">
        <v>4432.99</v>
      </c>
      <c r="BL189">
        <v>1046.1199999999999</v>
      </c>
      <c r="BM189">
        <v>2826.56</v>
      </c>
      <c r="BN189" s="14">
        <f t="shared" si="32"/>
        <v>-6.9478490358305667E-3</v>
      </c>
      <c r="BO189" s="14">
        <f t="shared" si="24"/>
        <v>1.904761904761898E-2</v>
      </c>
      <c r="BP189" s="14">
        <f t="shared" si="25"/>
        <v>1.3170772825827903E-3</v>
      </c>
      <c r="BQ189" s="14">
        <f t="shared" si="26"/>
        <v>1.0884353741496655E-2</v>
      </c>
      <c r="BR189" s="14">
        <f t="shared" si="27"/>
        <v>-5.7394955344527432E-3</v>
      </c>
      <c r="BS189" s="14">
        <f t="shared" si="28"/>
        <v>7.9101270823094261E-3</v>
      </c>
      <c r="BT189" s="14">
        <f t="shared" si="29"/>
        <v>1.7578678763821021E-3</v>
      </c>
      <c r="BV189" s="749">
        <v>44456</v>
      </c>
      <c r="BW189">
        <f t="shared" si="30"/>
        <v>2.1300368060427259</v>
      </c>
      <c r="BX189">
        <f t="shared" si="31"/>
        <v>4.9148326073714816</v>
      </c>
    </row>
    <row r="190" spans="1:76" x14ac:dyDescent="0.3">
      <c r="A190" s="749">
        <v>44449</v>
      </c>
      <c r="B190">
        <v>105000</v>
      </c>
      <c r="C190">
        <v>3416.6559999999999</v>
      </c>
      <c r="D190">
        <v>75300</v>
      </c>
      <c r="E190">
        <v>73.5</v>
      </c>
      <c r="F190">
        <v>15440.75</v>
      </c>
      <c r="G190">
        <v>3075.1</v>
      </c>
      <c r="H190">
        <v>1037.9100000000001</v>
      </c>
      <c r="I190">
        <v>408.7</v>
      </c>
      <c r="J190">
        <v>2821.6</v>
      </c>
      <c r="K190">
        <v>12560000</v>
      </c>
      <c r="L190">
        <v>4458.58</v>
      </c>
      <c r="AO190" s="749">
        <v>44449</v>
      </c>
      <c r="AP190">
        <v>15440.75</v>
      </c>
      <c r="AQ190">
        <v>3075.1</v>
      </c>
      <c r="AR190">
        <f t="shared" si="22"/>
        <v>3.5481295096281995</v>
      </c>
      <c r="AS190">
        <f t="shared" si="23"/>
        <v>1.5688805444731284</v>
      </c>
      <c r="BF190" s="749">
        <v>44449</v>
      </c>
      <c r="BG190">
        <v>15440.75</v>
      </c>
      <c r="BH190">
        <v>105000</v>
      </c>
      <c r="BI190">
        <v>3416.6559999999999</v>
      </c>
      <c r="BJ190">
        <v>73.5</v>
      </c>
      <c r="BK190">
        <v>4458.58</v>
      </c>
      <c r="BL190">
        <v>1037.9100000000001</v>
      </c>
      <c r="BM190">
        <v>2821.6</v>
      </c>
      <c r="BN190" s="14">
        <f t="shared" si="32"/>
        <v>-1.3550878242059361E-2</v>
      </c>
      <c r="BO190" s="14">
        <f t="shared" si="24"/>
        <v>-1.8691588785046731E-2</v>
      </c>
      <c r="BP190" s="14">
        <f t="shared" si="25"/>
        <v>-4.1481972014242308E-3</v>
      </c>
      <c r="BQ190" s="14">
        <f t="shared" si="26"/>
        <v>-4.1999729034006839E-3</v>
      </c>
      <c r="BR190" s="14">
        <f t="shared" si="27"/>
        <v>-1.6944369111638879E-2</v>
      </c>
      <c r="BS190" s="14">
        <f t="shared" si="28"/>
        <v>-1.5125492242728855E-2</v>
      </c>
      <c r="BT190" s="14">
        <f t="shared" si="29"/>
        <v>-3.2280191513588408E-2</v>
      </c>
      <c r="BV190" s="749">
        <v>44449</v>
      </c>
      <c r="BW190">
        <f t="shared" si="30"/>
        <v>2.1423327150943217</v>
      </c>
      <c r="BX190">
        <f t="shared" si="31"/>
        <v>4.9083679075059479</v>
      </c>
    </row>
    <row r="191" spans="1:76" x14ac:dyDescent="0.3">
      <c r="A191" s="749">
        <v>44442</v>
      </c>
      <c r="B191">
        <v>107000</v>
      </c>
      <c r="C191">
        <v>3430.8879999999999</v>
      </c>
      <c r="D191">
        <v>76600</v>
      </c>
      <c r="E191">
        <v>73.81</v>
      </c>
      <c r="F191">
        <v>15652.86</v>
      </c>
      <c r="G191">
        <v>3165.32</v>
      </c>
      <c r="H191">
        <v>1053.8499999999999</v>
      </c>
      <c r="I191">
        <v>419.22</v>
      </c>
      <c r="J191">
        <v>2915.72</v>
      </c>
      <c r="K191">
        <v>16770000</v>
      </c>
      <c r="L191">
        <v>4535.43</v>
      </c>
      <c r="AO191" s="749">
        <v>44442</v>
      </c>
      <c r="AP191">
        <v>15652.86</v>
      </c>
      <c r="AQ191">
        <v>3165.32</v>
      </c>
      <c r="AR191">
        <f t="shared" si="22"/>
        <v>3.5968702605818281</v>
      </c>
      <c r="AS191">
        <f t="shared" si="23"/>
        <v>1.6149097476607861</v>
      </c>
      <c r="BF191" s="749">
        <v>44442</v>
      </c>
      <c r="BG191">
        <v>15652.86</v>
      </c>
      <c r="BH191">
        <v>107000</v>
      </c>
      <c r="BI191">
        <v>3430.8879999999999</v>
      </c>
      <c r="BJ191">
        <v>73.81</v>
      </c>
      <c r="BK191">
        <v>4535.43</v>
      </c>
      <c r="BL191">
        <v>1053.8499999999999</v>
      </c>
      <c r="BM191">
        <v>2915.72</v>
      </c>
      <c r="BN191" s="14">
        <f t="shared" si="32"/>
        <v>1.424938200408854E-2</v>
      </c>
      <c r="BO191" s="14">
        <f t="shared" si="24"/>
        <v>3.3816425120772875E-2</v>
      </c>
      <c r="BP191" s="14">
        <f t="shared" si="25"/>
        <v>-1.6185307512112113E-3</v>
      </c>
      <c r="BQ191" s="14">
        <f t="shared" si="26"/>
        <v>-2.5675675675674858E-3</v>
      </c>
      <c r="BR191" s="14">
        <f t="shared" si="27"/>
        <v>5.7790777869193288E-3</v>
      </c>
      <c r="BS191" s="14">
        <f t="shared" si="28"/>
        <v>2.9643090932184313E-2</v>
      </c>
      <c r="BT191" s="14">
        <f t="shared" si="29"/>
        <v>2.1622208751896244E-2</v>
      </c>
      <c r="BV191" s="749">
        <v>44442</v>
      </c>
      <c r="BW191">
        <f t="shared" si="30"/>
        <v>2.1792588819804153</v>
      </c>
      <c r="BX191">
        <f t="shared" si="31"/>
        <v>4.9288135982806773</v>
      </c>
    </row>
    <row r="192" spans="1:76" x14ac:dyDescent="0.3">
      <c r="A192" s="749">
        <v>44435</v>
      </c>
      <c r="B192">
        <v>103500</v>
      </c>
      <c r="C192">
        <v>3436.45</v>
      </c>
      <c r="D192">
        <v>74300</v>
      </c>
      <c r="E192">
        <v>74</v>
      </c>
      <c r="F192">
        <v>15432.95</v>
      </c>
      <c r="G192">
        <v>3097.95</v>
      </c>
      <c r="H192">
        <v>1023.51</v>
      </c>
      <c r="I192">
        <v>410.24</v>
      </c>
      <c r="J192">
        <v>2854.01</v>
      </c>
      <c r="K192">
        <v>19370000</v>
      </c>
      <c r="L192">
        <v>4509.37</v>
      </c>
      <c r="AO192" s="749">
        <v>44435</v>
      </c>
      <c r="AP192">
        <v>15432.95</v>
      </c>
      <c r="AQ192">
        <v>3097.95</v>
      </c>
      <c r="AR192">
        <f t="shared" si="22"/>
        <v>3.5463371478468679</v>
      </c>
      <c r="AS192">
        <f t="shared" si="23"/>
        <v>1.58053835086681</v>
      </c>
      <c r="BF192" s="749">
        <v>44435</v>
      </c>
      <c r="BG192">
        <v>15432.95</v>
      </c>
      <c r="BH192">
        <v>103500</v>
      </c>
      <c r="BI192">
        <v>3436.45</v>
      </c>
      <c r="BJ192">
        <v>74</v>
      </c>
      <c r="BK192">
        <v>4509.37</v>
      </c>
      <c r="BL192">
        <v>1023.51</v>
      </c>
      <c r="BM192">
        <v>2854.01</v>
      </c>
      <c r="BN192" s="14">
        <f t="shared" si="32"/>
        <v>2.2552819036121718E-2</v>
      </c>
      <c r="BO192" s="14">
        <f t="shared" si="24"/>
        <v>9.7560975609756184E-3</v>
      </c>
      <c r="BP192" s="14">
        <f t="shared" si="25"/>
        <v>5.5259361436733601E-2</v>
      </c>
      <c r="BQ192" s="14">
        <f t="shared" si="26"/>
        <v>5.3680763206606752E-2</v>
      </c>
      <c r="BR192" s="14">
        <f t="shared" si="27"/>
        <v>1.5242014827756112E-2</v>
      </c>
      <c r="BS192" s="14">
        <f t="shared" si="28"/>
        <v>5.7454282467197082E-2</v>
      </c>
      <c r="BT192" s="14">
        <f t="shared" si="29"/>
        <v>1.4780759767319518E-2</v>
      </c>
      <c r="BV192" s="749">
        <v>44435</v>
      </c>
      <c r="BW192">
        <f t="shared" si="30"/>
        <v>2.1667371395073949</v>
      </c>
      <c r="BX192">
        <f t="shared" si="31"/>
        <v>4.9368039673144777</v>
      </c>
    </row>
    <row r="193" spans="1:76" x14ac:dyDescent="0.3">
      <c r="A193" s="749">
        <v>44428</v>
      </c>
      <c r="B193">
        <v>102500</v>
      </c>
      <c r="C193">
        <v>3256.498</v>
      </c>
      <c r="D193">
        <v>72700</v>
      </c>
      <c r="E193">
        <v>70.23</v>
      </c>
      <c r="F193">
        <v>15092.57</v>
      </c>
      <c r="G193">
        <v>3037.15</v>
      </c>
      <c r="H193">
        <v>967.9</v>
      </c>
      <c r="I193">
        <v>400.78</v>
      </c>
      <c r="J193">
        <v>2812.44</v>
      </c>
      <c r="K193">
        <v>26780000</v>
      </c>
      <c r="L193">
        <v>4441.67</v>
      </c>
      <c r="AO193" s="749">
        <v>44428</v>
      </c>
      <c r="AP193">
        <v>15092.57</v>
      </c>
      <c r="AQ193">
        <v>3037.15</v>
      </c>
      <c r="AR193">
        <f t="shared" si="22"/>
        <v>3.4681212371892087</v>
      </c>
      <c r="AS193">
        <f t="shared" si="23"/>
        <v>1.5495188922788079</v>
      </c>
      <c r="BF193" s="749">
        <v>44428</v>
      </c>
      <c r="BG193">
        <v>15092.57</v>
      </c>
      <c r="BH193">
        <v>102500</v>
      </c>
      <c r="BI193">
        <v>3256.498</v>
      </c>
      <c r="BJ193">
        <v>70.23</v>
      </c>
      <c r="BK193">
        <v>4441.67</v>
      </c>
      <c r="BL193">
        <v>967.9</v>
      </c>
      <c r="BM193">
        <v>2812.44</v>
      </c>
      <c r="BN193" s="14">
        <f t="shared" si="32"/>
        <v>-2.9141132665816416E-3</v>
      </c>
      <c r="BO193" s="14">
        <f t="shared" si="24"/>
        <v>9.8522167487684609E-3</v>
      </c>
      <c r="BP193" s="14">
        <f t="shared" si="25"/>
        <v>-2.3550542122433238E-2</v>
      </c>
      <c r="BQ193" s="14">
        <f t="shared" si="26"/>
        <v>-9.7292724196277325E-3</v>
      </c>
      <c r="BR193" s="14">
        <f t="shared" si="27"/>
        <v>-5.8930170098477896E-3</v>
      </c>
      <c r="BS193" s="14">
        <f t="shared" si="28"/>
        <v>-7.0024404773343041E-2</v>
      </c>
      <c r="BT193" s="14">
        <f t="shared" si="29"/>
        <v>-3.1695644689275215E-2</v>
      </c>
      <c r="BV193" s="749">
        <v>44428</v>
      </c>
      <c r="BW193">
        <f t="shared" si="30"/>
        <v>2.134207516889457</v>
      </c>
      <c r="BX193">
        <f t="shared" si="31"/>
        <v>4.6782849294916735</v>
      </c>
    </row>
    <row r="194" spans="1:76" x14ac:dyDescent="0.3">
      <c r="A194" s="749">
        <v>44421</v>
      </c>
      <c r="B194">
        <v>101500</v>
      </c>
      <c r="C194">
        <v>3335.04</v>
      </c>
      <c r="D194">
        <v>74400</v>
      </c>
      <c r="E194">
        <v>70.92</v>
      </c>
      <c r="F194">
        <v>15136.68</v>
      </c>
      <c r="G194">
        <v>3145.8</v>
      </c>
      <c r="H194">
        <v>1040.78</v>
      </c>
      <c r="I194">
        <v>416.06</v>
      </c>
      <c r="J194">
        <v>2904.5</v>
      </c>
      <c r="K194">
        <v>52660000</v>
      </c>
      <c r="L194">
        <v>4468</v>
      </c>
      <c r="AO194" s="749">
        <v>44421</v>
      </c>
      <c r="AP194">
        <v>15136.68</v>
      </c>
      <c r="AQ194">
        <v>3145.8</v>
      </c>
      <c r="AR194">
        <f t="shared" si="22"/>
        <v>3.4782572728526127</v>
      </c>
      <c r="AS194">
        <f t="shared" si="23"/>
        <v>1.6049508688509537</v>
      </c>
      <c r="BF194" s="749">
        <v>44421</v>
      </c>
      <c r="BG194">
        <v>15136.68</v>
      </c>
      <c r="BH194">
        <v>101500</v>
      </c>
      <c r="BI194">
        <v>3335.04</v>
      </c>
      <c r="BJ194">
        <v>70.92</v>
      </c>
      <c r="BK194">
        <v>4468</v>
      </c>
      <c r="BL194">
        <v>1040.78</v>
      </c>
      <c r="BM194">
        <v>2904.5</v>
      </c>
      <c r="BN194" s="14">
        <f t="shared" si="32"/>
        <v>1.8081507092291282E-3</v>
      </c>
      <c r="BO194" s="14">
        <f t="shared" si="24"/>
        <v>-0.13983050847457623</v>
      </c>
      <c r="BP194" s="14">
        <f t="shared" si="25"/>
        <v>-2.2569722767756262E-2</v>
      </c>
      <c r="BQ194" s="14">
        <f t="shared" si="26"/>
        <v>-0.1351219512195122</v>
      </c>
      <c r="BR194" s="14">
        <f t="shared" si="27"/>
        <v>7.0956515467077708E-3</v>
      </c>
      <c r="BS194" s="14">
        <f t="shared" si="28"/>
        <v>-1.794678241177583E-2</v>
      </c>
      <c r="BT194" s="14">
        <f t="shared" si="29"/>
        <v>-3.7607687210072904E-2</v>
      </c>
      <c r="BV194" s="749">
        <v>44421</v>
      </c>
      <c r="BW194">
        <f t="shared" si="30"/>
        <v>2.1468589934556359</v>
      </c>
      <c r="BX194">
        <f t="shared" si="31"/>
        <v>4.7911183643447384</v>
      </c>
    </row>
    <row r="195" spans="1:76" x14ac:dyDescent="0.3">
      <c r="A195" s="749">
        <v>44414</v>
      </c>
      <c r="B195">
        <v>118000</v>
      </c>
      <c r="C195">
        <v>3412.049</v>
      </c>
      <c r="D195">
        <v>81500</v>
      </c>
      <c r="E195">
        <v>82</v>
      </c>
      <c r="F195">
        <v>15109.36</v>
      </c>
      <c r="G195">
        <v>3272.24</v>
      </c>
      <c r="H195">
        <v>1059.8</v>
      </c>
      <c r="I195">
        <v>433.29</v>
      </c>
      <c r="J195">
        <v>3018</v>
      </c>
      <c r="K195">
        <v>18540000</v>
      </c>
      <c r="L195">
        <v>4436.5200000000004</v>
      </c>
      <c r="AO195" s="749">
        <v>44414</v>
      </c>
      <c r="AP195">
        <v>15109.36</v>
      </c>
      <c r="AQ195">
        <v>3272.24</v>
      </c>
      <c r="AR195">
        <f t="shared" ref="AR195:AR258" si="33">+AP195/$AP$524</f>
        <v>3.4719794108185118</v>
      </c>
      <c r="AS195">
        <f t="shared" ref="AS195:AS258" si="34">+AQ195/$AQ$524</f>
        <v>1.6694590981908717</v>
      </c>
      <c r="BF195" s="749">
        <v>44414</v>
      </c>
      <c r="BG195">
        <v>15109.36</v>
      </c>
      <c r="BH195">
        <v>118000</v>
      </c>
      <c r="BI195">
        <v>3412.049</v>
      </c>
      <c r="BJ195">
        <v>82</v>
      </c>
      <c r="BK195">
        <v>4436.5200000000004</v>
      </c>
      <c r="BL195">
        <v>1059.8</v>
      </c>
      <c r="BM195">
        <v>3018</v>
      </c>
      <c r="BN195" s="14">
        <f t="shared" si="32"/>
        <v>9.990708494040712E-3</v>
      </c>
      <c r="BO195" s="14">
        <f t="shared" ref="BO195:BO258" si="35">+BH195/BH196-1</f>
        <v>4.8888888888888982E-2</v>
      </c>
      <c r="BP195" s="14">
        <f t="shared" ref="BP195:BP258" si="36">+BI195/BI196-1</f>
        <v>1.6541805426205647E-2</v>
      </c>
      <c r="BQ195" s="14">
        <f t="shared" ref="BQ195:BQ258" si="37">+BJ195/BJ196-1</f>
        <v>5.697344676463012E-2</v>
      </c>
      <c r="BR195" s="14">
        <f t="shared" ref="BR195:BR258" si="38">+BK195/BK196-1</f>
        <v>9.3873855016541885E-3</v>
      </c>
      <c r="BS195" s="14">
        <f t="shared" ref="BS195:BS258" si="39">+BL195/BL196-1</f>
        <v>2.7794479896037227E-2</v>
      </c>
      <c r="BT195" s="14">
        <f t="shared" ref="BT195:BT258" si="40">+BM195/BM196-1</f>
        <v>2.3071655694692161E-2</v>
      </c>
      <c r="BV195" s="749">
        <v>44414</v>
      </c>
      <c r="BW195">
        <f t="shared" ref="BW195:BW258" si="41">+L195/$L$524</f>
        <v>2.1317329591866159</v>
      </c>
      <c r="BX195">
        <f t="shared" ref="BX195:BX258" si="42">+C195/$C$524</f>
        <v>4.9017494914436108</v>
      </c>
    </row>
    <row r="196" spans="1:76" x14ac:dyDescent="0.3">
      <c r="A196" s="749">
        <v>44407</v>
      </c>
      <c r="B196">
        <v>112500</v>
      </c>
      <c r="C196">
        <v>3356.5259999999998</v>
      </c>
      <c r="D196">
        <v>78500</v>
      </c>
      <c r="E196">
        <v>77.58</v>
      </c>
      <c r="F196">
        <v>14959.9</v>
      </c>
      <c r="G196">
        <v>3199.74</v>
      </c>
      <c r="H196">
        <v>1031.1400000000001</v>
      </c>
      <c r="I196">
        <v>423.91</v>
      </c>
      <c r="J196">
        <v>2949.94</v>
      </c>
      <c r="K196">
        <v>16730000</v>
      </c>
      <c r="L196">
        <v>4395.26</v>
      </c>
      <c r="AO196" s="749">
        <v>44407</v>
      </c>
      <c r="AP196">
        <v>14959.9</v>
      </c>
      <c r="AQ196">
        <v>3199.74</v>
      </c>
      <c r="AR196">
        <f t="shared" si="33"/>
        <v>3.4376350016085295</v>
      </c>
      <c r="AS196">
        <f t="shared" si="34"/>
        <v>1.6324704345785332</v>
      </c>
      <c r="BF196" s="749">
        <v>44407</v>
      </c>
      <c r="BG196">
        <v>14959.9</v>
      </c>
      <c r="BH196">
        <v>112500</v>
      </c>
      <c r="BI196">
        <v>3356.5259999999998</v>
      </c>
      <c r="BJ196">
        <v>77.58</v>
      </c>
      <c r="BK196">
        <v>4395.26</v>
      </c>
      <c r="BL196">
        <v>1031.1400000000001</v>
      </c>
      <c r="BM196">
        <v>2949.94</v>
      </c>
      <c r="BN196" s="14">
        <f t="shared" ref="BN196:BN259" si="43">+BG196/BG197-1</f>
        <v>-1.0051092557533003E-2</v>
      </c>
      <c r="BO196" s="14">
        <f t="shared" si="35"/>
        <v>-5.0632911392405111E-2</v>
      </c>
      <c r="BP196" s="14">
        <f t="shared" si="36"/>
        <v>2.3311754472933766E-2</v>
      </c>
      <c r="BQ196" s="14">
        <f t="shared" si="37"/>
        <v>2.1595996839610221E-2</v>
      </c>
      <c r="BR196" s="14">
        <f t="shared" si="38"/>
        <v>-3.7467785184697178E-3</v>
      </c>
      <c r="BS196" s="14">
        <f t="shared" si="39"/>
        <v>-2.3079109426811795E-2</v>
      </c>
      <c r="BT196" s="14">
        <f t="shared" si="40"/>
        <v>-1.8005812192288362E-2</v>
      </c>
      <c r="BV196" s="749">
        <v>44407</v>
      </c>
      <c r="BW196">
        <f t="shared" si="41"/>
        <v>2.1119076677654025</v>
      </c>
      <c r="BX196">
        <f t="shared" si="42"/>
        <v>4.8219851513027088</v>
      </c>
    </row>
    <row r="197" spans="1:76" x14ac:dyDescent="0.3">
      <c r="A197" s="749">
        <v>44400</v>
      </c>
      <c r="B197">
        <v>118500</v>
      </c>
      <c r="C197">
        <v>3280.0619999999999</v>
      </c>
      <c r="D197">
        <v>79300</v>
      </c>
      <c r="E197">
        <v>75.94</v>
      </c>
      <c r="F197">
        <v>15111.79</v>
      </c>
      <c r="G197">
        <v>3261.35</v>
      </c>
      <c r="H197">
        <v>1055.5</v>
      </c>
      <c r="I197">
        <v>431.55</v>
      </c>
      <c r="J197">
        <v>3004.03</v>
      </c>
      <c r="K197">
        <v>10670000</v>
      </c>
      <c r="L197">
        <v>4411.79</v>
      </c>
      <c r="AO197" s="749">
        <v>44400</v>
      </c>
      <c r="AP197">
        <v>15111.79</v>
      </c>
      <c r="AQ197">
        <v>3261.35</v>
      </c>
      <c r="AR197">
        <f t="shared" si="33"/>
        <v>3.4725378004503882</v>
      </c>
      <c r="AS197">
        <f t="shared" si="34"/>
        <v>1.6639031458220668</v>
      </c>
      <c r="BF197" s="749">
        <v>44400</v>
      </c>
      <c r="BG197">
        <v>15111.79</v>
      </c>
      <c r="BH197">
        <v>118500</v>
      </c>
      <c r="BI197">
        <v>3280.0619999999999</v>
      </c>
      <c r="BJ197">
        <v>75.94</v>
      </c>
      <c r="BK197">
        <v>4411.79</v>
      </c>
      <c r="BL197">
        <v>1055.5</v>
      </c>
      <c r="BM197">
        <v>3004.03</v>
      </c>
      <c r="BN197" s="14">
        <f t="shared" si="43"/>
        <v>2.9316726356786837E-2</v>
      </c>
      <c r="BO197" s="14">
        <f t="shared" si="35"/>
        <v>-2.4691358024691357E-2</v>
      </c>
      <c r="BP197" s="14">
        <f t="shared" si="36"/>
        <v>4.2796447437694063E-2</v>
      </c>
      <c r="BQ197" s="14">
        <f t="shared" si="37"/>
        <v>1.2398346887081635E-2</v>
      </c>
      <c r="BR197" s="14">
        <f t="shared" si="38"/>
        <v>1.9557862431710538E-2</v>
      </c>
      <c r="BS197" s="14">
        <f t="shared" si="39"/>
        <v>3.3460712180839458E-3</v>
      </c>
      <c r="BT197" s="14">
        <f t="shared" si="40"/>
        <v>-8.1257594167678526E-3</v>
      </c>
      <c r="BV197" s="749">
        <v>44400</v>
      </c>
      <c r="BW197">
        <f t="shared" si="41"/>
        <v>2.1198502772465622</v>
      </c>
      <c r="BX197">
        <f t="shared" si="42"/>
        <v>4.7121369711875509</v>
      </c>
    </row>
    <row r="198" spans="1:76" x14ac:dyDescent="0.3">
      <c r="A198" s="749">
        <v>44393</v>
      </c>
      <c r="B198">
        <v>121500</v>
      </c>
      <c r="C198">
        <v>3145.4479999999999</v>
      </c>
      <c r="D198">
        <v>79800</v>
      </c>
      <c r="E198">
        <v>75.010000000000005</v>
      </c>
      <c r="F198">
        <v>14681.38</v>
      </c>
      <c r="G198">
        <v>3289.26</v>
      </c>
      <c r="H198">
        <v>1051.98</v>
      </c>
      <c r="I198">
        <v>434.82</v>
      </c>
      <c r="J198">
        <v>3028.64</v>
      </c>
      <c r="K198">
        <v>12210000</v>
      </c>
      <c r="L198">
        <v>4327.16</v>
      </c>
      <c r="AO198" s="749">
        <v>44393</v>
      </c>
      <c r="AP198">
        <v>14681.38</v>
      </c>
      <c r="AQ198">
        <v>3289.26</v>
      </c>
      <c r="AR198">
        <f t="shared" si="33"/>
        <v>3.3736338986166641</v>
      </c>
      <c r="AS198">
        <f t="shared" si="34"/>
        <v>1.6781425058416581</v>
      </c>
      <c r="BF198" s="749">
        <v>44393</v>
      </c>
      <c r="BG198">
        <v>14681.38</v>
      </c>
      <c r="BH198">
        <v>121500</v>
      </c>
      <c r="BI198">
        <v>3145.4479999999999</v>
      </c>
      <c r="BJ198">
        <v>75.010000000000005</v>
      </c>
      <c r="BK198">
        <v>4327.16</v>
      </c>
      <c r="BL198">
        <v>1051.98</v>
      </c>
      <c r="BM198">
        <v>3028.64</v>
      </c>
      <c r="BN198" s="14">
        <f t="shared" si="43"/>
        <v>-9.7604965301034685E-3</v>
      </c>
      <c r="BO198" s="14">
        <f t="shared" si="35"/>
        <v>1.6736401673640211E-2</v>
      </c>
      <c r="BP198" s="14">
        <f t="shared" si="36"/>
        <v>-4.0551002168747519E-2</v>
      </c>
      <c r="BQ198" s="14">
        <f t="shared" si="37"/>
        <v>-4.7371094742189368E-2</v>
      </c>
      <c r="BR198" s="14">
        <f t="shared" si="38"/>
        <v>-9.7012278152213138E-3</v>
      </c>
      <c r="BS198" s="14">
        <f t="shared" si="39"/>
        <v>2.2401912666556445E-2</v>
      </c>
      <c r="BT198" s="14">
        <f t="shared" si="40"/>
        <v>1.6107333013490432E-2</v>
      </c>
      <c r="BV198" s="749">
        <v>44393</v>
      </c>
      <c r="BW198">
        <f t="shared" si="41"/>
        <v>2.0791858464909332</v>
      </c>
      <c r="BX198">
        <f t="shared" si="42"/>
        <v>4.5187505028099899</v>
      </c>
    </row>
    <row r="199" spans="1:76" x14ac:dyDescent="0.3">
      <c r="A199" s="749">
        <v>44386</v>
      </c>
      <c r="B199">
        <v>119500</v>
      </c>
      <c r="C199">
        <v>3278.39</v>
      </c>
      <c r="D199">
        <v>79400</v>
      </c>
      <c r="E199">
        <v>78.739999999999995</v>
      </c>
      <c r="F199">
        <v>14826.09</v>
      </c>
      <c r="G199">
        <v>3237.57</v>
      </c>
      <c r="H199">
        <v>1028.93</v>
      </c>
      <c r="I199">
        <v>427.84</v>
      </c>
      <c r="J199">
        <v>2980.63</v>
      </c>
      <c r="K199">
        <v>13920000</v>
      </c>
      <c r="L199">
        <v>4369.55</v>
      </c>
      <c r="AO199" s="749">
        <v>44386</v>
      </c>
      <c r="AP199">
        <v>14826.09</v>
      </c>
      <c r="AQ199">
        <v>3237.57</v>
      </c>
      <c r="AR199">
        <f t="shared" si="33"/>
        <v>3.4068868054598096</v>
      </c>
      <c r="AS199">
        <f t="shared" si="34"/>
        <v>1.6517708641572197</v>
      </c>
      <c r="BF199" s="749">
        <v>44386</v>
      </c>
      <c r="BG199">
        <v>14826.09</v>
      </c>
      <c r="BH199">
        <v>119500</v>
      </c>
      <c r="BI199">
        <v>3278.39</v>
      </c>
      <c r="BJ199">
        <v>78.739999999999995</v>
      </c>
      <c r="BK199">
        <v>4369.55</v>
      </c>
      <c r="BL199">
        <v>1028.93</v>
      </c>
      <c r="BM199">
        <v>2980.63</v>
      </c>
      <c r="BN199" s="14">
        <f t="shared" si="43"/>
        <v>6.6853933728645565E-3</v>
      </c>
      <c r="BO199" s="14">
        <f t="shared" si="35"/>
        <v>-2.4489795918367308E-2</v>
      </c>
      <c r="BP199" s="14">
        <f t="shared" si="36"/>
        <v>-1.1292185100998831E-2</v>
      </c>
      <c r="BQ199" s="14">
        <f t="shared" si="37"/>
        <v>-1.9793352421262345E-2</v>
      </c>
      <c r="BR199" s="14">
        <f t="shared" si="38"/>
        <v>3.954194755005469E-3</v>
      </c>
      <c r="BS199" s="14">
        <f t="shared" si="39"/>
        <v>-8.9098229594097855E-3</v>
      </c>
      <c r="BT199" s="14">
        <f t="shared" si="40"/>
        <v>-1.6394362292966647E-2</v>
      </c>
      <c r="BV199" s="749">
        <v>44386</v>
      </c>
      <c r="BW199">
        <f t="shared" si="41"/>
        <v>2.0995540991168475</v>
      </c>
      <c r="BX199">
        <f t="shared" si="42"/>
        <v>4.7097349760375122</v>
      </c>
    </row>
    <row r="200" spans="1:76" x14ac:dyDescent="0.3">
      <c r="A200" s="749">
        <v>44379</v>
      </c>
      <c r="B200">
        <v>122500</v>
      </c>
      <c r="C200">
        <v>3315.8330000000001</v>
      </c>
      <c r="D200">
        <v>80000</v>
      </c>
      <c r="E200">
        <v>80.33</v>
      </c>
      <c r="F200">
        <v>14727.63</v>
      </c>
      <c r="G200">
        <v>3296.47</v>
      </c>
      <c r="H200">
        <v>1038.18</v>
      </c>
      <c r="I200">
        <v>436</v>
      </c>
      <c r="J200">
        <v>3030.31</v>
      </c>
      <c r="K200">
        <v>16280000</v>
      </c>
      <c r="L200">
        <v>4352.34</v>
      </c>
      <c r="AO200" s="749">
        <v>44379</v>
      </c>
      <c r="AP200">
        <v>14727.63</v>
      </c>
      <c r="AQ200">
        <v>3296.47</v>
      </c>
      <c r="AR200">
        <f t="shared" si="33"/>
        <v>3.3842616848200739</v>
      </c>
      <c r="AS200">
        <f t="shared" si="34"/>
        <v>1.6818209646643469</v>
      </c>
      <c r="BF200" s="749">
        <v>44379</v>
      </c>
      <c r="BG200">
        <v>14727.63</v>
      </c>
      <c r="BH200">
        <v>122500</v>
      </c>
      <c r="BI200">
        <v>3315.8330000000001</v>
      </c>
      <c r="BJ200">
        <v>80.33</v>
      </c>
      <c r="BK200">
        <v>4352.34</v>
      </c>
      <c r="BL200">
        <v>1038.18</v>
      </c>
      <c r="BM200">
        <v>3030.31</v>
      </c>
      <c r="BN200" s="14">
        <f t="shared" si="43"/>
        <v>2.6660522907345774E-2</v>
      </c>
      <c r="BO200" s="14">
        <f t="shared" si="35"/>
        <v>-4.6692607003890996E-2</v>
      </c>
      <c r="BP200" s="14">
        <f t="shared" si="36"/>
        <v>2.2936716639662569E-2</v>
      </c>
      <c r="BQ200" s="14">
        <f t="shared" si="37"/>
        <v>-2.0724125320004894E-2</v>
      </c>
      <c r="BR200" s="14">
        <f t="shared" si="38"/>
        <v>1.6735580629336333E-2</v>
      </c>
      <c r="BS200" s="14">
        <f t="shared" si="39"/>
        <v>2.5737800480175599E-2</v>
      </c>
      <c r="BT200" s="14">
        <f t="shared" si="40"/>
        <v>-1.1956387064799956E-2</v>
      </c>
      <c r="BV200" s="749">
        <v>44379</v>
      </c>
      <c r="BW200">
        <f t="shared" si="41"/>
        <v>2.0912847519195843</v>
      </c>
      <c r="BX200">
        <f t="shared" si="42"/>
        <v>4.763525588718668</v>
      </c>
    </row>
    <row r="201" spans="1:76" x14ac:dyDescent="0.3">
      <c r="A201" s="749">
        <v>44372</v>
      </c>
      <c r="B201">
        <v>128500</v>
      </c>
      <c r="C201">
        <v>3241.4839999999999</v>
      </c>
      <c r="D201">
        <v>81600</v>
      </c>
      <c r="E201">
        <v>82.03</v>
      </c>
      <c r="F201">
        <v>14345.18</v>
      </c>
      <c r="G201">
        <v>3333.1</v>
      </c>
      <c r="H201">
        <v>1012.13</v>
      </c>
      <c r="I201">
        <v>440.4</v>
      </c>
      <c r="J201">
        <v>3066.98</v>
      </c>
      <c r="K201">
        <v>13340000</v>
      </c>
      <c r="L201">
        <v>4280.7</v>
      </c>
      <c r="AO201" s="749">
        <v>44372</v>
      </c>
      <c r="AP201">
        <v>14345.18</v>
      </c>
      <c r="AQ201">
        <v>3333.1</v>
      </c>
      <c r="AR201">
        <f t="shared" si="33"/>
        <v>3.2963785100418219</v>
      </c>
      <c r="AS201">
        <f t="shared" si="34"/>
        <v>1.7005091680866913</v>
      </c>
      <c r="BF201" s="749">
        <v>44372</v>
      </c>
      <c r="BG201">
        <v>14345.18</v>
      </c>
      <c r="BH201">
        <v>128500</v>
      </c>
      <c r="BI201">
        <v>3241.4839999999999</v>
      </c>
      <c r="BJ201">
        <v>82.03</v>
      </c>
      <c r="BK201">
        <v>4280.7</v>
      </c>
      <c r="BL201">
        <v>1012.13</v>
      </c>
      <c r="BM201">
        <v>3066.98</v>
      </c>
      <c r="BN201" s="14">
        <f t="shared" si="43"/>
        <v>2.103977485447972E-2</v>
      </c>
      <c r="BO201" s="14">
        <f t="shared" si="35"/>
        <v>3.2128514056224855E-2</v>
      </c>
      <c r="BP201" s="14">
        <f t="shared" si="36"/>
        <v>2.8125060461917872E-2</v>
      </c>
      <c r="BQ201" s="14">
        <f t="shared" si="37"/>
        <v>6.6016894087069566E-2</v>
      </c>
      <c r="BR201" s="14">
        <f t="shared" si="38"/>
        <v>2.7421425914147646E-2</v>
      </c>
      <c r="BS201" s="14">
        <f t="shared" si="39"/>
        <v>-3.6913808717564667E-3</v>
      </c>
      <c r="BT201" s="14">
        <f t="shared" si="40"/>
        <v>1.4451144283214701E-2</v>
      </c>
      <c r="BV201" s="749">
        <v>44372</v>
      </c>
      <c r="BW201">
        <f t="shared" si="41"/>
        <v>2.0568619725348118</v>
      </c>
      <c r="BX201">
        <f t="shared" si="42"/>
        <v>4.6567158175403112</v>
      </c>
    </row>
    <row r="202" spans="1:76" x14ac:dyDescent="0.3">
      <c r="A202" s="749">
        <v>44365</v>
      </c>
      <c r="B202">
        <v>124500</v>
      </c>
      <c r="C202">
        <v>3152.8110000000001</v>
      </c>
      <c r="D202">
        <v>80500</v>
      </c>
      <c r="E202">
        <v>76.95</v>
      </c>
      <c r="F202">
        <v>14049.58</v>
      </c>
      <c r="G202">
        <v>3291.75</v>
      </c>
      <c r="H202">
        <v>1015.88</v>
      </c>
      <c r="I202">
        <v>435.02</v>
      </c>
      <c r="J202">
        <v>3023.29</v>
      </c>
      <c r="K202">
        <v>10520000</v>
      </c>
      <c r="L202">
        <v>4166.45</v>
      </c>
      <c r="AO202" s="749">
        <v>44365</v>
      </c>
      <c r="AP202">
        <v>14049.58</v>
      </c>
      <c r="AQ202">
        <v>3291.75</v>
      </c>
      <c r="AR202">
        <f t="shared" si="33"/>
        <v>3.2284525943287834</v>
      </c>
      <c r="AS202">
        <f t="shared" si="34"/>
        <v>1.679412875116068</v>
      </c>
      <c r="BF202" s="749">
        <v>44365</v>
      </c>
      <c r="BG202">
        <v>14049.58</v>
      </c>
      <c r="BH202">
        <v>124500</v>
      </c>
      <c r="BI202">
        <v>3152.8110000000001</v>
      </c>
      <c r="BJ202">
        <v>76.95</v>
      </c>
      <c r="BK202">
        <v>4166.45</v>
      </c>
      <c r="BL202">
        <v>1015.88</v>
      </c>
      <c r="BM202">
        <v>3023.29</v>
      </c>
      <c r="BN202" s="14">
        <f t="shared" si="43"/>
        <v>3.6633019723824045E-3</v>
      </c>
      <c r="BO202" s="14">
        <f t="shared" si="35"/>
        <v>-2.734375E-2</v>
      </c>
      <c r="BP202" s="14">
        <f t="shared" si="36"/>
        <v>-1.7834552053683672E-2</v>
      </c>
      <c r="BQ202" s="14">
        <f t="shared" si="37"/>
        <v>-3.0123519032014157E-2</v>
      </c>
      <c r="BR202" s="14">
        <f t="shared" si="38"/>
        <v>-1.9067956227751259E-2</v>
      </c>
      <c r="BS202" s="14">
        <f t="shared" si="39"/>
        <v>2.497149717998659E-2</v>
      </c>
      <c r="BT202" s="14">
        <f t="shared" si="40"/>
        <v>7.4946680885097372E-3</v>
      </c>
      <c r="BV202" s="749">
        <v>44365</v>
      </c>
      <c r="BW202">
        <f t="shared" si="41"/>
        <v>2.0019652312630334</v>
      </c>
      <c r="BX202">
        <f t="shared" si="42"/>
        <v>4.5293281883899743</v>
      </c>
    </row>
    <row r="203" spans="1:76" x14ac:dyDescent="0.3">
      <c r="A203" s="749">
        <v>44358</v>
      </c>
      <c r="B203">
        <v>128000</v>
      </c>
      <c r="C203">
        <v>3210.0610000000001</v>
      </c>
      <c r="D203">
        <v>81000</v>
      </c>
      <c r="E203">
        <v>79.34</v>
      </c>
      <c r="F203">
        <v>13998.3</v>
      </c>
      <c r="G203">
        <v>3273.49</v>
      </c>
      <c r="H203">
        <v>991.13</v>
      </c>
      <c r="I203">
        <v>432.78</v>
      </c>
      <c r="J203">
        <v>3000.8</v>
      </c>
      <c r="K203">
        <v>22250000</v>
      </c>
      <c r="L203">
        <v>4247.4399999999996</v>
      </c>
      <c r="AO203" s="749">
        <v>44358</v>
      </c>
      <c r="AP203">
        <v>13998.3</v>
      </c>
      <c r="AQ203">
        <v>3273.49</v>
      </c>
      <c r="AR203">
        <f t="shared" si="33"/>
        <v>3.2166689645663862</v>
      </c>
      <c r="AS203">
        <f t="shared" si="34"/>
        <v>1.6700968337703948</v>
      </c>
      <c r="BF203" s="749">
        <v>44358</v>
      </c>
      <c r="BG203">
        <v>13998.3</v>
      </c>
      <c r="BH203">
        <v>128000</v>
      </c>
      <c r="BI203">
        <v>3210.0610000000001</v>
      </c>
      <c r="BJ203">
        <v>79.34</v>
      </c>
      <c r="BK203">
        <v>4247.4399999999996</v>
      </c>
      <c r="BL203">
        <v>991.13</v>
      </c>
      <c r="BM203">
        <v>3000.8</v>
      </c>
      <c r="BN203" s="14">
        <f t="shared" si="43"/>
        <v>1.652267810732444E-2</v>
      </c>
      <c r="BO203" s="14">
        <f t="shared" si="35"/>
        <v>-3.8910505836575737E-3</v>
      </c>
      <c r="BP203" s="14">
        <f t="shared" si="36"/>
        <v>-1.2697012141964503E-3</v>
      </c>
      <c r="BQ203" s="14">
        <f t="shared" si="37"/>
        <v>-5.2769818529130874E-2</v>
      </c>
      <c r="BR203" s="14">
        <f t="shared" si="38"/>
        <v>4.1490440649754046E-3</v>
      </c>
      <c r="BS203" s="14">
        <f t="shared" si="39"/>
        <v>3.5946454970736674E-3</v>
      </c>
      <c r="BT203" s="14">
        <f t="shared" si="40"/>
        <v>3.7463205780039477E-3</v>
      </c>
      <c r="BV203" s="749">
        <v>44358</v>
      </c>
      <c r="BW203">
        <f t="shared" si="41"/>
        <v>2.0408806542442268</v>
      </c>
      <c r="BX203">
        <f t="shared" si="42"/>
        <v>4.6115735366792707</v>
      </c>
    </row>
    <row r="204" spans="1:76" x14ac:dyDescent="0.3">
      <c r="A204" s="749">
        <v>44351</v>
      </c>
      <c r="B204">
        <v>128500</v>
      </c>
      <c r="C204">
        <v>3214.1419999999998</v>
      </c>
      <c r="D204">
        <v>82200</v>
      </c>
      <c r="E204">
        <v>83.76</v>
      </c>
      <c r="F204">
        <v>13770.77</v>
      </c>
      <c r="G204">
        <v>3264.07</v>
      </c>
      <c r="H204">
        <v>987.58</v>
      </c>
      <c r="I204">
        <v>432.22</v>
      </c>
      <c r="J204">
        <v>2989.6</v>
      </c>
      <c r="K204">
        <v>14060000</v>
      </c>
      <c r="L204">
        <v>4229.8900000000003</v>
      </c>
      <c r="AO204" s="749">
        <v>44351</v>
      </c>
      <c r="AP204">
        <v>13770.77</v>
      </c>
      <c r="AQ204">
        <v>3264.07</v>
      </c>
      <c r="AR204">
        <f t="shared" si="33"/>
        <v>3.164384852245048</v>
      </c>
      <c r="AS204">
        <f t="shared" si="34"/>
        <v>1.665290858443109</v>
      </c>
      <c r="BF204" s="749">
        <v>44351</v>
      </c>
      <c r="BG204">
        <v>13770.77</v>
      </c>
      <c r="BH204">
        <v>128500</v>
      </c>
      <c r="BI204">
        <v>3214.1419999999998</v>
      </c>
      <c r="BJ204">
        <v>83.76</v>
      </c>
      <c r="BK204">
        <v>4229.8900000000003</v>
      </c>
      <c r="BL204">
        <v>987.58</v>
      </c>
      <c r="BM204">
        <v>2989.6</v>
      </c>
      <c r="BN204" s="14">
        <f t="shared" si="43"/>
        <v>6.156427021936306E-3</v>
      </c>
      <c r="BO204" s="14">
        <f t="shared" si="35"/>
        <v>2.8000000000000025E-2</v>
      </c>
      <c r="BP204" s="14">
        <f t="shared" si="36"/>
        <v>8.6560455965194461E-3</v>
      </c>
      <c r="BQ204" s="14">
        <f t="shared" si="37"/>
        <v>-4.5162823864985935E-3</v>
      </c>
      <c r="BR204" s="14">
        <f t="shared" si="38"/>
        <v>6.1320945455758391E-3</v>
      </c>
      <c r="BS204" s="14">
        <f t="shared" si="39"/>
        <v>1.0353364843574075E-2</v>
      </c>
      <c r="BT204" s="14">
        <f t="shared" si="40"/>
        <v>1.305971413661533E-2</v>
      </c>
      <c r="BV204" s="749">
        <v>44351</v>
      </c>
      <c r="BW204">
        <f t="shared" si="41"/>
        <v>2.0324479381889122</v>
      </c>
      <c r="BX204">
        <f t="shared" si="42"/>
        <v>4.6174363011573245</v>
      </c>
    </row>
    <row r="205" spans="1:76" x14ac:dyDescent="0.3">
      <c r="A205" s="749">
        <v>44344</v>
      </c>
      <c r="B205">
        <v>125000</v>
      </c>
      <c r="C205">
        <v>3186.5590000000002</v>
      </c>
      <c r="D205">
        <v>80100</v>
      </c>
      <c r="E205">
        <v>84.14</v>
      </c>
      <c r="F205">
        <v>13686.51</v>
      </c>
      <c r="G205">
        <v>3219.2</v>
      </c>
      <c r="H205">
        <v>977.46</v>
      </c>
      <c r="I205">
        <v>425.95</v>
      </c>
      <c r="J205">
        <v>2951.06</v>
      </c>
      <c r="K205">
        <v>16330000</v>
      </c>
      <c r="L205">
        <v>4204.1099999999997</v>
      </c>
      <c r="AO205" s="749">
        <v>44344</v>
      </c>
      <c r="AP205">
        <v>13686.51</v>
      </c>
      <c r="AQ205">
        <v>3219.2</v>
      </c>
      <c r="AR205">
        <f t="shared" si="33"/>
        <v>3.1450227492072247</v>
      </c>
      <c r="AS205">
        <f t="shared" si="34"/>
        <v>1.6423987020805486</v>
      </c>
      <c r="BF205" s="749">
        <v>44344</v>
      </c>
      <c r="BG205">
        <v>13686.51</v>
      </c>
      <c r="BH205">
        <v>125000</v>
      </c>
      <c r="BI205">
        <v>3186.5590000000002</v>
      </c>
      <c r="BJ205">
        <v>84.14</v>
      </c>
      <c r="BK205">
        <v>4204.1099999999997</v>
      </c>
      <c r="BL205">
        <v>977.46</v>
      </c>
      <c r="BM205">
        <v>2951.06</v>
      </c>
      <c r="BN205" s="14">
        <f t="shared" si="43"/>
        <v>2.0487274581821646E-2</v>
      </c>
      <c r="BO205" s="14">
        <f t="shared" si="35"/>
        <v>2.0408163265306145E-2</v>
      </c>
      <c r="BP205" s="14">
        <f t="shared" si="36"/>
        <v>4.4054585367452104E-2</v>
      </c>
      <c r="BQ205" s="14">
        <f t="shared" si="37"/>
        <v>4.236868186323095E-2</v>
      </c>
      <c r="BR205" s="14">
        <f t="shared" si="38"/>
        <v>1.1610111986448013E-2</v>
      </c>
      <c r="BS205" s="14">
        <f t="shared" si="39"/>
        <v>1.2251069250126978E-2</v>
      </c>
      <c r="BT205" s="14">
        <f t="shared" si="40"/>
        <v>5.434208598655621E-3</v>
      </c>
      <c r="BV205" s="749">
        <v>44344</v>
      </c>
      <c r="BW205">
        <f t="shared" si="41"/>
        <v>2.020060734775464</v>
      </c>
      <c r="BX205">
        <f t="shared" si="42"/>
        <v>4.577810564181541</v>
      </c>
    </row>
    <row r="206" spans="1:76" x14ac:dyDescent="0.3">
      <c r="A206" s="749">
        <v>44337</v>
      </c>
      <c r="B206">
        <v>122500</v>
      </c>
      <c r="C206">
        <v>3052.1</v>
      </c>
      <c r="D206">
        <v>80100</v>
      </c>
      <c r="E206">
        <v>80.72</v>
      </c>
      <c r="F206">
        <v>13411.74</v>
      </c>
      <c r="G206">
        <v>3197</v>
      </c>
      <c r="H206">
        <v>965.63</v>
      </c>
      <c r="I206">
        <v>422.08</v>
      </c>
      <c r="J206">
        <v>2935.11</v>
      </c>
      <c r="K206">
        <v>15240000</v>
      </c>
      <c r="L206">
        <v>4155.8599999999997</v>
      </c>
      <c r="AO206" s="749">
        <v>44337</v>
      </c>
      <c r="AP206">
        <v>13411.74</v>
      </c>
      <c r="AQ206">
        <v>3197</v>
      </c>
      <c r="AR206">
        <f t="shared" si="33"/>
        <v>3.0818833586102299</v>
      </c>
      <c r="AS206">
        <f t="shared" si="34"/>
        <v>1.6310725181882189</v>
      </c>
      <c r="BF206" s="749">
        <v>44337</v>
      </c>
      <c r="BG206">
        <v>13411.74</v>
      </c>
      <c r="BH206">
        <v>122500</v>
      </c>
      <c r="BI206">
        <v>3052.1</v>
      </c>
      <c r="BJ206">
        <v>80.72</v>
      </c>
      <c r="BK206">
        <v>4155.8599999999997</v>
      </c>
      <c r="BL206">
        <v>965.63</v>
      </c>
      <c r="BM206">
        <v>2935.11</v>
      </c>
      <c r="BN206" s="14">
        <f t="shared" si="43"/>
        <v>1.3902660470450634E-3</v>
      </c>
      <c r="BO206" s="14">
        <f t="shared" si="35"/>
        <v>3.3755274261603407E-2</v>
      </c>
      <c r="BP206" s="14">
        <f t="shared" si="36"/>
        <v>2.3707167627227133E-2</v>
      </c>
      <c r="BQ206" s="14">
        <f t="shared" si="37"/>
        <v>1.279799247176916E-2</v>
      </c>
      <c r="BR206" s="14">
        <f t="shared" si="38"/>
        <v>-4.3101692681818404E-3</v>
      </c>
      <c r="BS206" s="14">
        <f t="shared" si="39"/>
        <v>-1.1275239986759944E-3</v>
      </c>
      <c r="BT206" s="14">
        <f t="shared" si="40"/>
        <v>6.7813702689909494E-3</v>
      </c>
      <c r="BV206" s="749">
        <v>44337</v>
      </c>
      <c r="BW206">
        <f t="shared" si="41"/>
        <v>1.9968767718313649</v>
      </c>
      <c r="BX206">
        <f t="shared" si="42"/>
        <v>4.3846467687993469</v>
      </c>
    </row>
    <row r="207" spans="1:76" x14ac:dyDescent="0.3">
      <c r="A207" s="749">
        <v>44330</v>
      </c>
      <c r="B207">
        <v>118500</v>
      </c>
      <c r="C207">
        <v>2981.4189999999999</v>
      </c>
      <c r="D207">
        <v>80100</v>
      </c>
      <c r="E207">
        <v>79.7</v>
      </c>
      <c r="F207">
        <v>13393.12</v>
      </c>
      <c r="G207">
        <v>3182.18</v>
      </c>
      <c r="H207">
        <v>966.72</v>
      </c>
      <c r="I207">
        <v>420.17</v>
      </c>
      <c r="J207">
        <v>2915.34</v>
      </c>
      <c r="K207">
        <v>30490000</v>
      </c>
      <c r="L207">
        <v>4173.8500000000004</v>
      </c>
      <c r="AO207" s="749">
        <v>44330</v>
      </c>
      <c r="AP207">
        <v>13393.12</v>
      </c>
      <c r="AQ207">
        <v>3182.18</v>
      </c>
      <c r="AR207">
        <f t="shared" si="33"/>
        <v>3.0776046693322305</v>
      </c>
      <c r="AS207">
        <f t="shared" si="34"/>
        <v>1.6235115251573931</v>
      </c>
      <c r="BF207" s="749">
        <v>44330</v>
      </c>
      <c r="BG207">
        <v>13393.12</v>
      </c>
      <c r="BH207">
        <v>118500</v>
      </c>
      <c r="BI207">
        <v>2981.4189999999999</v>
      </c>
      <c r="BJ207">
        <v>79.7</v>
      </c>
      <c r="BK207">
        <v>4173.8500000000004</v>
      </c>
      <c r="BL207">
        <v>966.72</v>
      </c>
      <c r="BM207">
        <v>2915.34</v>
      </c>
      <c r="BN207" s="14">
        <f t="shared" si="43"/>
        <v>-2.3798746759205458E-2</v>
      </c>
      <c r="BO207" s="14">
        <f t="shared" si="35"/>
        <v>-8.4942084942084994E-2</v>
      </c>
      <c r="BP207" s="14">
        <f t="shared" si="36"/>
        <v>-4.1969711088903461E-2</v>
      </c>
      <c r="BQ207" s="14">
        <f t="shared" si="37"/>
        <v>-7.3040241916724868E-2</v>
      </c>
      <c r="BR207" s="14">
        <f t="shared" si="38"/>
        <v>-1.388035722723624E-2</v>
      </c>
      <c r="BS207" s="14">
        <f t="shared" si="39"/>
        <v>-1.1836859858938897E-2</v>
      </c>
      <c r="BT207" s="14">
        <f t="shared" si="40"/>
        <v>-2.2681863895407273E-2</v>
      </c>
      <c r="BV207" s="749">
        <v>44330</v>
      </c>
      <c r="BW207">
        <f t="shared" si="41"/>
        <v>2.0055209064088646</v>
      </c>
      <c r="BX207">
        <f t="shared" si="42"/>
        <v>4.2831064463113862</v>
      </c>
    </row>
    <row r="208" spans="1:76" x14ac:dyDescent="0.3">
      <c r="A208" s="749">
        <v>44323</v>
      </c>
      <c r="B208">
        <v>129500</v>
      </c>
      <c r="C208">
        <v>3112.03</v>
      </c>
      <c r="D208">
        <v>81900</v>
      </c>
      <c r="E208">
        <v>85.98</v>
      </c>
      <c r="F208">
        <v>13719.63</v>
      </c>
      <c r="G208">
        <v>3252.03</v>
      </c>
      <c r="H208">
        <v>978.3</v>
      </c>
      <c r="I208">
        <v>428.56</v>
      </c>
      <c r="J208">
        <v>2983</v>
      </c>
      <c r="K208">
        <v>14290000</v>
      </c>
      <c r="L208">
        <v>4232.6000000000004</v>
      </c>
      <c r="AO208" s="749">
        <v>44323</v>
      </c>
      <c r="AP208">
        <v>13719.63</v>
      </c>
      <c r="AQ208">
        <v>3252.03</v>
      </c>
      <c r="AR208">
        <f t="shared" si="33"/>
        <v>3.1526333930787258</v>
      </c>
      <c r="AS208">
        <f t="shared" si="34"/>
        <v>1.6591481893411428</v>
      </c>
      <c r="BF208" s="749">
        <v>44323</v>
      </c>
      <c r="BG208">
        <v>13719.63</v>
      </c>
      <c r="BH208">
        <v>129500</v>
      </c>
      <c r="BI208">
        <v>3112.03</v>
      </c>
      <c r="BJ208">
        <v>85.98</v>
      </c>
      <c r="BK208">
        <v>4232.6000000000004</v>
      </c>
      <c r="BL208">
        <v>978.3</v>
      </c>
      <c r="BM208">
        <v>2983</v>
      </c>
      <c r="BN208" s="14">
        <f t="shared" si="43"/>
        <v>-1.0181981363215353E-2</v>
      </c>
      <c r="BO208" s="14">
        <f t="shared" si="35"/>
        <v>1.171875E-2</v>
      </c>
      <c r="BP208" s="14">
        <f t="shared" si="36"/>
        <v>9.7619970440621096E-4</v>
      </c>
      <c r="BQ208" s="14">
        <f t="shared" si="37"/>
        <v>-1.0456605088879911E-3</v>
      </c>
      <c r="BR208" s="14">
        <f t="shared" si="38"/>
        <v>1.2300384820516763E-2</v>
      </c>
      <c r="BS208" s="14">
        <f t="shared" si="39"/>
        <v>-5.2366668361382152E-3</v>
      </c>
      <c r="BT208" s="14">
        <f t="shared" si="40"/>
        <v>1.4377431377349925E-2</v>
      </c>
      <c r="BV208" s="749">
        <v>44323</v>
      </c>
      <c r="BW208">
        <f t="shared" si="41"/>
        <v>2.0337500840869125</v>
      </c>
      <c r="BX208">
        <f t="shared" si="42"/>
        <v>4.4707422050085626</v>
      </c>
    </row>
    <row r="209" spans="1:76" x14ac:dyDescent="0.3">
      <c r="A209" s="749">
        <v>44316</v>
      </c>
      <c r="B209">
        <v>128000</v>
      </c>
      <c r="C209">
        <v>3108.9949999999999</v>
      </c>
      <c r="D209">
        <v>81500</v>
      </c>
      <c r="E209">
        <v>86.07</v>
      </c>
      <c r="F209">
        <v>13860.76</v>
      </c>
      <c r="G209">
        <v>3205.36</v>
      </c>
      <c r="H209">
        <v>983.45</v>
      </c>
      <c r="I209">
        <v>422.36</v>
      </c>
      <c r="J209">
        <v>2940.72</v>
      </c>
      <c r="K209">
        <v>19590000</v>
      </c>
      <c r="L209">
        <v>4181.17</v>
      </c>
      <c r="AO209" s="749">
        <v>44316</v>
      </c>
      <c r="AP209">
        <v>13860.76</v>
      </c>
      <c r="AQ209">
        <v>3205.36</v>
      </c>
      <c r="AR209">
        <f t="shared" si="33"/>
        <v>3.1850636518222344</v>
      </c>
      <c r="AS209">
        <f t="shared" si="34"/>
        <v>1.6353376937440691</v>
      </c>
      <c r="BF209" s="749">
        <v>44316</v>
      </c>
      <c r="BG209">
        <v>13860.76</v>
      </c>
      <c r="BH209">
        <v>128000</v>
      </c>
      <c r="BI209">
        <v>3108.9949999999999</v>
      </c>
      <c r="BJ209">
        <v>86.07</v>
      </c>
      <c r="BK209">
        <v>4181.17</v>
      </c>
      <c r="BL209">
        <v>983.45</v>
      </c>
      <c r="BM209">
        <v>2940.72</v>
      </c>
      <c r="BN209" s="14">
        <f t="shared" si="43"/>
        <v>-5.7870636031859268E-3</v>
      </c>
      <c r="BO209" s="14">
        <f t="shared" si="35"/>
        <v>-3.3962264150943389E-2</v>
      </c>
      <c r="BP209" s="14">
        <f t="shared" si="36"/>
        <v>-2.7522198272558973E-2</v>
      </c>
      <c r="BQ209" s="14">
        <f t="shared" si="37"/>
        <v>4.6495408578395292E-4</v>
      </c>
      <c r="BR209" s="14">
        <f t="shared" si="38"/>
        <v>2.3922472052562149E-4</v>
      </c>
      <c r="BS209" s="14">
        <f t="shared" si="39"/>
        <v>-4.2237198340507431E-2</v>
      </c>
      <c r="BT209" s="14">
        <f t="shared" si="40"/>
        <v>-1.6442131456780973E-2</v>
      </c>
      <c r="BV209" s="749">
        <v>44316</v>
      </c>
      <c r="BW209">
        <f t="shared" si="41"/>
        <v>2.0090381418233889</v>
      </c>
      <c r="BX209">
        <f t="shared" si="42"/>
        <v>4.4663821240992521</v>
      </c>
    </row>
    <row r="210" spans="1:76" x14ac:dyDescent="0.3">
      <c r="A210" s="749">
        <v>44309</v>
      </c>
      <c r="B210">
        <v>132500</v>
      </c>
      <c r="C210">
        <v>3196.9830000000002</v>
      </c>
      <c r="D210">
        <v>82800</v>
      </c>
      <c r="E210">
        <v>86.03</v>
      </c>
      <c r="F210">
        <v>13941.44</v>
      </c>
      <c r="G210">
        <v>3255.21</v>
      </c>
      <c r="H210">
        <v>1026.82</v>
      </c>
      <c r="I210">
        <v>428.34</v>
      </c>
      <c r="J210">
        <v>2989.88</v>
      </c>
      <c r="K210">
        <v>17060000</v>
      </c>
      <c r="L210">
        <v>4180.17</v>
      </c>
      <c r="AO210" s="749">
        <v>44309</v>
      </c>
      <c r="AP210">
        <v>13941.44</v>
      </c>
      <c r="AQ210">
        <v>3255.21</v>
      </c>
      <c r="AR210">
        <f t="shared" si="33"/>
        <v>3.2036031067604211</v>
      </c>
      <c r="AS210">
        <f t="shared" si="34"/>
        <v>1.6607705886554494</v>
      </c>
      <c r="BF210" s="749">
        <v>44309</v>
      </c>
      <c r="BG210">
        <v>13941.44</v>
      </c>
      <c r="BH210">
        <v>132500</v>
      </c>
      <c r="BI210">
        <v>3196.9830000000002</v>
      </c>
      <c r="BJ210">
        <v>86.03</v>
      </c>
      <c r="BK210">
        <v>4180.17</v>
      </c>
      <c r="BL210">
        <v>1026.82</v>
      </c>
      <c r="BM210">
        <v>2989.88</v>
      </c>
      <c r="BN210" s="14">
        <f t="shared" si="43"/>
        <v>-7.1550095393004831E-3</v>
      </c>
      <c r="BO210" s="14">
        <f t="shared" si="35"/>
        <v>-3.6363636363636376E-2</v>
      </c>
      <c r="BP210" s="14">
        <f t="shared" si="36"/>
        <v>-1.7242762616908491E-2</v>
      </c>
      <c r="BQ210" s="14">
        <f t="shared" si="37"/>
        <v>-5.1069931612618524E-2</v>
      </c>
      <c r="BR210" s="14">
        <f t="shared" si="38"/>
        <v>-1.266285506765108E-3</v>
      </c>
      <c r="BS210" s="14">
        <f t="shared" si="39"/>
        <v>5.0899551692409339E-3</v>
      </c>
      <c r="BT210" s="14">
        <f t="shared" si="40"/>
        <v>-1.4694493601848047E-2</v>
      </c>
      <c r="BV210" s="749">
        <v>44309</v>
      </c>
      <c r="BW210">
        <f t="shared" si="41"/>
        <v>2.0085576451820604</v>
      </c>
      <c r="BX210">
        <f t="shared" si="42"/>
        <v>4.5927856822700583</v>
      </c>
    </row>
    <row r="211" spans="1:76" x14ac:dyDescent="0.3">
      <c r="A211" s="749">
        <v>44302</v>
      </c>
      <c r="B211">
        <v>137500</v>
      </c>
      <c r="C211">
        <v>3253.0749999999998</v>
      </c>
      <c r="D211">
        <v>83900</v>
      </c>
      <c r="E211">
        <v>90.66</v>
      </c>
      <c r="F211">
        <v>14041.91</v>
      </c>
      <c r="G211">
        <v>3294.79</v>
      </c>
      <c r="H211">
        <v>1021.62</v>
      </c>
      <c r="I211">
        <v>432.43</v>
      </c>
      <c r="J211">
        <v>3034.47</v>
      </c>
      <c r="K211">
        <v>13810000</v>
      </c>
      <c r="L211">
        <v>4185.47</v>
      </c>
      <c r="AO211" s="749">
        <v>44302</v>
      </c>
      <c r="AP211">
        <v>14041.91</v>
      </c>
      <c r="AQ211">
        <v>3294.79</v>
      </c>
      <c r="AR211">
        <f t="shared" si="33"/>
        <v>3.2266901052438071</v>
      </c>
      <c r="AS211">
        <f t="shared" si="34"/>
        <v>1.6809638480454681</v>
      </c>
      <c r="BF211" s="749">
        <v>44302</v>
      </c>
      <c r="BG211">
        <v>14041.91</v>
      </c>
      <c r="BH211">
        <v>137500</v>
      </c>
      <c r="BI211">
        <v>3253.0749999999998</v>
      </c>
      <c r="BJ211">
        <v>90.66</v>
      </c>
      <c r="BK211">
        <v>4185.47</v>
      </c>
      <c r="BL211">
        <v>1021.62</v>
      </c>
      <c r="BM211">
        <v>3034.47</v>
      </c>
      <c r="BN211" s="14">
        <f t="shared" si="43"/>
        <v>1.4218800221017736E-2</v>
      </c>
      <c r="BO211" s="14">
        <f t="shared" si="35"/>
        <v>-1.7857142857142905E-2</v>
      </c>
      <c r="BP211" s="14">
        <f t="shared" si="36"/>
        <v>-1.2582678737992681E-2</v>
      </c>
      <c r="BQ211" s="14">
        <f t="shared" si="37"/>
        <v>-4.868835257082893E-2</v>
      </c>
      <c r="BR211" s="14">
        <f t="shared" si="38"/>
        <v>1.3725537686494871E-2</v>
      </c>
      <c r="BS211" s="14">
        <f t="shared" si="39"/>
        <v>3.2575627406786101E-2</v>
      </c>
      <c r="BT211" s="14">
        <f t="shared" si="40"/>
        <v>2.106761422139658E-2</v>
      </c>
      <c r="BV211" s="749">
        <v>44302</v>
      </c>
      <c r="BW211">
        <f t="shared" si="41"/>
        <v>2.0111042773811012</v>
      </c>
      <c r="BX211">
        <f t="shared" si="42"/>
        <v>4.6733674477939573</v>
      </c>
    </row>
    <row r="212" spans="1:76" x14ac:dyDescent="0.3">
      <c r="A212" s="749">
        <v>44295</v>
      </c>
      <c r="B212">
        <v>140000</v>
      </c>
      <c r="C212">
        <v>3294.529</v>
      </c>
      <c r="D212">
        <v>83600</v>
      </c>
      <c r="E212">
        <v>95.3</v>
      </c>
      <c r="F212">
        <v>13845.05</v>
      </c>
      <c r="G212">
        <v>3233.01</v>
      </c>
      <c r="H212">
        <v>989.39</v>
      </c>
      <c r="I212">
        <v>424.3</v>
      </c>
      <c r="J212">
        <v>2971.86</v>
      </c>
      <c r="K212">
        <v>15850000</v>
      </c>
      <c r="L212">
        <v>4128.8</v>
      </c>
      <c r="AO212" s="749">
        <v>44295</v>
      </c>
      <c r="AP212">
        <v>13845.05</v>
      </c>
      <c r="AQ212">
        <v>3233.01</v>
      </c>
      <c r="AR212">
        <f t="shared" si="33"/>
        <v>3.1814536513626543</v>
      </c>
      <c r="AS212">
        <f t="shared" si="34"/>
        <v>1.6494444047631196</v>
      </c>
      <c r="BF212" s="749">
        <v>44295</v>
      </c>
      <c r="BG212">
        <v>13845.05</v>
      </c>
      <c r="BH212">
        <v>140000</v>
      </c>
      <c r="BI212">
        <v>3294.529</v>
      </c>
      <c r="BJ212">
        <v>95.3</v>
      </c>
      <c r="BK212">
        <v>4128.8</v>
      </c>
      <c r="BL212">
        <v>989.39</v>
      </c>
      <c r="BM212">
        <v>2971.86</v>
      </c>
      <c r="BN212" s="14">
        <f t="shared" si="43"/>
        <v>3.8676590512329412E-2</v>
      </c>
      <c r="BO212" s="14">
        <f t="shared" si="35"/>
        <v>-7.0921985815602939E-3</v>
      </c>
      <c r="BP212" s="14">
        <f t="shared" si="36"/>
        <v>1.6775019867754093E-2</v>
      </c>
      <c r="BQ212" s="14">
        <f t="shared" si="37"/>
        <v>3.1273671680553949E-2</v>
      </c>
      <c r="BR212" s="14">
        <f t="shared" si="38"/>
        <v>2.7097891225338122E-2</v>
      </c>
      <c r="BS212" s="14">
        <f t="shared" si="39"/>
        <v>1.9895061282973803E-2</v>
      </c>
      <c r="BT212" s="14">
        <f t="shared" si="40"/>
        <v>-1.203183394724805E-3</v>
      </c>
      <c r="BV212" s="749">
        <v>44295</v>
      </c>
      <c r="BW212">
        <f t="shared" si="41"/>
        <v>1.9838745327170166</v>
      </c>
      <c r="BX212">
        <f t="shared" si="42"/>
        <v>4.7329202629552585</v>
      </c>
    </row>
    <row r="213" spans="1:76" x14ac:dyDescent="0.3">
      <c r="A213" s="749">
        <v>44288</v>
      </c>
      <c r="B213">
        <v>141000</v>
      </c>
      <c r="C213">
        <v>3240.1750000000002</v>
      </c>
      <c r="D213">
        <v>84800</v>
      </c>
      <c r="E213">
        <v>92.41</v>
      </c>
      <c r="F213">
        <v>13329.51</v>
      </c>
      <c r="G213">
        <v>3232.7</v>
      </c>
      <c r="H213">
        <v>970.09</v>
      </c>
      <c r="I213">
        <v>423.74</v>
      </c>
      <c r="J213">
        <v>2975.44</v>
      </c>
      <c r="K213">
        <v>19450000</v>
      </c>
      <c r="L213">
        <v>4019.87</v>
      </c>
      <c r="AO213" s="749">
        <v>44288</v>
      </c>
      <c r="AP213">
        <v>13329.51</v>
      </c>
      <c r="AQ213">
        <v>3232.7</v>
      </c>
      <c r="AR213">
        <f t="shared" si="33"/>
        <v>3.062987729215497</v>
      </c>
      <c r="AS213">
        <f t="shared" si="34"/>
        <v>1.6492862463393978</v>
      </c>
      <c r="BF213" s="749">
        <v>44288</v>
      </c>
      <c r="BG213">
        <v>13329.51</v>
      </c>
      <c r="BH213">
        <v>141000</v>
      </c>
      <c r="BI213">
        <v>3240.1750000000002</v>
      </c>
      <c r="BJ213">
        <v>92.41</v>
      </c>
      <c r="BK213">
        <v>4019.87</v>
      </c>
      <c r="BL213">
        <v>970.09</v>
      </c>
      <c r="BM213">
        <v>2975.44</v>
      </c>
      <c r="BN213" s="14">
        <f t="shared" si="43"/>
        <v>2.6996437354766645E-2</v>
      </c>
      <c r="BO213" s="14">
        <f t="shared" si="35"/>
        <v>4.4444444444444509E-2</v>
      </c>
      <c r="BP213" s="14">
        <f t="shared" si="36"/>
        <v>4.3105285489579703E-2</v>
      </c>
      <c r="BQ213" s="14">
        <f t="shared" si="37"/>
        <v>5.0232981020570611E-2</v>
      </c>
      <c r="BR213" s="14">
        <f t="shared" si="38"/>
        <v>1.140509341961593E-2</v>
      </c>
      <c r="BS213" s="14">
        <f t="shared" si="39"/>
        <v>1.3996028012961181E-2</v>
      </c>
      <c r="BT213" s="14">
        <f t="shared" si="40"/>
        <v>3.1512823535121859E-2</v>
      </c>
      <c r="BV213" s="749">
        <v>44288</v>
      </c>
      <c r="BW213">
        <f t="shared" si="41"/>
        <v>1.9315340335771054</v>
      </c>
      <c r="BX213">
        <f t="shared" si="42"/>
        <v>4.6548353081794263</v>
      </c>
    </row>
    <row r="214" spans="1:76" x14ac:dyDescent="0.3">
      <c r="A214" s="749">
        <v>44281</v>
      </c>
      <c r="B214">
        <v>135000</v>
      </c>
      <c r="C214">
        <v>3106.2779999999998</v>
      </c>
      <c r="D214">
        <v>81500</v>
      </c>
      <c r="E214">
        <v>87.99</v>
      </c>
      <c r="F214">
        <v>12979.12</v>
      </c>
      <c r="G214">
        <v>3142.5</v>
      </c>
      <c r="H214">
        <v>956.7</v>
      </c>
      <c r="I214">
        <v>412.89</v>
      </c>
      <c r="J214">
        <v>2884.54</v>
      </c>
      <c r="K214">
        <v>18450000</v>
      </c>
      <c r="L214">
        <v>3974.54</v>
      </c>
      <c r="AO214" s="749">
        <v>44281</v>
      </c>
      <c r="AP214">
        <v>12979.12</v>
      </c>
      <c r="AQ214">
        <v>3142.5</v>
      </c>
      <c r="AR214">
        <f t="shared" si="33"/>
        <v>2.9824716209384623</v>
      </c>
      <c r="AS214">
        <f t="shared" si="34"/>
        <v>1.6032672469210127</v>
      </c>
      <c r="BF214" s="749">
        <v>44281</v>
      </c>
      <c r="BG214">
        <v>12979.12</v>
      </c>
      <c r="BH214">
        <v>135000</v>
      </c>
      <c r="BI214">
        <v>3106.2779999999998</v>
      </c>
      <c r="BJ214">
        <v>87.99</v>
      </c>
      <c r="BK214">
        <v>3974.54</v>
      </c>
      <c r="BL214">
        <v>956.7</v>
      </c>
      <c r="BM214">
        <v>2884.54</v>
      </c>
      <c r="BN214" s="14">
        <f t="shared" si="43"/>
        <v>8.7145478468546589E-3</v>
      </c>
      <c r="BO214" s="14">
        <f t="shared" si="35"/>
        <v>-2.1739130434782594E-2</v>
      </c>
      <c r="BP214" s="14">
        <f t="shared" si="36"/>
        <v>3.1517579889797531E-2</v>
      </c>
      <c r="BQ214" s="14">
        <f t="shared" si="37"/>
        <v>-2.7842227378190421E-2</v>
      </c>
      <c r="BR214" s="14">
        <f t="shared" si="38"/>
        <v>1.570110653957224E-2</v>
      </c>
      <c r="BS214" s="14">
        <f t="shared" si="39"/>
        <v>4.8208715379525202E-3</v>
      </c>
      <c r="BT214" s="14">
        <f t="shared" si="40"/>
        <v>-3.9262269890983914E-3</v>
      </c>
      <c r="BV214" s="749">
        <v>44281</v>
      </c>
      <c r="BW214">
        <f t="shared" si="41"/>
        <v>1.9097531208256855</v>
      </c>
      <c r="BX214">
        <f t="shared" si="42"/>
        <v>4.4624788819804388</v>
      </c>
    </row>
    <row r="215" spans="1:76" x14ac:dyDescent="0.3">
      <c r="A215" s="749">
        <v>44274</v>
      </c>
      <c r="B215">
        <v>138000</v>
      </c>
      <c r="C215">
        <v>3011.3670000000002</v>
      </c>
      <c r="D215">
        <v>81900</v>
      </c>
      <c r="E215">
        <v>90.51</v>
      </c>
      <c r="F215">
        <v>12866.99</v>
      </c>
      <c r="G215">
        <v>3152.27</v>
      </c>
      <c r="H215">
        <v>952.11</v>
      </c>
      <c r="I215">
        <v>412.91</v>
      </c>
      <c r="J215">
        <v>2895.91</v>
      </c>
      <c r="K215">
        <v>18630000</v>
      </c>
      <c r="L215">
        <v>3913.1</v>
      </c>
      <c r="AO215" s="749">
        <v>44274</v>
      </c>
      <c r="AP215">
        <v>12866.99</v>
      </c>
      <c r="AQ215">
        <v>3152.27</v>
      </c>
      <c r="AR215">
        <f t="shared" si="33"/>
        <v>2.9567052713819568</v>
      </c>
      <c r="AS215">
        <f t="shared" si="34"/>
        <v>1.6082517882105649</v>
      </c>
      <c r="BF215" s="749">
        <v>44274</v>
      </c>
      <c r="BG215">
        <v>12866.99</v>
      </c>
      <c r="BH215">
        <v>138000</v>
      </c>
      <c r="BI215">
        <v>3011.3670000000002</v>
      </c>
      <c r="BJ215">
        <v>90.51</v>
      </c>
      <c r="BK215">
        <v>3913.1</v>
      </c>
      <c r="BL215">
        <v>952.11</v>
      </c>
      <c r="BM215">
        <v>2895.91</v>
      </c>
      <c r="BN215" s="14">
        <f t="shared" si="43"/>
        <v>-5.4339046276307146E-3</v>
      </c>
      <c r="BO215" s="14">
        <f t="shared" si="35"/>
        <v>-1.4285714285714235E-2</v>
      </c>
      <c r="BP215" s="14">
        <f t="shared" si="36"/>
        <v>1.5608996032154376E-2</v>
      </c>
      <c r="BQ215" s="14">
        <f t="shared" si="37"/>
        <v>3.1217956021419635E-2</v>
      </c>
      <c r="BR215" s="14">
        <f t="shared" si="38"/>
        <v>-7.6686260885442392E-3</v>
      </c>
      <c r="BS215" s="14">
        <f t="shared" si="39"/>
        <v>2.8763141687106364E-2</v>
      </c>
      <c r="BT215" s="14">
        <f t="shared" si="40"/>
        <v>-1.289816787388165E-2</v>
      </c>
      <c r="BV215" s="749">
        <v>44274</v>
      </c>
      <c r="BW215">
        <f t="shared" si="41"/>
        <v>1.880231407182464</v>
      </c>
      <c r="BX215">
        <f t="shared" si="42"/>
        <v>4.3261297422165015</v>
      </c>
    </row>
    <row r="216" spans="1:76" x14ac:dyDescent="0.3">
      <c r="A216" s="749">
        <v>44267</v>
      </c>
      <c r="B216">
        <v>140000</v>
      </c>
      <c r="C216">
        <v>2965.085</v>
      </c>
      <c r="D216">
        <v>82800</v>
      </c>
      <c r="E216">
        <v>87.77</v>
      </c>
      <c r="F216">
        <v>12937.29</v>
      </c>
      <c r="G216">
        <v>3183.99</v>
      </c>
      <c r="H216">
        <v>925.49</v>
      </c>
      <c r="I216">
        <v>416.13</v>
      </c>
      <c r="J216">
        <v>2933.75</v>
      </c>
      <c r="K216">
        <v>30280000</v>
      </c>
      <c r="L216">
        <v>3943.34</v>
      </c>
      <c r="AO216" s="749">
        <v>44267</v>
      </c>
      <c r="AP216">
        <v>12937.29</v>
      </c>
      <c r="AQ216">
        <v>3183.99</v>
      </c>
      <c r="AR216">
        <f t="shared" si="33"/>
        <v>2.9728595064111403</v>
      </c>
      <c r="AS216">
        <f t="shared" si="34"/>
        <v>1.6244349662765425</v>
      </c>
      <c r="BF216" s="749">
        <v>44267</v>
      </c>
      <c r="BG216">
        <v>12937.29</v>
      </c>
      <c r="BH216">
        <v>140000</v>
      </c>
      <c r="BI216">
        <v>2965.085</v>
      </c>
      <c r="BJ216">
        <v>87.77</v>
      </c>
      <c r="BK216">
        <v>3943.34</v>
      </c>
      <c r="BL216">
        <v>925.49</v>
      </c>
      <c r="BM216">
        <v>2933.75</v>
      </c>
      <c r="BN216" s="14">
        <f t="shared" si="43"/>
        <v>2.121638614170096E-2</v>
      </c>
      <c r="BO216" s="14">
        <f t="shared" si="35"/>
        <v>0</v>
      </c>
      <c r="BP216" s="14">
        <f t="shared" si="36"/>
        <v>1.5178277656481054E-2</v>
      </c>
      <c r="BQ216" s="14">
        <f t="shared" si="37"/>
        <v>-1.3043967165186188E-2</v>
      </c>
      <c r="BR216" s="14">
        <f t="shared" si="38"/>
        <v>2.6392916078856077E-2</v>
      </c>
      <c r="BS216" s="14">
        <f t="shared" si="39"/>
        <v>2.1765495733530038E-3</v>
      </c>
      <c r="BT216" s="14">
        <f t="shared" si="40"/>
        <v>1.0710865206396969E-2</v>
      </c>
      <c r="BV216" s="749">
        <v>44267</v>
      </c>
      <c r="BW216">
        <f t="shared" si="41"/>
        <v>1.8947616256162372</v>
      </c>
      <c r="BX216">
        <f t="shared" si="42"/>
        <v>4.2596410223994674</v>
      </c>
    </row>
    <row r="217" spans="1:76" x14ac:dyDescent="0.3">
      <c r="A217" s="749">
        <v>44260</v>
      </c>
      <c r="B217">
        <v>140000</v>
      </c>
      <c r="C217">
        <v>2920.7530000000002</v>
      </c>
      <c r="D217">
        <v>82100</v>
      </c>
      <c r="E217">
        <v>88.93</v>
      </c>
      <c r="F217">
        <v>12668.51</v>
      </c>
      <c r="G217">
        <v>3150.15</v>
      </c>
      <c r="H217">
        <v>923.48</v>
      </c>
      <c r="I217">
        <v>412</v>
      </c>
      <c r="J217">
        <v>2902.66</v>
      </c>
      <c r="K217">
        <v>27880000</v>
      </c>
      <c r="L217">
        <v>3841.94</v>
      </c>
      <c r="AO217" s="749">
        <v>44260</v>
      </c>
      <c r="AP217">
        <v>12668.51</v>
      </c>
      <c r="AQ217">
        <v>3150.15</v>
      </c>
      <c r="AR217">
        <f t="shared" si="33"/>
        <v>2.91109655774622</v>
      </c>
      <c r="AS217">
        <f t="shared" si="34"/>
        <v>1.6071701886676939</v>
      </c>
      <c r="BF217" s="749">
        <v>44260</v>
      </c>
      <c r="BG217">
        <v>12668.51</v>
      </c>
      <c r="BH217">
        <v>140000</v>
      </c>
      <c r="BI217">
        <v>2920.7530000000002</v>
      </c>
      <c r="BJ217">
        <v>88.93</v>
      </c>
      <c r="BK217">
        <v>3841.94</v>
      </c>
      <c r="BL217">
        <v>923.48</v>
      </c>
      <c r="BM217">
        <v>2902.66</v>
      </c>
      <c r="BN217" s="14">
        <f t="shared" si="43"/>
        <v>-1.8663086857369504E-2</v>
      </c>
      <c r="BO217" s="14">
        <f t="shared" si="35"/>
        <v>-1.0600706713780883E-2</v>
      </c>
      <c r="BP217" s="14">
        <f t="shared" si="36"/>
        <v>-4.7878081577767739E-2</v>
      </c>
      <c r="BQ217" s="14">
        <f t="shared" si="37"/>
        <v>-2.8405987108051978E-2</v>
      </c>
      <c r="BR217" s="14">
        <f t="shared" si="38"/>
        <v>8.0789263083320684E-3</v>
      </c>
      <c r="BS217" s="14">
        <f t="shared" si="39"/>
        <v>1.0438321990502653E-2</v>
      </c>
      <c r="BT217" s="14">
        <f t="shared" si="40"/>
        <v>5.9400038814494405E-3</v>
      </c>
      <c r="BV217" s="749">
        <v>44260</v>
      </c>
      <c r="BW217">
        <f t="shared" si="41"/>
        <v>1.8460392661855296</v>
      </c>
      <c r="BX217">
        <f t="shared" si="42"/>
        <v>4.1959536725241637</v>
      </c>
    </row>
    <row r="218" spans="1:76" x14ac:dyDescent="0.3">
      <c r="A218" s="749">
        <v>44253</v>
      </c>
      <c r="B218">
        <v>141500</v>
      </c>
      <c r="C218">
        <v>3067.625</v>
      </c>
      <c r="D218">
        <v>82500</v>
      </c>
      <c r="E218">
        <v>91.53</v>
      </c>
      <c r="F218">
        <v>12909.44</v>
      </c>
      <c r="G218">
        <v>3132.45</v>
      </c>
      <c r="H218">
        <v>913.94</v>
      </c>
      <c r="I218">
        <v>409.91</v>
      </c>
      <c r="J218">
        <v>2885.52</v>
      </c>
      <c r="K218">
        <v>44220000</v>
      </c>
      <c r="L218">
        <v>3811.15</v>
      </c>
      <c r="AO218" s="749">
        <v>44253</v>
      </c>
      <c r="AP218">
        <v>12909.44</v>
      </c>
      <c r="AQ218">
        <v>3132.45</v>
      </c>
      <c r="AR218">
        <f t="shared" si="33"/>
        <v>2.9664598556918977</v>
      </c>
      <c r="AS218">
        <f t="shared" si="34"/>
        <v>1.5981398528616471</v>
      </c>
      <c r="BF218" s="749">
        <v>44253</v>
      </c>
      <c r="BG218">
        <v>12909.44</v>
      </c>
      <c r="BH218">
        <v>141500</v>
      </c>
      <c r="BI218">
        <v>3067.625</v>
      </c>
      <c r="BJ218">
        <v>91.53</v>
      </c>
      <c r="BK218">
        <v>3811.15</v>
      </c>
      <c r="BL218">
        <v>913.94</v>
      </c>
      <c r="BM218">
        <v>2885.52</v>
      </c>
      <c r="BN218" s="14">
        <f t="shared" si="43"/>
        <v>-4.9433095889926837E-2</v>
      </c>
      <c r="BO218" s="14">
        <f t="shared" si="35"/>
        <v>6.3909774436090139E-2</v>
      </c>
      <c r="BP218" s="14">
        <f t="shared" si="36"/>
        <v>-4.8344901120316974E-2</v>
      </c>
      <c r="BQ218" s="14">
        <f t="shared" si="37"/>
        <v>6.2664907651714952E-3</v>
      </c>
      <c r="BR218" s="14">
        <f t="shared" si="38"/>
        <v>-2.4460479533930046E-2</v>
      </c>
      <c r="BS218" s="14">
        <f t="shared" si="39"/>
        <v>-5.3019863020795532E-2</v>
      </c>
      <c r="BT218" s="14">
        <f t="shared" si="40"/>
        <v>-2.7557131254444256E-2</v>
      </c>
      <c r="BV218" s="749">
        <v>44253</v>
      </c>
      <c r="BW218">
        <f t="shared" si="41"/>
        <v>1.8312447745990257</v>
      </c>
      <c r="BX218">
        <f t="shared" si="42"/>
        <v>4.4069499833354406</v>
      </c>
    </row>
    <row r="219" spans="1:76" x14ac:dyDescent="0.3">
      <c r="A219" s="749">
        <v>44246</v>
      </c>
      <c r="B219">
        <v>133000</v>
      </c>
      <c r="C219">
        <v>3223.4630000000002</v>
      </c>
      <c r="D219">
        <v>82600</v>
      </c>
      <c r="E219">
        <v>90.96</v>
      </c>
      <c r="F219">
        <v>13580.78</v>
      </c>
      <c r="G219">
        <v>3220.75</v>
      </c>
      <c r="H219">
        <v>965.11</v>
      </c>
      <c r="I219">
        <v>420.94</v>
      </c>
      <c r="J219">
        <v>2967.29</v>
      </c>
      <c r="K219">
        <v>23000000</v>
      </c>
      <c r="L219">
        <v>3906.71</v>
      </c>
      <c r="AO219" s="749">
        <v>44246</v>
      </c>
      <c r="AP219">
        <v>13580.78</v>
      </c>
      <c r="AQ219">
        <v>3220.75</v>
      </c>
      <c r="AR219">
        <f t="shared" si="33"/>
        <v>3.1207270554712991</v>
      </c>
      <c r="AS219">
        <f t="shared" si="34"/>
        <v>1.6431894941991572</v>
      </c>
      <c r="BF219" s="749">
        <v>44246</v>
      </c>
      <c r="BG219">
        <v>13580.78</v>
      </c>
      <c r="BH219">
        <v>133000</v>
      </c>
      <c r="BI219">
        <v>3223.4630000000002</v>
      </c>
      <c r="BJ219">
        <v>90.96</v>
      </c>
      <c r="BK219">
        <v>3906.71</v>
      </c>
      <c r="BL219">
        <v>965.11</v>
      </c>
      <c r="BM219">
        <v>2967.29</v>
      </c>
      <c r="BN219" s="14">
        <f t="shared" si="43"/>
        <v>-1.6434308393142971E-2</v>
      </c>
      <c r="BO219" s="14">
        <f t="shared" si="35"/>
        <v>5.555555555555558E-2</v>
      </c>
      <c r="BP219" s="14">
        <f t="shared" si="36"/>
        <v>1.1161944787194678E-3</v>
      </c>
      <c r="BQ219" s="14">
        <f t="shared" si="37"/>
        <v>3.3518918304737966E-2</v>
      </c>
      <c r="BR219" s="14">
        <f t="shared" si="38"/>
        <v>-7.1464332639529227E-3</v>
      </c>
      <c r="BS219" s="14">
        <f t="shared" si="39"/>
        <v>8.2960873577997418E-4</v>
      </c>
      <c r="BT219" s="14">
        <f t="shared" si="40"/>
        <v>4.0605152117050292E-3</v>
      </c>
      <c r="BV219" s="749">
        <v>44246</v>
      </c>
      <c r="BW219">
        <f t="shared" si="41"/>
        <v>1.8771610336443749</v>
      </c>
      <c r="BX219">
        <f t="shared" si="42"/>
        <v>4.6308268494788019</v>
      </c>
    </row>
    <row r="220" spans="1:76" x14ac:dyDescent="0.3">
      <c r="A220" s="749">
        <v>44239</v>
      </c>
      <c r="B220">
        <v>126000</v>
      </c>
      <c r="C220">
        <v>3219.8690000000001</v>
      </c>
      <c r="D220">
        <v>81600</v>
      </c>
      <c r="E220">
        <v>88.01</v>
      </c>
      <c r="F220">
        <v>13807.7</v>
      </c>
      <c r="G220">
        <v>3210.77</v>
      </c>
      <c r="H220">
        <v>964.31</v>
      </c>
      <c r="I220">
        <v>419.65</v>
      </c>
      <c r="J220">
        <v>2955.29</v>
      </c>
      <c r="K220">
        <v>12320000</v>
      </c>
      <c r="L220">
        <v>3934.83</v>
      </c>
      <c r="AO220" s="749">
        <v>44239</v>
      </c>
      <c r="AP220">
        <v>13807.7</v>
      </c>
      <c r="AQ220">
        <v>3210.77</v>
      </c>
      <c r="AR220">
        <f t="shared" si="33"/>
        <v>3.1728709959097383</v>
      </c>
      <c r="AS220">
        <f t="shared" si="34"/>
        <v>1.638097813332245</v>
      </c>
      <c r="BF220" s="749">
        <v>44239</v>
      </c>
      <c r="BG220">
        <v>13807.7</v>
      </c>
      <c r="BH220">
        <v>126000</v>
      </c>
      <c r="BI220">
        <v>3219.8690000000001</v>
      </c>
      <c r="BJ220">
        <v>88.01</v>
      </c>
      <c r="BK220">
        <v>3934.83</v>
      </c>
      <c r="BL220">
        <v>964.31</v>
      </c>
      <c r="BM220">
        <v>2955.29</v>
      </c>
      <c r="BN220" s="14">
        <f t="shared" si="43"/>
        <v>1.4976521542257037E-2</v>
      </c>
      <c r="BO220" s="14">
        <f t="shared" si="35"/>
        <v>-1.1764705882352899E-2</v>
      </c>
      <c r="BP220" s="14">
        <f t="shared" si="36"/>
        <v>7.8680191141866418E-2</v>
      </c>
      <c r="BQ220" s="14">
        <f t="shared" si="37"/>
        <v>8.5203452527743639E-2</v>
      </c>
      <c r="BR220" s="14">
        <f t="shared" si="38"/>
        <v>1.2349395265550678E-2</v>
      </c>
      <c r="BS220" s="14">
        <f t="shared" si="39"/>
        <v>-3.214736102210014E-3</v>
      </c>
      <c r="BT220" s="14">
        <f t="shared" si="40"/>
        <v>-1.0827944464527173E-2</v>
      </c>
      <c r="BV220" s="749">
        <v>44239</v>
      </c>
      <c r="BW220">
        <f t="shared" si="41"/>
        <v>1.8906725991985318</v>
      </c>
      <c r="BX220">
        <f t="shared" si="42"/>
        <v>4.6256637091861954</v>
      </c>
    </row>
    <row r="221" spans="1:76" x14ac:dyDescent="0.3">
      <c r="A221" s="749">
        <v>44232</v>
      </c>
      <c r="B221">
        <v>127500</v>
      </c>
      <c r="C221">
        <v>2985.0079999999998</v>
      </c>
      <c r="D221">
        <v>83500</v>
      </c>
      <c r="E221">
        <v>81.099999999999994</v>
      </c>
      <c r="F221">
        <v>13603.96</v>
      </c>
      <c r="G221">
        <v>3241.93</v>
      </c>
      <c r="H221">
        <v>967.42</v>
      </c>
      <c r="I221">
        <v>423.3</v>
      </c>
      <c r="J221">
        <v>2987.64</v>
      </c>
      <c r="K221">
        <v>22290000</v>
      </c>
      <c r="L221">
        <v>3886.83</v>
      </c>
      <c r="AO221" s="749">
        <v>44232</v>
      </c>
      <c r="AP221">
        <v>13603.96</v>
      </c>
      <c r="AQ221">
        <v>3241.93</v>
      </c>
      <c r="AR221">
        <f t="shared" si="33"/>
        <v>3.1260535870214619</v>
      </c>
      <c r="AS221">
        <f t="shared" si="34"/>
        <v>1.6539952858585962</v>
      </c>
      <c r="BF221" s="749">
        <v>44232</v>
      </c>
      <c r="BG221">
        <v>13603.96</v>
      </c>
      <c r="BH221">
        <v>127500</v>
      </c>
      <c r="BI221">
        <v>2985.0079999999998</v>
      </c>
      <c r="BJ221">
        <v>81.099999999999994</v>
      </c>
      <c r="BK221">
        <v>3886.83</v>
      </c>
      <c r="BL221">
        <v>967.42</v>
      </c>
      <c r="BM221">
        <v>2987.64</v>
      </c>
      <c r="BN221" s="14">
        <f t="shared" si="43"/>
        <v>5.2499810450447049E-2</v>
      </c>
      <c r="BO221" s="14">
        <f t="shared" si="35"/>
        <v>4.081632653061229E-2</v>
      </c>
      <c r="BP221" s="14">
        <f t="shared" si="36"/>
        <v>3.3917960128628133E-2</v>
      </c>
      <c r="BQ221" s="14">
        <f t="shared" si="37"/>
        <v>3.6156892806950225E-2</v>
      </c>
      <c r="BR221" s="14">
        <f t="shared" si="38"/>
        <v>4.6467110364435404E-2</v>
      </c>
      <c r="BS221" s="14">
        <f t="shared" si="39"/>
        <v>4.1659039763978667E-2</v>
      </c>
      <c r="BT221" s="14">
        <f t="shared" si="40"/>
        <v>4.8489719140752507E-2</v>
      </c>
      <c r="BV221" s="749">
        <v>44232</v>
      </c>
      <c r="BW221">
        <f t="shared" si="41"/>
        <v>1.8676087604147649</v>
      </c>
      <c r="BX221">
        <f t="shared" si="42"/>
        <v>4.2882624036041417</v>
      </c>
    </row>
    <row r="222" spans="1:76" x14ac:dyDescent="0.3">
      <c r="A222" s="749">
        <v>44225</v>
      </c>
      <c r="B222">
        <v>122500</v>
      </c>
      <c r="C222">
        <v>2887.0839999999998</v>
      </c>
      <c r="D222">
        <v>82000</v>
      </c>
      <c r="E222">
        <v>78.27</v>
      </c>
      <c r="F222">
        <v>12925.38</v>
      </c>
      <c r="G222">
        <v>3096.25</v>
      </c>
      <c r="H222">
        <v>928.73</v>
      </c>
      <c r="I222">
        <v>404.56</v>
      </c>
      <c r="J222">
        <v>2849.47</v>
      </c>
      <c r="K222">
        <v>30060000</v>
      </c>
      <c r="L222">
        <v>3714.24</v>
      </c>
      <c r="AO222" s="749">
        <v>44225</v>
      </c>
      <c r="AP222">
        <v>12925.38</v>
      </c>
      <c r="AQ222">
        <v>3096.25</v>
      </c>
      <c r="AR222">
        <f t="shared" si="33"/>
        <v>2.9701227078450292</v>
      </c>
      <c r="AS222">
        <f t="shared" si="34"/>
        <v>1.5796710304786588</v>
      </c>
      <c r="BF222" s="749">
        <v>44225</v>
      </c>
      <c r="BG222">
        <v>12925.38</v>
      </c>
      <c r="BH222">
        <v>122500</v>
      </c>
      <c r="BI222">
        <v>2887.0839999999998</v>
      </c>
      <c r="BJ222">
        <v>78.27</v>
      </c>
      <c r="BK222">
        <v>3714.24</v>
      </c>
      <c r="BL222">
        <v>928.73</v>
      </c>
      <c r="BM222">
        <v>2849.47</v>
      </c>
      <c r="BN222" s="14">
        <f t="shared" si="43"/>
        <v>-3.2994673210438141E-2</v>
      </c>
      <c r="BO222" s="14">
        <f t="shared" si="35"/>
        <v>-4.6692607003890996E-2</v>
      </c>
      <c r="BP222" s="14">
        <f t="shared" si="36"/>
        <v>-6.092888247608319E-2</v>
      </c>
      <c r="BQ222" s="14">
        <f t="shared" si="37"/>
        <v>-4.873602333495386E-2</v>
      </c>
      <c r="BR222" s="14">
        <f t="shared" si="38"/>
        <v>-3.3120133698818388E-2</v>
      </c>
      <c r="BS222" s="14">
        <f t="shared" si="39"/>
        <v>-5.2296985652768413E-2</v>
      </c>
      <c r="BT222" s="14">
        <f t="shared" si="40"/>
        <v>-5.2709091029979893E-2</v>
      </c>
      <c r="BV222" s="749">
        <v>44225</v>
      </c>
      <c r="BW222">
        <f t="shared" si="41"/>
        <v>1.7846798450878829</v>
      </c>
      <c r="BX222">
        <f t="shared" si="42"/>
        <v>4.1475847881302368</v>
      </c>
    </row>
    <row r="223" spans="1:76" x14ac:dyDescent="0.3">
      <c r="A223" s="749">
        <v>44218</v>
      </c>
      <c r="B223">
        <v>128500</v>
      </c>
      <c r="C223">
        <v>3074.404</v>
      </c>
      <c r="D223">
        <v>86800</v>
      </c>
      <c r="E223">
        <v>82.28</v>
      </c>
      <c r="F223">
        <v>13366.4</v>
      </c>
      <c r="G223">
        <v>3266.1</v>
      </c>
      <c r="H223">
        <v>979.98</v>
      </c>
      <c r="I223">
        <v>427.13</v>
      </c>
      <c r="J223">
        <v>3008.02</v>
      </c>
      <c r="K223">
        <v>22350000</v>
      </c>
      <c r="L223">
        <v>3841.47</v>
      </c>
      <c r="AO223" s="749">
        <v>44218</v>
      </c>
      <c r="AP223">
        <v>13366.4</v>
      </c>
      <c r="AQ223">
        <v>3266.1</v>
      </c>
      <c r="AR223">
        <f t="shared" si="33"/>
        <v>3.0714646812813085</v>
      </c>
      <c r="AS223">
        <f t="shared" si="34"/>
        <v>1.6663265410242543</v>
      </c>
      <c r="BF223" s="749">
        <v>44218</v>
      </c>
      <c r="BG223">
        <v>13366.4</v>
      </c>
      <c r="BH223">
        <v>128500</v>
      </c>
      <c r="BI223">
        <v>3074.404</v>
      </c>
      <c r="BJ223">
        <v>82.28</v>
      </c>
      <c r="BK223">
        <v>3841.47</v>
      </c>
      <c r="BL223">
        <v>979.98</v>
      </c>
      <c r="BM223">
        <v>3008.02</v>
      </c>
      <c r="BN223" s="14">
        <f t="shared" si="43"/>
        <v>4.3929481026528494E-2</v>
      </c>
      <c r="BO223" s="14">
        <f t="shared" si="35"/>
        <v>7.8431372549019329E-3</v>
      </c>
      <c r="BP223" s="14">
        <f t="shared" si="36"/>
        <v>2.7277414327667948E-2</v>
      </c>
      <c r="BQ223" s="14">
        <f t="shared" si="37"/>
        <v>1.9326065411298332E-2</v>
      </c>
      <c r="BR223" s="14">
        <f t="shared" si="38"/>
        <v>1.9430770251442908E-2</v>
      </c>
      <c r="BS223" s="14">
        <f t="shared" si="39"/>
        <v>1.6112977479158852E-2</v>
      </c>
      <c r="BT223" s="14">
        <f t="shared" si="40"/>
        <v>1.7632531547075336E-2</v>
      </c>
      <c r="BV223" s="749">
        <v>44218</v>
      </c>
      <c r="BW223">
        <f t="shared" si="41"/>
        <v>1.8458134327641049</v>
      </c>
      <c r="BX223">
        <f t="shared" si="42"/>
        <v>4.4166886945328754</v>
      </c>
    </row>
    <row r="224" spans="1:76" x14ac:dyDescent="0.3">
      <c r="A224" s="749">
        <v>44211</v>
      </c>
      <c r="B224">
        <v>127500</v>
      </c>
      <c r="C224">
        <v>2992.7689999999998</v>
      </c>
      <c r="D224">
        <v>88000</v>
      </c>
      <c r="E224">
        <v>80.72</v>
      </c>
      <c r="F224">
        <v>12803.93</v>
      </c>
      <c r="G224">
        <v>3216.7</v>
      </c>
      <c r="H224">
        <v>964.44</v>
      </c>
      <c r="I224">
        <v>420.43</v>
      </c>
      <c r="J224">
        <v>2955.9</v>
      </c>
      <c r="K224">
        <v>36860000</v>
      </c>
      <c r="L224">
        <v>3768.25</v>
      </c>
      <c r="AO224" s="749">
        <v>44211</v>
      </c>
      <c r="AP224">
        <v>12803.93</v>
      </c>
      <c r="AQ224">
        <v>3216.7</v>
      </c>
      <c r="AR224">
        <f t="shared" si="33"/>
        <v>2.9422147157498046</v>
      </c>
      <c r="AS224">
        <f t="shared" si="34"/>
        <v>1.6411232309215023</v>
      </c>
      <c r="BF224" s="749">
        <v>44211</v>
      </c>
      <c r="BG224">
        <v>12803.93</v>
      </c>
      <c r="BH224">
        <v>127500</v>
      </c>
      <c r="BI224">
        <v>2992.7689999999998</v>
      </c>
      <c r="BJ224">
        <v>80.72</v>
      </c>
      <c r="BK224">
        <v>3768.25</v>
      </c>
      <c r="BL224">
        <v>964.44</v>
      </c>
      <c r="BM224">
        <v>2955.9</v>
      </c>
      <c r="BN224" s="14">
        <f t="shared" si="43"/>
        <v>-2.298858468394227E-2</v>
      </c>
      <c r="BO224" s="14">
        <f t="shared" si="35"/>
        <v>-7.6086956521739135E-2</v>
      </c>
      <c r="BP224" s="14">
        <f t="shared" si="36"/>
        <v>1.9172686651893756E-2</v>
      </c>
      <c r="BQ224" s="14">
        <f t="shared" si="37"/>
        <v>4.2624644794626576E-2</v>
      </c>
      <c r="BR224" s="14">
        <f t="shared" si="38"/>
        <v>-1.4754175512722623E-2</v>
      </c>
      <c r="BS224" s="14">
        <f t="shared" si="39"/>
        <v>-2.3638627643527421E-2</v>
      </c>
      <c r="BT224" s="14">
        <f t="shared" si="40"/>
        <v>-2.4967096474127426E-2</v>
      </c>
      <c r="BV224" s="749">
        <v>44211</v>
      </c>
      <c r="BW224">
        <f t="shared" si="41"/>
        <v>1.8106314686860341</v>
      </c>
      <c r="BX224">
        <f t="shared" si="42"/>
        <v>4.2994118559722336</v>
      </c>
    </row>
    <row r="225" spans="1:76" x14ac:dyDescent="0.3">
      <c r="A225" s="749">
        <v>44204</v>
      </c>
      <c r="B225">
        <v>138000</v>
      </c>
      <c r="C225">
        <v>2936.4690000000001</v>
      </c>
      <c r="D225">
        <v>88800</v>
      </c>
      <c r="E225">
        <v>77.42</v>
      </c>
      <c r="F225">
        <v>13105.2</v>
      </c>
      <c r="G225">
        <v>3293.96</v>
      </c>
      <c r="H225">
        <v>987.79</v>
      </c>
      <c r="I225">
        <v>430.22</v>
      </c>
      <c r="J225">
        <v>3031.59</v>
      </c>
      <c r="K225">
        <v>38400000</v>
      </c>
      <c r="L225">
        <v>3824.68</v>
      </c>
      <c r="AO225" s="749">
        <v>44204</v>
      </c>
      <c r="AP225">
        <v>13105.2</v>
      </c>
      <c r="AQ225">
        <v>3293.96</v>
      </c>
      <c r="AR225">
        <f t="shared" si="33"/>
        <v>3.0114435406038882</v>
      </c>
      <c r="AS225">
        <f t="shared" si="34"/>
        <v>1.6805403916206647</v>
      </c>
      <c r="BF225" s="749">
        <v>44204</v>
      </c>
      <c r="BG225">
        <v>13105.2</v>
      </c>
      <c r="BH225">
        <v>138000</v>
      </c>
      <c r="BI225">
        <v>2936.4690000000001</v>
      </c>
      <c r="BJ225">
        <v>77.42</v>
      </c>
      <c r="BK225">
        <v>3824.68</v>
      </c>
      <c r="BL225">
        <v>987.79</v>
      </c>
      <c r="BM225">
        <v>3031.59</v>
      </c>
      <c r="BN225" s="14">
        <f t="shared" si="43"/>
        <v>1.6830795109975982E-2</v>
      </c>
      <c r="BO225" s="14">
        <f t="shared" si="35"/>
        <v>0.16455696202531644</v>
      </c>
      <c r="BP225" s="14">
        <f t="shared" si="36"/>
        <v>5.042749076282993E-2</v>
      </c>
      <c r="BQ225" s="14">
        <f t="shared" si="37"/>
        <v>2.9795158286778367E-2</v>
      </c>
      <c r="BR225" s="14">
        <f t="shared" si="38"/>
        <v>1.8266432734214133E-2</v>
      </c>
      <c r="BS225" s="14">
        <f t="shared" si="39"/>
        <v>2.0001652175708928E-2</v>
      </c>
      <c r="BT225" s="14">
        <f t="shared" si="40"/>
        <v>0.11242844561867038</v>
      </c>
      <c r="BV225" s="749">
        <v>44204</v>
      </c>
      <c r="BW225">
        <f t="shared" si="41"/>
        <v>1.8377458941561999</v>
      </c>
      <c r="BX225">
        <f t="shared" si="42"/>
        <v>4.2185312776545496</v>
      </c>
    </row>
    <row r="226" spans="1:76" x14ac:dyDescent="0.3">
      <c r="A226" s="749">
        <v>44197</v>
      </c>
      <c r="B226">
        <v>118500</v>
      </c>
      <c r="C226">
        <v>2795.4989999999998</v>
      </c>
      <c r="D226">
        <v>81000</v>
      </c>
      <c r="E226">
        <v>75.180000000000007</v>
      </c>
      <c r="F226">
        <v>12888.28</v>
      </c>
      <c r="G226">
        <v>2974.06</v>
      </c>
      <c r="H226">
        <v>968.42</v>
      </c>
      <c r="I226">
        <v>389.29</v>
      </c>
      <c r="J226">
        <v>2725.2</v>
      </c>
      <c r="K226">
        <v>13230000</v>
      </c>
      <c r="L226">
        <v>3756.07</v>
      </c>
      <c r="AO226" s="749">
        <v>44197</v>
      </c>
      <c r="AP226">
        <v>12888.28</v>
      </c>
      <c r="AQ226">
        <v>2974.06</v>
      </c>
      <c r="AR226">
        <f t="shared" si="33"/>
        <v>2.9615974998851051</v>
      </c>
      <c r="AS226">
        <f t="shared" si="34"/>
        <v>1.5173311021091191</v>
      </c>
      <c r="BF226" s="749">
        <v>44197</v>
      </c>
      <c r="BG226">
        <v>12888.28</v>
      </c>
      <c r="BH226">
        <v>118500</v>
      </c>
      <c r="BI226">
        <v>2795.4989999999998</v>
      </c>
      <c r="BJ226">
        <v>75.180000000000007</v>
      </c>
      <c r="BK226">
        <v>3756.07</v>
      </c>
      <c r="BL226">
        <v>968.42</v>
      </c>
      <c r="BM226">
        <v>2725.2</v>
      </c>
      <c r="BN226" s="14">
        <f t="shared" si="43"/>
        <v>1.3946177369068335E-2</v>
      </c>
      <c r="BO226" s="14">
        <f t="shared" si="35"/>
        <v>4.237288135593209E-3</v>
      </c>
      <c r="BP226" s="14">
        <f t="shared" si="36"/>
        <v>1.6457121165513566E-2</v>
      </c>
      <c r="BQ226" s="14">
        <f t="shared" si="37"/>
        <v>6.5174270331538775E-2</v>
      </c>
      <c r="BR226" s="14">
        <f t="shared" si="38"/>
        <v>1.4315187979671018E-2</v>
      </c>
      <c r="BS226" s="14">
        <f t="shared" si="39"/>
        <v>4.2791919714002757E-2</v>
      </c>
      <c r="BT226" s="14">
        <f t="shared" si="40"/>
        <v>2.6614680454314144E-2</v>
      </c>
      <c r="BV226" s="749">
        <v>44197</v>
      </c>
      <c r="BW226">
        <f t="shared" si="41"/>
        <v>1.8047790195946531</v>
      </c>
      <c r="BX226">
        <f t="shared" si="42"/>
        <v>4.0160137798669133</v>
      </c>
    </row>
    <row r="227" spans="1:76" x14ac:dyDescent="0.3">
      <c r="A227" s="749">
        <v>44190</v>
      </c>
      <c r="B227">
        <v>118000</v>
      </c>
      <c r="C227">
        <v>2750.2379999999998</v>
      </c>
      <c r="D227">
        <v>77800</v>
      </c>
      <c r="E227">
        <v>70.58</v>
      </c>
      <c r="F227">
        <v>12711.01</v>
      </c>
      <c r="G227">
        <v>2899.77</v>
      </c>
      <c r="H227">
        <v>928.68</v>
      </c>
      <c r="I227">
        <v>379.18</v>
      </c>
      <c r="J227">
        <v>2654.55</v>
      </c>
      <c r="K227">
        <v>14520000</v>
      </c>
      <c r="L227">
        <v>3703.06</v>
      </c>
      <c r="AO227" s="749">
        <v>44190</v>
      </c>
      <c r="AP227">
        <v>12711.01</v>
      </c>
      <c r="AQ227">
        <v>2899.77</v>
      </c>
      <c r="AR227">
        <f t="shared" si="33"/>
        <v>2.9208626315547588</v>
      </c>
      <c r="AS227">
        <f t="shared" si="34"/>
        <v>1.4794292011469037</v>
      </c>
      <c r="BF227" s="749">
        <v>44190</v>
      </c>
      <c r="BG227">
        <v>12711.01</v>
      </c>
      <c r="BH227">
        <v>118000</v>
      </c>
      <c r="BI227">
        <v>2750.2379999999998</v>
      </c>
      <c r="BJ227">
        <v>70.58</v>
      </c>
      <c r="BK227">
        <v>3703.06</v>
      </c>
      <c r="BL227">
        <v>928.68</v>
      </c>
      <c r="BM227">
        <v>2654.55</v>
      </c>
      <c r="BN227" s="14">
        <f t="shared" si="43"/>
        <v>-2.1329577694773061E-3</v>
      </c>
      <c r="BO227" s="14">
        <f t="shared" si="35"/>
        <v>-4.2194092827003704E-3</v>
      </c>
      <c r="BP227" s="14">
        <f t="shared" si="36"/>
        <v>-5.2453395255973589E-3</v>
      </c>
      <c r="BQ227" s="14">
        <f t="shared" si="37"/>
        <v>-1.2314581584102924E-2</v>
      </c>
      <c r="BR227" s="14">
        <f t="shared" si="38"/>
        <v>-1.7118625333947257E-3</v>
      </c>
      <c r="BS227" s="14">
        <f t="shared" si="39"/>
        <v>-1.9593767155103303E-2</v>
      </c>
      <c r="BT227" s="14">
        <f t="shared" si="40"/>
        <v>2.3543564848910403E-2</v>
      </c>
      <c r="BV227" s="749">
        <v>44190</v>
      </c>
      <c r="BW227">
        <f t="shared" si="41"/>
        <v>1.7793078926378305</v>
      </c>
      <c r="BX227">
        <f t="shared" si="42"/>
        <v>3.9509918286193697</v>
      </c>
    </row>
    <row r="228" spans="1:76" x14ac:dyDescent="0.3">
      <c r="A228" s="749">
        <v>44183</v>
      </c>
      <c r="B228">
        <v>118500</v>
      </c>
      <c r="C228">
        <v>2764.74</v>
      </c>
      <c r="D228">
        <v>73000</v>
      </c>
      <c r="E228">
        <v>71.459999999999994</v>
      </c>
      <c r="F228">
        <v>12738.18</v>
      </c>
      <c r="G228">
        <v>2837.98</v>
      </c>
      <c r="H228">
        <v>947.24</v>
      </c>
      <c r="I228">
        <v>371.55</v>
      </c>
      <c r="J228">
        <v>2593.4899999999998</v>
      </c>
      <c r="K228">
        <v>14700000</v>
      </c>
      <c r="L228">
        <v>3709.41</v>
      </c>
      <c r="AO228" s="749">
        <v>44183</v>
      </c>
      <c r="AP228">
        <v>12738.18</v>
      </c>
      <c r="AQ228">
        <v>2837.98</v>
      </c>
      <c r="AR228">
        <f t="shared" si="33"/>
        <v>2.9271060250930647</v>
      </c>
      <c r="AS228">
        <f t="shared" si="34"/>
        <v>1.4479046559799191</v>
      </c>
      <c r="BF228" s="749">
        <v>44183</v>
      </c>
      <c r="BG228">
        <v>12738.18</v>
      </c>
      <c r="BH228">
        <v>118500</v>
      </c>
      <c r="BI228">
        <v>2764.74</v>
      </c>
      <c r="BJ228">
        <v>71.459999999999994</v>
      </c>
      <c r="BK228">
        <v>3709.41</v>
      </c>
      <c r="BL228">
        <v>947.24</v>
      </c>
      <c r="BM228">
        <v>2593.4899999999998</v>
      </c>
      <c r="BN228" s="14">
        <f t="shared" si="43"/>
        <v>2.9313776270846859E-2</v>
      </c>
      <c r="BO228" s="14">
        <f t="shared" si="35"/>
        <v>2.5974025974025983E-2</v>
      </c>
      <c r="BP228" s="14">
        <f t="shared" si="36"/>
        <v>2.2431633940230178E-2</v>
      </c>
      <c r="BQ228" s="14">
        <f t="shared" si="37"/>
        <v>1.3185878349638358E-2</v>
      </c>
      <c r="BR228" s="14">
        <f t="shared" si="38"/>
        <v>1.2542787419543178E-2</v>
      </c>
      <c r="BS228" s="14">
        <f t="shared" si="39"/>
        <v>2.0249019861272588E-2</v>
      </c>
      <c r="BT228" s="14">
        <f t="shared" si="40"/>
        <v>-3.8830849592872418E-3</v>
      </c>
      <c r="BV228" s="749">
        <v>44183</v>
      </c>
      <c r="BW228">
        <f t="shared" si="41"/>
        <v>1.7823590463102663</v>
      </c>
      <c r="BX228">
        <f t="shared" si="42"/>
        <v>3.9718254013860315</v>
      </c>
    </row>
    <row r="229" spans="1:76" x14ac:dyDescent="0.3">
      <c r="A229" s="749">
        <v>44176</v>
      </c>
      <c r="B229">
        <v>115500</v>
      </c>
      <c r="C229">
        <v>2704.0830000000001</v>
      </c>
      <c r="D229">
        <v>73400</v>
      </c>
      <c r="E229">
        <v>70.53</v>
      </c>
      <c r="F229">
        <v>12375.41</v>
      </c>
      <c r="G229">
        <v>2850.4</v>
      </c>
      <c r="H229">
        <v>928.44</v>
      </c>
      <c r="I229">
        <v>372.24</v>
      </c>
      <c r="J229">
        <v>2603.6</v>
      </c>
      <c r="K229">
        <v>27370000</v>
      </c>
      <c r="L229">
        <v>3663.46</v>
      </c>
      <c r="AO229" s="749">
        <v>44176</v>
      </c>
      <c r="AP229">
        <v>12375.41</v>
      </c>
      <c r="AQ229">
        <v>2850.4</v>
      </c>
      <c r="AR229">
        <f t="shared" si="33"/>
        <v>2.8437451169630954</v>
      </c>
      <c r="AS229">
        <f t="shared" si="34"/>
        <v>1.4542411966980604</v>
      </c>
      <c r="BF229" s="749">
        <v>44176</v>
      </c>
      <c r="BG229">
        <v>12375.41</v>
      </c>
      <c r="BH229">
        <v>115500</v>
      </c>
      <c r="BI229">
        <v>2704.0830000000001</v>
      </c>
      <c r="BJ229">
        <v>70.53</v>
      </c>
      <c r="BK229">
        <v>3663.46</v>
      </c>
      <c r="BL229">
        <v>928.44</v>
      </c>
      <c r="BM229">
        <v>2603.6</v>
      </c>
      <c r="BN229" s="14">
        <f t="shared" si="43"/>
        <v>-1.2217763048669839E-2</v>
      </c>
      <c r="BO229" s="14">
        <f t="shared" si="35"/>
        <v>4.3478260869564966E-3</v>
      </c>
      <c r="BP229" s="14">
        <f t="shared" si="36"/>
        <v>-3.1846406287649454E-2</v>
      </c>
      <c r="BQ229" s="14">
        <f t="shared" si="37"/>
        <v>-3.8314698663757918E-2</v>
      </c>
      <c r="BR229" s="14">
        <f t="shared" si="38"/>
        <v>-9.6401306256622687E-3</v>
      </c>
      <c r="BS229" s="14">
        <f t="shared" si="39"/>
        <v>1.6065487655401833E-2</v>
      </c>
      <c r="BT229" s="14">
        <f t="shared" si="40"/>
        <v>9.8596684482852304E-3</v>
      </c>
      <c r="BV229" s="749">
        <v>44176</v>
      </c>
      <c r="BW229">
        <f t="shared" si="41"/>
        <v>1.7602802256412229</v>
      </c>
      <c r="BX229">
        <f t="shared" si="42"/>
        <v>3.8846855569985408</v>
      </c>
    </row>
    <row r="230" spans="1:76" x14ac:dyDescent="0.3">
      <c r="A230" s="749">
        <v>44169</v>
      </c>
      <c r="B230">
        <v>115000</v>
      </c>
      <c r="C230">
        <v>2793.0309999999999</v>
      </c>
      <c r="D230">
        <v>71500</v>
      </c>
      <c r="E230">
        <v>73.34</v>
      </c>
      <c r="F230">
        <v>12528.48</v>
      </c>
      <c r="G230">
        <v>2820.26</v>
      </c>
      <c r="H230">
        <v>913.76</v>
      </c>
      <c r="I230">
        <v>367.63</v>
      </c>
      <c r="J230">
        <v>2578.1799999999998</v>
      </c>
      <c r="K230">
        <v>30700000</v>
      </c>
      <c r="L230">
        <v>3699.12</v>
      </c>
      <c r="AO230" s="749">
        <v>44169</v>
      </c>
      <c r="AP230">
        <v>12528.48</v>
      </c>
      <c r="AQ230">
        <v>2820.26</v>
      </c>
      <c r="AR230">
        <f t="shared" si="33"/>
        <v>2.8789190679718737</v>
      </c>
      <c r="AS230">
        <f t="shared" si="34"/>
        <v>1.4388641164046001</v>
      </c>
      <c r="BF230" s="749">
        <v>44169</v>
      </c>
      <c r="BG230">
        <v>12528.48</v>
      </c>
      <c r="BH230">
        <v>115000</v>
      </c>
      <c r="BI230">
        <v>2793.0309999999999</v>
      </c>
      <c r="BJ230">
        <v>73.34</v>
      </c>
      <c r="BK230">
        <v>3699.12</v>
      </c>
      <c r="BL230">
        <v>913.76</v>
      </c>
      <c r="BM230">
        <v>2578.1799999999998</v>
      </c>
      <c r="BN230" s="14">
        <f t="shared" si="43"/>
        <v>2.2048080429361239E-2</v>
      </c>
      <c r="BO230" s="14">
        <f t="shared" si="35"/>
        <v>0.16396761133603244</v>
      </c>
      <c r="BP230" s="14">
        <f t="shared" si="36"/>
        <v>6.1359825107474286E-2</v>
      </c>
      <c r="BQ230" s="14">
        <f t="shared" si="37"/>
        <v>0.14183403394052618</v>
      </c>
      <c r="BR230" s="14">
        <f t="shared" si="38"/>
        <v>1.6702626190443493E-2</v>
      </c>
      <c r="BS230" s="14">
        <f t="shared" si="39"/>
        <v>3.1844256741496935E-2</v>
      </c>
      <c r="BT230" s="14">
        <f t="shared" si="40"/>
        <v>4.8837937781972318E-2</v>
      </c>
      <c r="BV230" s="749">
        <v>44169</v>
      </c>
      <c r="BW230">
        <f t="shared" si="41"/>
        <v>1.7774147358709964</v>
      </c>
      <c r="BX230">
        <f t="shared" si="42"/>
        <v>4.0124682511406604</v>
      </c>
    </row>
    <row r="231" spans="1:76" x14ac:dyDescent="0.3">
      <c r="A231" s="749">
        <v>44162</v>
      </c>
      <c r="B231">
        <v>98800</v>
      </c>
      <c r="C231">
        <v>2631.5590000000002</v>
      </c>
      <c r="D231">
        <v>68200</v>
      </c>
      <c r="E231">
        <v>64.23</v>
      </c>
      <c r="F231">
        <v>12258.21</v>
      </c>
      <c r="G231">
        <v>2698.99</v>
      </c>
      <c r="H231">
        <v>885.56</v>
      </c>
      <c r="I231">
        <v>352.73</v>
      </c>
      <c r="J231">
        <v>2458.13</v>
      </c>
      <c r="K231">
        <v>16910000</v>
      </c>
      <c r="L231">
        <v>3638.35</v>
      </c>
      <c r="AO231" s="749">
        <v>44162</v>
      </c>
      <c r="AP231">
        <v>12258.21</v>
      </c>
      <c r="AQ231">
        <v>2698.99</v>
      </c>
      <c r="AR231">
        <f t="shared" si="33"/>
        <v>2.8168137322487246</v>
      </c>
      <c r="AS231">
        <f t="shared" si="34"/>
        <v>1.3769935614215891</v>
      </c>
      <c r="BF231" s="749">
        <v>44162</v>
      </c>
      <c r="BG231">
        <v>12258.21</v>
      </c>
      <c r="BH231">
        <v>98800</v>
      </c>
      <c r="BI231">
        <v>2631.5590000000002</v>
      </c>
      <c r="BJ231">
        <v>64.23</v>
      </c>
      <c r="BK231">
        <v>3638.35</v>
      </c>
      <c r="BL231">
        <v>885.56</v>
      </c>
      <c r="BM231">
        <v>2458.13</v>
      </c>
      <c r="BN231" s="14">
        <f t="shared" si="43"/>
        <v>2.9544515405108385E-2</v>
      </c>
      <c r="BO231" s="14">
        <f t="shared" si="35"/>
        <v>2.0661157024793431E-2</v>
      </c>
      <c r="BP231" s="14">
        <f t="shared" si="36"/>
        <v>2.9764476250403016E-2</v>
      </c>
      <c r="BQ231" s="14">
        <f t="shared" si="37"/>
        <v>4.6091205211726383E-2</v>
      </c>
      <c r="BR231" s="14">
        <f t="shared" si="38"/>
        <v>2.2715134615492794E-2</v>
      </c>
      <c r="BS231" s="14">
        <f t="shared" si="39"/>
        <v>1.7674504125583246E-2</v>
      </c>
      <c r="BT231" s="14">
        <f t="shared" si="40"/>
        <v>3.8188798459270812E-2</v>
      </c>
      <c r="BV231" s="749">
        <v>44162</v>
      </c>
      <c r="BW231">
        <f t="shared" si="41"/>
        <v>1.7482149549774648</v>
      </c>
      <c r="BX231">
        <f t="shared" si="42"/>
        <v>3.7804975807656507</v>
      </c>
    </row>
    <row r="232" spans="1:76" x14ac:dyDescent="0.3">
      <c r="A232" s="749">
        <v>44155</v>
      </c>
      <c r="B232">
        <v>96800</v>
      </c>
      <c r="C232">
        <v>2555.4960000000001</v>
      </c>
      <c r="D232">
        <v>64700</v>
      </c>
      <c r="E232">
        <v>61.4</v>
      </c>
      <c r="F232">
        <v>11906.44</v>
      </c>
      <c r="G232">
        <v>2603.86</v>
      </c>
      <c r="H232">
        <v>870.18</v>
      </c>
      <c r="I232">
        <v>340.62</v>
      </c>
      <c r="J232">
        <v>2367.71</v>
      </c>
      <c r="K232">
        <v>23420000</v>
      </c>
      <c r="L232">
        <v>3557.54</v>
      </c>
      <c r="AO232" s="749">
        <v>44155</v>
      </c>
      <c r="AP232">
        <v>11906.44</v>
      </c>
      <c r="AQ232">
        <v>2603.86</v>
      </c>
      <c r="AR232">
        <f t="shared" si="33"/>
        <v>2.7359805138103774</v>
      </c>
      <c r="AS232">
        <f t="shared" si="34"/>
        <v>1.3284593328775651</v>
      </c>
      <c r="BF232" s="749">
        <v>44155</v>
      </c>
      <c r="BG232">
        <v>11906.44</v>
      </c>
      <c r="BH232">
        <v>96800</v>
      </c>
      <c r="BI232">
        <v>2555.4960000000001</v>
      </c>
      <c r="BJ232">
        <v>61.4</v>
      </c>
      <c r="BK232">
        <v>3557.54</v>
      </c>
      <c r="BL232">
        <v>870.18</v>
      </c>
      <c r="BM232">
        <v>2367.71</v>
      </c>
      <c r="BN232" s="14">
        <f t="shared" si="43"/>
        <v>-2.6302915770356483E-3</v>
      </c>
      <c r="BO232" s="14">
        <f t="shared" si="35"/>
        <v>7.9152731326644465E-2</v>
      </c>
      <c r="BP232" s="14">
        <f t="shared" si="36"/>
        <v>1.8605168407924255E-2</v>
      </c>
      <c r="BQ232" s="14">
        <f t="shared" si="37"/>
        <v>5.9899879164508896E-2</v>
      </c>
      <c r="BR232" s="14">
        <f t="shared" si="38"/>
        <v>-7.7012119437123161E-3</v>
      </c>
      <c r="BS232" s="14">
        <f t="shared" si="39"/>
        <v>3.699025192458949E-2</v>
      </c>
      <c r="BT232" s="14">
        <f t="shared" si="40"/>
        <v>2.2698215242143105E-2</v>
      </c>
      <c r="BV232" s="749">
        <v>44155</v>
      </c>
      <c r="BW232">
        <f t="shared" si="41"/>
        <v>1.7093860213917107</v>
      </c>
      <c r="BX232">
        <f t="shared" si="42"/>
        <v>3.6712254772385102</v>
      </c>
    </row>
    <row r="233" spans="1:76" x14ac:dyDescent="0.3">
      <c r="A233" s="749">
        <v>44148</v>
      </c>
      <c r="B233">
        <v>89700</v>
      </c>
      <c r="C233">
        <v>2508.819</v>
      </c>
      <c r="D233">
        <v>63200</v>
      </c>
      <c r="E233">
        <v>57.93</v>
      </c>
      <c r="F233">
        <v>11937.84</v>
      </c>
      <c r="G233">
        <v>2544.64</v>
      </c>
      <c r="H233">
        <v>839.14</v>
      </c>
      <c r="I233">
        <v>333.03</v>
      </c>
      <c r="J233">
        <v>2315.16</v>
      </c>
      <c r="K233">
        <v>15710000</v>
      </c>
      <c r="L233">
        <v>3585.15</v>
      </c>
      <c r="AO233" s="749">
        <v>44148</v>
      </c>
      <c r="AP233">
        <v>11937.84</v>
      </c>
      <c r="AQ233">
        <v>2544.64</v>
      </c>
      <c r="AR233">
        <f t="shared" si="33"/>
        <v>2.7431959189300978</v>
      </c>
      <c r="AS233">
        <f t="shared" si="34"/>
        <v>1.2982459720620798</v>
      </c>
      <c r="BF233" s="749">
        <v>44148</v>
      </c>
      <c r="BG233">
        <v>11937.84</v>
      </c>
      <c r="BH233">
        <v>89700</v>
      </c>
      <c r="BI233">
        <v>2508.819</v>
      </c>
      <c r="BJ233">
        <v>57.93</v>
      </c>
      <c r="BK233">
        <v>3585.15</v>
      </c>
      <c r="BL233">
        <v>839.14</v>
      </c>
      <c r="BM233">
        <v>2315.16</v>
      </c>
      <c r="BN233" s="14">
        <f t="shared" si="43"/>
        <v>-1.2695852820404641E-2</v>
      </c>
      <c r="BO233" s="14">
        <f t="shared" si="35"/>
        <v>3.9397450753186458E-2</v>
      </c>
      <c r="BP233" s="14">
        <f t="shared" si="36"/>
        <v>-8.0845557230612153E-3</v>
      </c>
      <c r="BQ233" s="14">
        <f t="shared" si="37"/>
        <v>5.0217548948513491E-2</v>
      </c>
      <c r="BR233" s="14">
        <f t="shared" si="38"/>
        <v>2.1573242454636654E-2</v>
      </c>
      <c r="BS233" s="14">
        <f t="shared" si="39"/>
        <v>2.8203350940509964E-3</v>
      </c>
      <c r="BT233" s="14">
        <f t="shared" si="40"/>
        <v>3.0746627487645339E-2</v>
      </c>
      <c r="BV233" s="749">
        <v>44148</v>
      </c>
      <c r="BW233">
        <f t="shared" si="41"/>
        <v>1.7226525336587899</v>
      </c>
      <c r="BX233">
        <f t="shared" si="42"/>
        <v>3.6041693004332789</v>
      </c>
    </row>
    <row r="234" spans="1:76" x14ac:dyDescent="0.3">
      <c r="A234" s="749">
        <v>44141</v>
      </c>
      <c r="B234">
        <v>86300</v>
      </c>
      <c r="C234">
        <v>2529.2669999999998</v>
      </c>
      <c r="D234">
        <v>60100</v>
      </c>
      <c r="E234">
        <v>55.16</v>
      </c>
      <c r="F234">
        <v>12091.35</v>
      </c>
      <c r="G234">
        <v>2466.1</v>
      </c>
      <c r="H234">
        <v>836.78</v>
      </c>
      <c r="I234">
        <v>322.10000000000002</v>
      </c>
      <c r="J234">
        <v>2246.1</v>
      </c>
      <c r="K234">
        <v>14790000</v>
      </c>
      <c r="L234">
        <v>3509.44</v>
      </c>
      <c r="AO234" s="749">
        <v>44141</v>
      </c>
      <c r="AP234">
        <v>12091.35</v>
      </c>
      <c r="AQ234">
        <v>2466.1</v>
      </c>
      <c r="AR234">
        <f t="shared" si="33"/>
        <v>2.7784709775265406</v>
      </c>
      <c r="AS234">
        <f t="shared" si="34"/>
        <v>1.2581757701294858</v>
      </c>
      <c r="BF234" s="749">
        <v>44141</v>
      </c>
      <c r="BG234">
        <v>12091.35</v>
      </c>
      <c r="BH234">
        <v>86300</v>
      </c>
      <c r="BI234">
        <v>2529.2669999999998</v>
      </c>
      <c r="BJ234">
        <v>55.16</v>
      </c>
      <c r="BK234">
        <v>3509.44</v>
      </c>
      <c r="BL234">
        <v>836.78</v>
      </c>
      <c r="BM234">
        <v>2246.1</v>
      </c>
      <c r="BN234" s="14">
        <f t="shared" si="43"/>
        <v>9.3947769599971087E-2</v>
      </c>
      <c r="BO234" s="14">
        <f t="shared" si="35"/>
        <v>8.010012515644549E-2</v>
      </c>
      <c r="BP234" s="14">
        <f t="shared" si="36"/>
        <v>0.12604395159189963</v>
      </c>
      <c r="BQ234" s="14">
        <f t="shared" si="37"/>
        <v>9.5748907429479502E-2</v>
      </c>
      <c r="BR234" s="14">
        <f t="shared" si="38"/>
        <v>7.3236369863851625E-2</v>
      </c>
      <c r="BS234" s="14">
        <f t="shared" si="39"/>
        <v>5.5674004920204467E-2</v>
      </c>
      <c r="BT234" s="14">
        <f t="shared" si="40"/>
        <v>7.0075892920948402E-2</v>
      </c>
      <c r="BV234" s="749">
        <v>44141</v>
      </c>
      <c r="BW234">
        <f t="shared" si="41"/>
        <v>1.6862741329438109</v>
      </c>
      <c r="BX234">
        <f t="shared" si="42"/>
        <v>3.6335448966222659</v>
      </c>
    </row>
    <row r="235" spans="1:76" x14ac:dyDescent="0.3">
      <c r="A235" s="749">
        <v>44134</v>
      </c>
      <c r="B235">
        <v>79900</v>
      </c>
      <c r="C235">
        <v>2246.1529999999998</v>
      </c>
      <c r="D235">
        <v>56600</v>
      </c>
      <c r="E235">
        <v>50.34</v>
      </c>
      <c r="F235">
        <v>11052.95</v>
      </c>
      <c r="G235">
        <v>2308.8000000000002</v>
      </c>
      <c r="H235">
        <v>792.65</v>
      </c>
      <c r="I235">
        <v>301.60000000000002</v>
      </c>
      <c r="J235">
        <v>2099.0100000000002</v>
      </c>
      <c r="K235">
        <v>11050000</v>
      </c>
      <c r="L235">
        <v>3269.96</v>
      </c>
      <c r="AO235" s="749">
        <v>44134</v>
      </c>
      <c r="AP235">
        <v>11052.95</v>
      </c>
      <c r="AQ235">
        <v>2308.8000000000002</v>
      </c>
      <c r="AR235">
        <f t="shared" si="33"/>
        <v>2.5398570706374373</v>
      </c>
      <c r="AS235">
        <f t="shared" si="34"/>
        <v>1.1779231248023021</v>
      </c>
      <c r="BF235" s="749">
        <v>44134</v>
      </c>
      <c r="BG235">
        <v>11052.95</v>
      </c>
      <c r="BH235">
        <v>79900</v>
      </c>
      <c r="BI235">
        <v>2246.1529999999998</v>
      </c>
      <c r="BJ235">
        <v>50.34</v>
      </c>
      <c r="BK235">
        <v>3269.96</v>
      </c>
      <c r="BL235">
        <v>792.65</v>
      </c>
      <c r="BM235">
        <v>2099.0100000000002</v>
      </c>
      <c r="BN235" s="14">
        <f t="shared" si="43"/>
        <v>-5.4703114884067316E-2</v>
      </c>
      <c r="BO235" s="14">
        <f t="shared" si="35"/>
        <v>-4.7675804529201393E-2</v>
      </c>
      <c r="BP235" s="14">
        <f t="shared" si="36"/>
        <v>-4.8332195025226454E-2</v>
      </c>
      <c r="BQ235" s="14">
        <f t="shared" si="37"/>
        <v>-4.7492904446546746E-2</v>
      </c>
      <c r="BR235" s="14">
        <f t="shared" si="38"/>
        <v>-5.6394806933707242E-2</v>
      </c>
      <c r="BS235" s="14">
        <f t="shared" si="39"/>
        <v>-1.8973241911928618E-2</v>
      </c>
      <c r="BT235" s="14">
        <f t="shared" si="40"/>
        <v>-3.8923636230437375E-2</v>
      </c>
      <c r="BV235" s="749">
        <v>44134</v>
      </c>
      <c r="BW235">
        <f t="shared" si="41"/>
        <v>1.5712047972784671</v>
      </c>
      <c r="BX235">
        <f t="shared" si="42"/>
        <v>3.2268233326820743</v>
      </c>
    </row>
    <row r="236" spans="1:76" x14ac:dyDescent="0.3">
      <c r="A236" s="749">
        <v>44127</v>
      </c>
      <c r="B236">
        <v>83900</v>
      </c>
      <c r="C236">
        <v>2360.2280000000001</v>
      </c>
      <c r="D236">
        <v>60200</v>
      </c>
      <c r="E236">
        <v>52.85</v>
      </c>
      <c r="F236">
        <v>11692.57</v>
      </c>
      <c r="G236">
        <v>2409.34</v>
      </c>
      <c r="H236">
        <v>807.98</v>
      </c>
      <c r="I236">
        <v>314.79000000000002</v>
      </c>
      <c r="J236">
        <v>2184.02</v>
      </c>
      <c r="K236">
        <v>19900000</v>
      </c>
      <c r="L236">
        <v>3465.39</v>
      </c>
      <c r="AO236" s="749">
        <v>44127</v>
      </c>
      <c r="AP236">
        <v>11692.57</v>
      </c>
      <c r="AQ236">
        <v>2409.34</v>
      </c>
      <c r="AR236">
        <f t="shared" si="33"/>
        <v>2.6868353325060892</v>
      </c>
      <c r="AS236">
        <f t="shared" si="34"/>
        <v>1.229217472934502</v>
      </c>
      <c r="BF236" s="749">
        <v>44127</v>
      </c>
      <c r="BG236">
        <v>11692.57</v>
      </c>
      <c r="BH236">
        <v>83900</v>
      </c>
      <c r="BI236">
        <v>2360.2280000000001</v>
      </c>
      <c r="BJ236">
        <v>52.85</v>
      </c>
      <c r="BK236">
        <v>3465.39</v>
      </c>
      <c r="BL236">
        <v>807.98</v>
      </c>
      <c r="BM236">
        <v>2184.02</v>
      </c>
      <c r="BN236" s="14">
        <f t="shared" si="43"/>
        <v>-1.3465888525054925E-2</v>
      </c>
      <c r="BO236" s="14">
        <f t="shared" si="35"/>
        <v>-1.6412661195779554E-2</v>
      </c>
      <c r="BP236" s="14">
        <f t="shared" si="36"/>
        <v>-1.647126477494576E-2</v>
      </c>
      <c r="BQ236" s="14">
        <f t="shared" si="37"/>
        <v>2.4026351482270947E-2</v>
      </c>
      <c r="BR236" s="14">
        <f t="shared" si="38"/>
        <v>-5.2873147502303652E-3</v>
      </c>
      <c r="BS236" s="14">
        <f t="shared" si="39"/>
        <v>-3.1013144008442906E-2</v>
      </c>
      <c r="BT236" s="14">
        <f t="shared" si="40"/>
        <v>6.6231880718088387E-3</v>
      </c>
      <c r="BV236" s="749">
        <v>44127</v>
      </c>
      <c r="BW236">
        <f t="shared" si="41"/>
        <v>1.6651082558932915</v>
      </c>
      <c r="BX236">
        <f t="shared" si="42"/>
        <v>3.3907034742733679</v>
      </c>
    </row>
    <row r="237" spans="1:76" x14ac:dyDescent="0.3">
      <c r="A237" s="749">
        <v>44120</v>
      </c>
      <c r="B237">
        <v>85300</v>
      </c>
      <c r="C237">
        <v>2399.7550000000001</v>
      </c>
      <c r="D237">
        <v>59500</v>
      </c>
      <c r="E237">
        <v>51.61</v>
      </c>
      <c r="F237">
        <v>11852.17</v>
      </c>
      <c r="G237">
        <v>2388.0100000000002</v>
      </c>
      <c r="H237">
        <v>833.84</v>
      </c>
      <c r="I237">
        <v>311.83</v>
      </c>
      <c r="J237">
        <v>2169.65</v>
      </c>
      <c r="K237">
        <v>19300000</v>
      </c>
      <c r="L237">
        <v>3483.81</v>
      </c>
      <c r="AO237" s="749">
        <v>44120</v>
      </c>
      <c r="AP237">
        <v>11852.17</v>
      </c>
      <c r="AQ237">
        <v>2388.0100000000002</v>
      </c>
      <c r="AR237">
        <f t="shared" si="33"/>
        <v>2.7235098120318026</v>
      </c>
      <c r="AS237">
        <f t="shared" si="34"/>
        <v>1.2183351530055204</v>
      </c>
      <c r="BF237" s="749">
        <v>44120</v>
      </c>
      <c r="BG237">
        <v>11852.17</v>
      </c>
      <c r="BH237">
        <v>85300</v>
      </c>
      <c r="BI237">
        <v>2399.7550000000001</v>
      </c>
      <c r="BJ237">
        <v>51.61</v>
      </c>
      <c r="BK237">
        <v>3483.81</v>
      </c>
      <c r="BL237">
        <v>833.84</v>
      </c>
      <c r="BM237">
        <v>2169.65</v>
      </c>
      <c r="BN237" s="14">
        <f t="shared" si="43"/>
        <v>1.0772779798479348E-2</v>
      </c>
      <c r="BO237" s="14">
        <f t="shared" si="35"/>
        <v>2.8950542822677949E-2</v>
      </c>
      <c r="BP237" s="14">
        <f t="shared" si="36"/>
        <v>7.1433277649024518E-4</v>
      </c>
      <c r="BQ237" s="14">
        <f t="shared" si="37"/>
        <v>3.4475846863098791E-2</v>
      </c>
      <c r="BR237" s="14">
        <f t="shared" si="38"/>
        <v>1.9211246056374254E-3</v>
      </c>
      <c r="BS237" s="14">
        <f t="shared" si="39"/>
        <v>-4.3344576765104059E-2</v>
      </c>
      <c r="BT237" s="14">
        <f t="shared" si="40"/>
        <v>-1.7920189748510618E-2</v>
      </c>
      <c r="BV237" s="749">
        <v>44120</v>
      </c>
      <c r="BW237">
        <f t="shared" si="41"/>
        <v>1.6739590040265619</v>
      </c>
      <c r="BX237">
        <f t="shared" si="42"/>
        <v>3.4474879612922509</v>
      </c>
    </row>
    <row r="238" spans="1:76" x14ac:dyDescent="0.3">
      <c r="A238" s="749">
        <v>44113</v>
      </c>
      <c r="B238">
        <v>82900</v>
      </c>
      <c r="C238">
        <v>2398.0419999999999</v>
      </c>
      <c r="D238">
        <v>59700</v>
      </c>
      <c r="E238">
        <v>49.89</v>
      </c>
      <c r="F238">
        <v>11725.85</v>
      </c>
      <c r="G238">
        <v>2430.34</v>
      </c>
      <c r="H238">
        <v>871.62</v>
      </c>
      <c r="I238">
        <v>317.47000000000003</v>
      </c>
      <c r="J238">
        <v>2209.2399999999998</v>
      </c>
      <c r="K238">
        <v>11730000</v>
      </c>
      <c r="L238">
        <v>3477.13</v>
      </c>
      <c r="AO238" s="749">
        <v>44113</v>
      </c>
      <c r="AP238">
        <v>11725.85</v>
      </c>
      <c r="AQ238">
        <v>2430.34</v>
      </c>
      <c r="AR238">
        <f t="shared" si="33"/>
        <v>2.6944827427731055</v>
      </c>
      <c r="AS238">
        <f t="shared" si="34"/>
        <v>1.2399314306704898</v>
      </c>
      <c r="BF238" s="749">
        <v>44113</v>
      </c>
      <c r="BG238">
        <v>11725.85</v>
      </c>
      <c r="BH238">
        <v>82900</v>
      </c>
      <c r="BI238">
        <v>2398.0419999999999</v>
      </c>
      <c r="BJ238">
        <v>49.89</v>
      </c>
      <c r="BK238">
        <v>3477.13</v>
      </c>
      <c r="BL238">
        <v>871.62</v>
      </c>
      <c r="BM238">
        <v>2209.2399999999998</v>
      </c>
      <c r="BN238" s="14">
        <f t="shared" si="43"/>
        <v>4.1770873220566607E-2</v>
      </c>
      <c r="BO238" s="14">
        <f t="shared" si="35"/>
        <v>-1.3095238095238049E-2</v>
      </c>
      <c r="BP238" s="14">
        <f t="shared" si="36"/>
        <v>7.9652950331881689E-2</v>
      </c>
      <c r="BQ238" s="14">
        <f t="shared" si="37"/>
        <v>7.1750805585392152E-2</v>
      </c>
      <c r="BR238" s="14">
        <f t="shared" si="38"/>
        <v>3.8432822448662751E-2</v>
      </c>
      <c r="BS238" s="14">
        <f t="shared" si="39"/>
        <v>2.7671991982550326E-2</v>
      </c>
      <c r="BT238" s="14">
        <f t="shared" si="40"/>
        <v>2.3388535031847013E-2</v>
      </c>
      <c r="BV238" s="749">
        <v>44113</v>
      </c>
      <c r="BW238">
        <f t="shared" si="41"/>
        <v>1.6707492864624878</v>
      </c>
      <c r="BX238">
        <f t="shared" si="42"/>
        <v>3.445027065543437</v>
      </c>
    </row>
    <row r="239" spans="1:76" x14ac:dyDescent="0.3">
      <c r="A239" s="749">
        <v>44106</v>
      </c>
      <c r="B239">
        <v>84000</v>
      </c>
      <c r="C239">
        <v>2221.123</v>
      </c>
      <c r="D239">
        <v>58200</v>
      </c>
      <c r="E239">
        <v>46.55</v>
      </c>
      <c r="F239">
        <v>11255.69</v>
      </c>
      <c r="G239">
        <v>2370.2800000000002</v>
      </c>
      <c r="H239">
        <v>848.15</v>
      </c>
      <c r="I239">
        <v>309.44</v>
      </c>
      <c r="J239">
        <v>2158.75</v>
      </c>
      <c r="K239">
        <v>7860000</v>
      </c>
      <c r="L239">
        <v>3348.44</v>
      </c>
      <c r="AO239" s="749">
        <v>44106</v>
      </c>
      <c r="AP239">
        <v>11255.69</v>
      </c>
      <c r="AQ239">
        <v>2370.2800000000002</v>
      </c>
      <c r="AR239">
        <f t="shared" si="33"/>
        <v>2.5864446895537481</v>
      </c>
      <c r="AS239">
        <f t="shared" si="34"/>
        <v>1.2092895115455651</v>
      </c>
      <c r="BF239" s="749">
        <v>44106</v>
      </c>
      <c r="BG239">
        <v>11255.69</v>
      </c>
      <c r="BH239">
        <v>84000</v>
      </c>
      <c r="BI239">
        <v>2221.123</v>
      </c>
      <c r="BJ239">
        <v>46.55</v>
      </c>
      <c r="BK239">
        <v>3348.44</v>
      </c>
      <c r="BL239">
        <v>848.15</v>
      </c>
      <c r="BM239">
        <v>2158.75</v>
      </c>
      <c r="BN239" s="14">
        <f t="shared" si="43"/>
        <v>9.3766281982186062E-3</v>
      </c>
      <c r="BO239" s="14">
        <f t="shared" si="35"/>
        <v>1.3268998793727338E-2</v>
      </c>
      <c r="BP239" s="14">
        <f t="shared" si="36"/>
        <v>1.987662058879569E-2</v>
      </c>
      <c r="BQ239" s="14">
        <f t="shared" si="37"/>
        <v>-5.2706552706552778E-2</v>
      </c>
      <c r="BR239" s="14">
        <f t="shared" si="38"/>
        <v>1.5152525724125843E-2</v>
      </c>
      <c r="BS239" s="14">
        <f t="shared" si="39"/>
        <v>4.9326965902904973E-2</v>
      </c>
      <c r="BT239" s="14">
        <f t="shared" si="40"/>
        <v>1.7874992927330524E-2</v>
      </c>
      <c r="BV239" s="749">
        <v>44106</v>
      </c>
      <c r="BW239">
        <f t="shared" si="41"/>
        <v>1.608914173689926</v>
      </c>
      <c r="BX239">
        <f t="shared" si="42"/>
        <v>3.1908652354300031</v>
      </c>
    </row>
    <row r="240" spans="1:76" x14ac:dyDescent="0.3">
      <c r="A240" s="749">
        <v>44099</v>
      </c>
      <c r="B240">
        <v>82900</v>
      </c>
      <c r="C240">
        <v>2177.835</v>
      </c>
      <c r="D240">
        <v>57900</v>
      </c>
      <c r="E240">
        <v>49.14</v>
      </c>
      <c r="F240">
        <v>11151.13</v>
      </c>
      <c r="G240">
        <v>2325.73</v>
      </c>
      <c r="H240">
        <v>808.28</v>
      </c>
      <c r="I240">
        <v>303.57</v>
      </c>
      <c r="J240">
        <v>2120.84</v>
      </c>
      <c r="K240">
        <v>22290000</v>
      </c>
      <c r="L240">
        <v>3298.46</v>
      </c>
      <c r="AO240" s="749">
        <v>44099</v>
      </c>
      <c r="AP240">
        <v>11151.13</v>
      </c>
      <c r="AQ240">
        <v>2325.73</v>
      </c>
      <c r="AR240">
        <f t="shared" si="33"/>
        <v>2.5624178500850219</v>
      </c>
      <c r="AS240">
        <f t="shared" si="34"/>
        <v>1.1865606154913626</v>
      </c>
      <c r="BF240" s="749">
        <v>44099</v>
      </c>
      <c r="BG240">
        <v>11151.13</v>
      </c>
      <c r="BH240">
        <v>82900</v>
      </c>
      <c r="BI240">
        <v>2177.835</v>
      </c>
      <c r="BJ240">
        <v>49.14</v>
      </c>
      <c r="BK240">
        <v>3298.46</v>
      </c>
      <c r="BL240">
        <v>808.28</v>
      </c>
      <c r="BM240">
        <v>2120.84</v>
      </c>
      <c r="BN240" s="14">
        <f t="shared" si="43"/>
        <v>1.9580359477662013E-2</v>
      </c>
      <c r="BO240" s="14">
        <f t="shared" si="35"/>
        <v>-9.5579450418160627E-3</v>
      </c>
      <c r="BP240" s="14">
        <f t="shared" si="36"/>
        <v>7.8034328996394731E-3</v>
      </c>
      <c r="BQ240" s="14">
        <f t="shared" si="37"/>
        <v>-3.1533307055577442E-2</v>
      </c>
      <c r="BR240" s="14">
        <f t="shared" si="38"/>
        <v>-6.3293236570897138E-3</v>
      </c>
      <c r="BS240" s="14">
        <f t="shared" si="39"/>
        <v>-9.067590675906767E-2</v>
      </c>
      <c r="BT240" s="14">
        <f t="shared" si="40"/>
        <v>-4.390868436237727E-2</v>
      </c>
      <c r="BV240" s="749">
        <v>44099</v>
      </c>
      <c r="BW240">
        <f t="shared" si="41"/>
        <v>1.5848989515563288</v>
      </c>
      <c r="BX240">
        <f t="shared" si="42"/>
        <v>3.1286776959235043</v>
      </c>
    </row>
    <row r="241" spans="1:76" x14ac:dyDescent="0.3">
      <c r="A241" s="749">
        <v>44092</v>
      </c>
      <c r="B241">
        <v>83700</v>
      </c>
      <c r="C241">
        <v>2160.9720000000002</v>
      </c>
      <c r="D241">
        <v>59300</v>
      </c>
      <c r="E241">
        <v>50.74</v>
      </c>
      <c r="F241">
        <v>10936.98</v>
      </c>
      <c r="G241">
        <v>2437.02</v>
      </c>
      <c r="H241">
        <v>888.88</v>
      </c>
      <c r="I241">
        <v>318.39</v>
      </c>
      <c r="J241">
        <v>2218.2399999999998</v>
      </c>
      <c r="K241">
        <v>22370000</v>
      </c>
      <c r="L241">
        <v>3319.47</v>
      </c>
      <c r="AO241" s="749">
        <v>44092</v>
      </c>
      <c r="AP241">
        <v>10936.98</v>
      </c>
      <c r="AQ241">
        <v>2437.02</v>
      </c>
      <c r="AR241">
        <f t="shared" si="33"/>
        <v>2.5132083275885839</v>
      </c>
      <c r="AS241">
        <f t="shared" si="34"/>
        <v>1.243339489607461</v>
      </c>
      <c r="BF241" s="749">
        <v>44092</v>
      </c>
      <c r="BG241">
        <v>10936.98</v>
      </c>
      <c r="BH241">
        <v>83700</v>
      </c>
      <c r="BI241">
        <v>2160.9720000000002</v>
      </c>
      <c r="BJ241">
        <v>50.74</v>
      </c>
      <c r="BK241">
        <v>3319.47</v>
      </c>
      <c r="BL241">
        <v>888.88</v>
      </c>
      <c r="BM241">
        <v>2218.2399999999998</v>
      </c>
      <c r="BN241" s="14">
        <f t="shared" si="43"/>
        <v>-1.356675144758912E-2</v>
      </c>
      <c r="BO241" s="14">
        <f t="shared" si="35"/>
        <v>6.7602040816326481E-2</v>
      </c>
      <c r="BP241" s="14">
        <f t="shared" si="36"/>
        <v>1.1514375064654025E-2</v>
      </c>
      <c r="BQ241" s="14">
        <f t="shared" si="37"/>
        <v>0.10088956389672377</v>
      </c>
      <c r="BR241" s="14">
        <f t="shared" si="38"/>
        <v>-6.4352568266102805E-3</v>
      </c>
      <c r="BS241" s="14">
        <f t="shared" si="39"/>
        <v>4.9525010130113678E-4</v>
      </c>
      <c r="BT241" s="14">
        <f t="shared" si="40"/>
        <v>7.0046894648199132E-3</v>
      </c>
      <c r="BV241" s="749">
        <v>44092</v>
      </c>
      <c r="BW241">
        <f t="shared" si="41"/>
        <v>1.59499418599064</v>
      </c>
      <c r="BX241">
        <f t="shared" si="42"/>
        <v>3.1044523106273925</v>
      </c>
    </row>
    <row r="242" spans="1:76" x14ac:dyDescent="0.3">
      <c r="A242" s="749">
        <v>44085</v>
      </c>
      <c r="B242">
        <v>78400</v>
      </c>
      <c r="C242">
        <v>2136.373</v>
      </c>
      <c r="D242">
        <v>59000</v>
      </c>
      <c r="E242">
        <v>46.09</v>
      </c>
      <c r="F242">
        <v>11087.4</v>
      </c>
      <c r="G242">
        <v>2421.44</v>
      </c>
      <c r="H242">
        <v>888.44</v>
      </c>
      <c r="I242">
        <v>316.45</v>
      </c>
      <c r="J242">
        <v>2202.81</v>
      </c>
      <c r="K242">
        <v>16460000</v>
      </c>
      <c r="L242">
        <v>3340.97</v>
      </c>
      <c r="AO242" s="749">
        <v>44085</v>
      </c>
      <c r="AP242">
        <v>11087.4</v>
      </c>
      <c r="AQ242">
        <v>2421.44</v>
      </c>
      <c r="AR242">
        <f t="shared" si="33"/>
        <v>2.5477733351716529</v>
      </c>
      <c r="AS242">
        <f t="shared" si="34"/>
        <v>1.2353907533442854</v>
      </c>
      <c r="BF242" s="749">
        <v>44085</v>
      </c>
      <c r="BG242">
        <v>11087.4</v>
      </c>
      <c r="BH242">
        <v>78400</v>
      </c>
      <c r="BI242">
        <v>2136.373</v>
      </c>
      <c r="BJ242">
        <v>46.09</v>
      </c>
      <c r="BK242">
        <v>3340.97</v>
      </c>
      <c r="BL242">
        <v>888.44</v>
      </c>
      <c r="BM242">
        <v>2202.81</v>
      </c>
      <c r="BN242" s="14">
        <f t="shared" si="43"/>
        <v>-4.6009638508603845E-2</v>
      </c>
      <c r="BO242" s="14">
        <f t="shared" si="35"/>
        <v>-3.8119440914866631E-3</v>
      </c>
      <c r="BP242" s="14">
        <f t="shared" si="36"/>
        <v>-3.4506742133123436E-2</v>
      </c>
      <c r="BQ242" s="14">
        <f t="shared" si="37"/>
        <v>-8.3907056798622204E-3</v>
      </c>
      <c r="BR242" s="14">
        <f t="shared" si="38"/>
        <v>-2.5092210005369209E-2</v>
      </c>
      <c r="BS242" s="14">
        <f t="shared" si="39"/>
        <v>2.5864856126737834E-2</v>
      </c>
      <c r="BT242" s="14">
        <f t="shared" si="40"/>
        <v>1.1823230304951027E-2</v>
      </c>
      <c r="BV242" s="749">
        <v>44085</v>
      </c>
      <c r="BW242">
        <f t="shared" si="41"/>
        <v>1.6053248637792021</v>
      </c>
      <c r="BX242">
        <f t="shared" si="42"/>
        <v>3.0691133879624419</v>
      </c>
    </row>
    <row r="243" spans="1:76" x14ac:dyDescent="0.3">
      <c r="A243" s="749">
        <v>44078</v>
      </c>
      <c r="B243">
        <v>78700</v>
      </c>
      <c r="C243">
        <v>2212.7269999999999</v>
      </c>
      <c r="D243">
        <v>55600</v>
      </c>
      <c r="E243">
        <v>46.48</v>
      </c>
      <c r="F243">
        <v>11622.13</v>
      </c>
      <c r="G243">
        <v>2390.04</v>
      </c>
      <c r="H243">
        <v>866.04</v>
      </c>
      <c r="I243">
        <v>312.02999999999997</v>
      </c>
      <c r="J243">
        <v>2177.0700000000002</v>
      </c>
      <c r="K243">
        <v>21610000</v>
      </c>
      <c r="L243">
        <v>3426.96</v>
      </c>
      <c r="AO243" s="749">
        <v>44078</v>
      </c>
      <c r="AP243">
        <v>11622.13</v>
      </c>
      <c r="AQ243">
        <v>2390.04</v>
      </c>
      <c r="AR243">
        <f t="shared" si="33"/>
        <v>2.6706489268808307</v>
      </c>
      <c r="AS243">
        <f t="shared" si="34"/>
        <v>1.2193708355866657</v>
      </c>
      <c r="BF243" s="749">
        <v>44078</v>
      </c>
      <c r="BG243">
        <v>11622.13</v>
      </c>
      <c r="BH243">
        <v>78700</v>
      </c>
      <c r="BI243">
        <v>2212.7269999999999</v>
      </c>
      <c r="BJ243">
        <v>46.48</v>
      </c>
      <c r="BK243">
        <v>3426.96</v>
      </c>
      <c r="BL243">
        <v>866.04</v>
      </c>
      <c r="BM243">
        <v>2177.0700000000002</v>
      </c>
      <c r="BN243" s="14">
        <f t="shared" si="43"/>
        <v>-3.1154107462164071E-2</v>
      </c>
      <c r="BO243" s="14">
        <f t="shared" si="35"/>
        <v>1.1568123393316254E-2</v>
      </c>
      <c r="BP243" s="14">
        <f t="shared" si="36"/>
        <v>-2.2706223165824491E-2</v>
      </c>
      <c r="BQ243" s="14">
        <f t="shared" si="37"/>
        <v>1.7290435543882765E-2</v>
      </c>
      <c r="BR243" s="14">
        <f t="shared" si="38"/>
        <v>-2.3104267091598962E-2</v>
      </c>
      <c r="BS243" s="14">
        <f t="shared" si="39"/>
        <v>2.9406870319743206E-2</v>
      </c>
      <c r="BT243" s="14">
        <f t="shared" si="40"/>
        <v>-7.277602221583801E-3</v>
      </c>
      <c r="BV243" s="749">
        <v>44078</v>
      </c>
      <c r="BW243">
        <f t="shared" si="41"/>
        <v>1.6466427699670381</v>
      </c>
      <c r="BX243">
        <f t="shared" si="42"/>
        <v>3.1788035420808862</v>
      </c>
    </row>
    <row r="244" spans="1:76" x14ac:dyDescent="0.3">
      <c r="A244" s="749">
        <v>44071</v>
      </c>
      <c r="B244">
        <v>77800</v>
      </c>
      <c r="C244">
        <v>2264.1370000000002</v>
      </c>
      <c r="D244">
        <v>55400</v>
      </c>
      <c r="E244">
        <v>45.69</v>
      </c>
      <c r="F244">
        <v>11995.85</v>
      </c>
      <c r="G244">
        <v>2400.4699999999998</v>
      </c>
      <c r="H244">
        <v>841.3</v>
      </c>
      <c r="I244">
        <v>312.24</v>
      </c>
      <c r="J244">
        <v>2193.0300000000002</v>
      </c>
      <c r="K244">
        <v>19250000</v>
      </c>
      <c r="L244">
        <v>3508.01</v>
      </c>
      <c r="AO244" s="749">
        <v>44071</v>
      </c>
      <c r="AP244">
        <v>11995.85</v>
      </c>
      <c r="AQ244">
        <v>2400.4699999999998</v>
      </c>
      <c r="AR244">
        <f t="shared" si="33"/>
        <v>2.7565260352038239</v>
      </c>
      <c r="AS244">
        <f t="shared" si="34"/>
        <v>1.2246921012622063</v>
      </c>
      <c r="BF244" s="749">
        <v>44071</v>
      </c>
      <c r="BG244">
        <v>11995.85</v>
      </c>
      <c r="BH244">
        <v>77800</v>
      </c>
      <c r="BI244">
        <v>2264.1370000000002</v>
      </c>
      <c r="BJ244">
        <v>45.69</v>
      </c>
      <c r="BK244">
        <v>3508.01</v>
      </c>
      <c r="BL244">
        <v>841.3</v>
      </c>
      <c r="BM244">
        <v>2193.0300000000002</v>
      </c>
      <c r="BN244" s="14">
        <f t="shared" si="43"/>
        <v>3.8137940106411472E-2</v>
      </c>
      <c r="BO244" s="14">
        <f t="shared" si="35"/>
        <v>4.429530201342291E-2</v>
      </c>
      <c r="BP244" s="14">
        <f t="shared" si="36"/>
        <v>2.9934527602986094E-2</v>
      </c>
      <c r="BQ244" s="14">
        <f t="shared" si="37"/>
        <v>7.1026722925457086E-2</v>
      </c>
      <c r="BR244" s="14">
        <f t="shared" si="38"/>
        <v>3.2630196988072457E-2</v>
      </c>
      <c r="BS244" s="14">
        <f t="shared" si="39"/>
        <v>5.6896270147359873E-2</v>
      </c>
      <c r="BT244" s="14">
        <f t="shared" si="40"/>
        <v>2.3603707887195124E-2</v>
      </c>
      <c r="BV244" s="749">
        <v>44071</v>
      </c>
      <c r="BW244">
        <f t="shared" si="41"/>
        <v>1.6855870227467111</v>
      </c>
      <c r="BX244">
        <f t="shared" si="42"/>
        <v>3.2526591465446901</v>
      </c>
    </row>
    <row r="245" spans="1:76" x14ac:dyDescent="0.3">
      <c r="A245" s="749">
        <v>44064</v>
      </c>
      <c r="B245">
        <v>74500</v>
      </c>
      <c r="C245">
        <v>2198.3310000000001</v>
      </c>
      <c r="D245">
        <v>55900</v>
      </c>
      <c r="E245">
        <v>42.66</v>
      </c>
      <c r="F245">
        <v>11555.16</v>
      </c>
      <c r="G245">
        <v>2349.64</v>
      </c>
      <c r="H245">
        <v>796.01</v>
      </c>
      <c r="I245">
        <v>306.16000000000003</v>
      </c>
      <c r="J245">
        <v>2142.46</v>
      </c>
      <c r="K245">
        <v>27930000</v>
      </c>
      <c r="L245">
        <v>3397.16</v>
      </c>
      <c r="AO245" s="749">
        <v>44064</v>
      </c>
      <c r="AP245">
        <v>11555.16</v>
      </c>
      <c r="AQ245">
        <v>2349.64</v>
      </c>
      <c r="AR245">
        <f t="shared" si="33"/>
        <v>2.6552598924582931</v>
      </c>
      <c r="AS245">
        <f t="shared" si="34"/>
        <v>1.19875922165648</v>
      </c>
      <c r="BF245" s="749">
        <v>44064</v>
      </c>
      <c r="BG245">
        <v>11555.16</v>
      </c>
      <c r="BH245">
        <v>74500</v>
      </c>
      <c r="BI245">
        <v>2198.3310000000001</v>
      </c>
      <c r="BJ245">
        <v>42.66</v>
      </c>
      <c r="BK245">
        <v>3397.16</v>
      </c>
      <c r="BL245">
        <v>796.01</v>
      </c>
      <c r="BM245">
        <v>2142.46</v>
      </c>
      <c r="BN245" s="14">
        <f t="shared" si="43"/>
        <v>3.4995902171625071E-2</v>
      </c>
      <c r="BO245" s="14">
        <f t="shared" si="35"/>
        <v>-7.1072319201994971E-2</v>
      </c>
      <c r="BP245" s="14">
        <f t="shared" si="36"/>
        <v>-1.124587991853887E-3</v>
      </c>
      <c r="BQ245" s="14">
        <f t="shared" si="37"/>
        <v>-6.4473684210526461E-2</v>
      </c>
      <c r="BR245" s="14">
        <f t="shared" si="38"/>
        <v>7.2075544420890925E-3</v>
      </c>
      <c r="BS245" s="14">
        <f t="shared" si="39"/>
        <v>-4.6728860040956555E-2</v>
      </c>
      <c r="BT245" s="14">
        <f t="shared" si="40"/>
        <v>-3.9548478490863737E-2</v>
      </c>
      <c r="BV245" s="749">
        <v>44064</v>
      </c>
      <c r="BW245">
        <f t="shared" si="41"/>
        <v>1.6323239700554493</v>
      </c>
      <c r="BX245">
        <f t="shared" si="42"/>
        <v>3.1581222489110576</v>
      </c>
    </row>
    <row r="246" spans="1:76" x14ac:dyDescent="0.3">
      <c r="A246" s="749">
        <v>44057</v>
      </c>
      <c r="B246">
        <v>80200</v>
      </c>
      <c r="C246">
        <v>2200.806</v>
      </c>
      <c r="D246">
        <v>58000</v>
      </c>
      <c r="E246">
        <v>45.6</v>
      </c>
      <c r="F246">
        <v>11164.45</v>
      </c>
      <c r="G246">
        <v>2449.9299999999998</v>
      </c>
      <c r="H246">
        <v>835.03</v>
      </c>
      <c r="I246">
        <v>319.24</v>
      </c>
      <c r="J246">
        <v>2230.6799999999998</v>
      </c>
      <c r="K246">
        <v>16750000</v>
      </c>
      <c r="L246">
        <v>3372.85</v>
      </c>
      <c r="AO246" s="749">
        <v>44057</v>
      </c>
      <c r="AP246">
        <v>11164.45</v>
      </c>
      <c r="AQ246">
        <v>2449.9299999999998</v>
      </c>
      <c r="AR246">
        <f t="shared" si="33"/>
        <v>2.5654786525116045</v>
      </c>
      <c r="AS246">
        <f t="shared" si="34"/>
        <v>1.2499260226727753</v>
      </c>
      <c r="BF246" s="749">
        <v>44057</v>
      </c>
      <c r="BG246">
        <v>11164.45</v>
      </c>
      <c r="BH246">
        <v>80200</v>
      </c>
      <c r="BI246">
        <v>2200.806</v>
      </c>
      <c r="BJ246">
        <v>45.6</v>
      </c>
      <c r="BK246">
        <v>3372.85</v>
      </c>
      <c r="BL246">
        <v>835.03</v>
      </c>
      <c r="BM246">
        <v>2230.6799999999998</v>
      </c>
      <c r="BN246" s="14">
        <f t="shared" si="43"/>
        <v>2.2496743538023001E-3</v>
      </c>
      <c r="BO246" s="14">
        <f t="shared" si="35"/>
        <v>-4.9627791563275903E-3</v>
      </c>
      <c r="BP246" s="14">
        <f t="shared" si="36"/>
        <v>1.007038530169857E-2</v>
      </c>
      <c r="BQ246" s="14">
        <f t="shared" si="37"/>
        <v>-6.461538461538463E-2</v>
      </c>
      <c r="BR246" s="14">
        <f t="shared" si="38"/>
        <v>6.4363467093169202E-3</v>
      </c>
      <c r="BS246" s="14">
        <f t="shared" si="39"/>
        <v>-2.6351690122780269E-2</v>
      </c>
      <c r="BT246" s="14">
        <f t="shared" si="40"/>
        <v>1.9608918629843819E-2</v>
      </c>
      <c r="BV246" s="749">
        <v>44057</v>
      </c>
      <c r="BW246">
        <f t="shared" si="41"/>
        <v>1.620643096704754</v>
      </c>
      <c r="BX246">
        <f t="shared" si="42"/>
        <v>3.1616778338371012</v>
      </c>
    </row>
    <row r="247" spans="1:76" x14ac:dyDescent="0.3">
      <c r="A247" s="749">
        <v>44050</v>
      </c>
      <c r="B247">
        <v>80600</v>
      </c>
      <c r="C247">
        <v>2178.864</v>
      </c>
      <c r="D247">
        <v>57500</v>
      </c>
      <c r="E247">
        <v>48.75</v>
      </c>
      <c r="F247">
        <v>11139.39</v>
      </c>
      <c r="G247">
        <v>2398.77</v>
      </c>
      <c r="H247">
        <v>857.63</v>
      </c>
      <c r="I247">
        <v>312.57</v>
      </c>
      <c r="J247">
        <v>2187.7800000000002</v>
      </c>
      <c r="K247">
        <v>19360000</v>
      </c>
      <c r="L247">
        <v>3351.28</v>
      </c>
      <c r="AO247" s="749">
        <v>44050</v>
      </c>
      <c r="AP247">
        <v>11139.39</v>
      </c>
      <c r="AQ247">
        <v>2398.77</v>
      </c>
      <c r="AR247">
        <f t="shared" si="33"/>
        <v>2.5597201158141458</v>
      </c>
      <c r="AS247">
        <f t="shared" si="34"/>
        <v>1.223824780874055</v>
      </c>
      <c r="BF247" s="749">
        <v>44050</v>
      </c>
      <c r="BG247">
        <v>11139.39</v>
      </c>
      <c r="BH247">
        <v>80600</v>
      </c>
      <c r="BI247">
        <v>2178.864</v>
      </c>
      <c r="BJ247">
        <v>48.75</v>
      </c>
      <c r="BK247">
        <v>3351.28</v>
      </c>
      <c r="BL247">
        <v>857.63</v>
      </c>
      <c r="BM247">
        <v>2187.7800000000002</v>
      </c>
      <c r="BN247" s="14">
        <f t="shared" si="43"/>
        <v>2.1411385417774653E-2</v>
      </c>
      <c r="BO247" s="14">
        <f t="shared" si="35"/>
        <v>-2.6570048309178751E-2</v>
      </c>
      <c r="BP247" s="14">
        <f t="shared" si="36"/>
        <v>1.9870699097365163E-2</v>
      </c>
      <c r="BQ247" s="14">
        <f t="shared" si="37"/>
        <v>-2.6071321546299098E-2</v>
      </c>
      <c r="BR247" s="14">
        <f t="shared" si="38"/>
        <v>2.4505368191934274E-2</v>
      </c>
      <c r="BS247" s="14">
        <f t="shared" si="39"/>
        <v>5.1919538820066391E-2</v>
      </c>
      <c r="BT247" s="14">
        <f t="shared" si="40"/>
        <v>4.8776863228237266E-2</v>
      </c>
      <c r="BV247" s="749">
        <v>44050</v>
      </c>
      <c r="BW247">
        <f t="shared" si="41"/>
        <v>1.6102787841512991</v>
      </c>
      <c r="BX247">
        <f t="shared" si="42"/>
        <v>3.1301559572927564</v>
      </c>
    </row>
    <row r="248" spans="1:76" x14ac:dyDescent="0.3">
      <c r="A248" s="749">
        <v>44043</v>
      </c>
      <c r="B248">
        <v>82800</v>
      </c>
      <c r="C248">
        <v>2136.4119999999998</v>
      </c>
      <c r="D248">
        <v>57900</v>
      </c>
      <c r="E248">
        <v>50.055</v>
      </c>
      <c r="F248">
        <v>10905.88</v>
      </c>
      <c r="G248">
        <v>2292.27</v>
      </c>
      <c r="H248">
        <v>815.3</v>
      </c>
      <c r="I248">
        <v>299.32</v>
      </c>
      <c r="J248">
        <v>2086.0300000000002</v>
      </c>
      <c r="K248">
        <v>22760000</v>
      </c>
      <c r="L248">
        <v>3271.12</v>
      </c>
      <c r="AO248" s="749">
        <v>44043</v>
      </c>
      <c r="AP248">
        <v>10905.88</v>
      </c>
      <c r="AQ248">
        <v>2292.27</v>
      </c>
      <c r="AR248">
        <f t="shared" si="33"/>
        <v>2.5060618594604529</v>
      </c>
      <c r="AS248">
        <f t="shared" si="34"/>
        <v>1.1694897094986889</v>
      </c>
      <c r="BF248" s="749">
        <v>44043</v>
      </c>
      <c r="BG248">
        <v>10905.88</v>
      </c>
      <c r="BH248">
        <v>82800</v>
      </c>
      <c r="BI248">
        <v>2136.4119999999998</v>
      </c>
      <c r="BJ248">
        <v>50.055</v>
      </c>
      <c r="BK248">
        <v>3271.12</v>
      </c>
      <c r="BL248">
        <v>815.3</v>
      </c>
      <c r="BM248">
        <v>2086.0300000000002</v>
      </c>
      <c r="BN248" s="14">
        <f t="shared" si="43"/>
        <v>4.0326696320659883E-2</v>
      </c>
      <c r="BO248" s="14">
        <f t="shared" si="35"/>
        <v>-1.0752688172043001E-2</v>
      </c>
      <c r="BP248" s="14">
        <f t="shared" si="36"/>
        <v>4.7922413759275306E-2</v>
      </c>
      <c r="BQ248" s="14">
        <f t="shared" si="37"/>
        <v>6.9972011195518213E-4</v>
      </c>
      <c r="BR248" s="14">
        <f t="shared" si="38"/>
        <v>1.7256338571290719E-2</v>
      </c>
      <c r="BS248" s="14">
        <f t="shared" si="39"/>
        <v>2.5792652239557068E-2</v>
      </c>
      <c r="BT248" s="14">
        <f t="shared" si="40"/>
        <v>2.9487533805792054E-2</v>
      </c>
      <c r="BV248" s="749">
        <v>44043</v>
      </c>
      <c r="BW248">
        <f t="shared" si="41"/>
        <v>1.5717621733824081</v>
      </c>
      <c r="BX248">
        <f t="shared" si="42"/>
        <v>3.0691694153612761</v>
      </c>
    </row>
    <row r="249" spans="1:76" x14ac:dyDescent="0.3">
      <c r="A249" s="749">
        <v>44036</v>
      </c>
      <c r="B249">
        <v>83700</v>
      </c>
      <c r="C249">
        <v>2038.712</v>
      </c>
      <c r="D249">
        <v>54200</v>
      </c>
      <c r="E249">
        <v>50.02</v>
      </c>
      <c r="F249">
        <v>10483.129999999999</v>
      </c>
      <c r="G249">
        <v>2227.56</v>
      </c>
      <c r="H249">
        <v>794.8</v>
      </c>
      <c r="I249">
        <v>290.66000000000003</v>
      </c>
      <c r="J249">
        <v>2026.28</v>
      </c>
      <c r="K249">
        <v>16320000</v>
      </c>
      <c r="L249">
        <v>3215.63</v>
      </c>
      <c r="AO249" s="749">
        <v>44036</v>
      </c>
      <c r="AP249">
        <v>10483.129999999999</v>
      </c>
      <c r="AQ249">
        <v>2227.56</v>
      </c>
      <c r="AR249">
        <f t="shared" si="33"/>
        <v>2.4089181488119857</v>
      </c>
      <c r="AS249">
        <f t="shared" si="34"/>
        <v>1.1364754140179383</v>
      </c>
      <c r="BF249" s="749">
        <v>44036</v>
      </c>
      <c r="BG249">
        <v>10483.129999999999</v>
      </c>
      <c r="BH249">
        <v>83700</v>
      </c>
      <c r="BI249">
        <v>2038.712</v>
      </c>
      <c r="BJ249">
        <v>50.02</v>
      </c>
      <c r="BK249">
        <v>3215.63</v>
      </c>
      <c r="BL249">
        <v>794.8</v>
      </c>
      <c r="BM249">
        <v>2026.28</v>
      </c>
      <c r="BN249" s="14">
        <f t="shared" si="43"/>
        <v>-1.5226552386892966E-2</v>
      </c>
      <c r="BO249" s="14">
        <f t="shared" si="35"/>
        <v>9.6501809408926498E-3</v>
      </c>
      <c r="BP249" s="14">
        <f t="shared" si="36"/>
        <v>-1.4634193495376868E-2</v>
      </c>
      <c r="BQ249" s="14">
        <f t="shared" si="37"/>
        <v>1.1117849201536467E-2</v>
      </c>
      <c r="BR249" s="14">
        <f t="shared" si="38"/>
        <v>-2.8219416819392773E-3</v>
      </c>
      <c r="BS249" s="14">
        <f t="shared" si="39"/>
        <v>1.4785117846837226E-2</v>
      </c>
      <c r="BT249" s="14">
        <f t="shared" si="40"/>
        <v>-6.5355631713905904E-3</v>
      </c>
      <c r="BV249" s="749">
        <v>44036</v>
      </c>
      <c r="BW249">
        <f t="shared" si="41"/>
        <v>1.5450994147550909</v>
      </c>
      <c r="BX249">
        <f t="shared" si="42"/>
        <v>2.9288135982806773</v>
      </c>
    </row>
    <row r="250" spans="1:76" x14ac:dyDescent="0.3">
      <c r="A250" s="749">
        <v>44029</v>
      </c>
      <c r="B250">
        <v>82900</v>
      </c>
      <c r="C250">
        <v>2068.9899999999998</v>
      </c>
      <c r="D250">
        <v>54400</v>
      </c>
      <c r="E250">
        <v>49.47</v>
      </c>
      <c r="F250">
        <v>10645.22</v>
      </c>
      <c r="G250">
        <v>2244.5700000000002</v>
      </c>
      <c r="H250">
        <v>783.22</v>
      </c>
      <c r="I250">
        <v>291.57</v>
      </c>
      <c r="J250">
        <v>2039.61</v>
      </c>
      <c r="K250">
        <v>11050000</v>
      </c>
      <c r="L250">
        <v>3224.73</v>
      </c>
      <c r="AO250" s="749">
        <v>44029</v>
      </c>
      <c r="AP250">
        <v>10645.22</v>
      </c>
      <c r="AQ250">
        <v>2244.5700000000002</v>
      </c>
      <c r="AR250">
        <f t="shared" si="33"/>
        <v>2.4461648053678937</v>
      </c>
      <c r="AS250">
        <f t="shared" si="34"/>
        <v>1.1451537197840884</v>
      </c>
      <c r="BF250" s="749">
        <v>44029</v>
      </c>
      <c r="BG250">
        <v>10645.22</v>
      </c>
      <c r="BH250">
        <v>82900</v>
      </c>
      <c r="BI250">
        <v>2068.9899999999998</v>
      </c>
      <c r="BJ250">
        <v>49.47</v>
      </c>
      <c r="BK250">
        <v>3224.73</v>
      </c>
      <c r="BL250">
        <v>783.22</v>
      </c>
      <c r="BM250">
        <v>2039.61</v>
      </c>
      <c r="BN250" s="14">
        <f t="shared" si="43"/>
        <v>-1.763604467564206E-2</v>
      </c>
      <c r="BO250" s="14">
        <f t="shared" si="35"/>
        <v>1.2077294685990392E-3</v>
      </c>
      <c r="BP250" s="14">
        <f t="shared" si="36"/>
        <v>-3.8409786523729839E-4</v>
      </c>
      <c r="BQ250" s="14">
        <f t="shared" si="37"/>
        <v>-2.4260355029585901E-2</v>
      </c>
      <c r="BR250" s="14">
        <f t="shared" si="38"/>
        <v>1.246138196066604E-2</v>
      </c>
      <c r="BS250" s="14">
        <f t="shared" si="39"/>
        <v>1.3470322588993611E-2</v>
      </c>
      <c r="BT250" s="14">
        <f t="shared" si="40"/>
        <v>2.0049811954869101E-2</v>
      </c>
      <c r="BV250" s="749">
        <v>44029</v>
      </c>
      <c r="BW250">
        <f t="shared" si="41"/>
        <v>1.5494719341911802</v>
      </c>
      <c r="BX250">
        <f t="shared" si="42"/>
        <v>2.9723109721759315</v>
      </c>
    </row>
    <row r="251" spans="1:76" x14ac:dyDescent="0.3">
      <c r="A251" s="749">
        <v>44022</v>
      </c>
      <c r="B251">
        <v>82800</v>
      </c>
      <c r="C251">
        <v>2069.7849999999999</v>
      </c>
      <c r="D251">
        <v>52700</v>
      </c>
      <c r="E251">
        <v>50.7</v>
      </c>
      <c r="F251">
        <v>10836.33</v>
      </c>
      <c r="G251">
        <v>2196.39</v>
      </c>
      <c r="H251">
        <v>772.81</v>
      </c>
      <c r="I251">
        <v>285.06</v>
      </c>
      <c r="J251">
        <v>1999.52</v>
      </c>
      <c r="K251">
        <v>15490000</v>
      </c>
      <c r="L251">
        <v>3185.04</v>
      </c>
      <c r="AO251" s="749">
        <v>44022</v>
      </c>
      <c r="AP251">
        <v>10836.33</v>
      </c>
      <c r="AQ251">
        <v>2196.39</v>
      </c>
      <c r="AR251">
        <f t="shared" si="33"/>
        <v>2.490079966910244</v>
      </c>
      <c r="AS251">
        <f t="shared" si="34"/>
        <v>1.1205728396069508</v>
      </c>
      <c r="BF251" s="749">
        <v>44022</v>
      </c>
      <c r="BG251">
        <v>10836.33</v>
      </c>
      <c r="BH251">
        <v>82800</v>
      </c>
      <c r="BI251">
        <v>2069.7849999999999</v>
      </c>
      <c r="BJ251">
        <v>50.7</v>
      </c>
      <c r="BK251">
        <v>3185.04</v>
      </c>
      <c r="BL251">
        <v>772.81</v>
      </c>
      <c r="BM251">
        <v>1999.52</v>
      </c>
      <c r="BN251" s="14">
        <f t="shared" si="43"/>
        <v>4.7809442954817705E-2</v>
      </c>
      <c r="BO251" s="14">
        <f t="shared" si="35"/>
        <v>-3.0444964871194413E-2</v>
      </c>
      <c r="BP251" s="14">
        <f t="shared" si="36"/>
        <v>3.8208017303257957E-2</v>
      </c>
      <c r="BQ251" s="14">
        <f t="shared" si="37"/>
        <v>1.7459361830222786E-2</v>
      </c>
      <c r="BR251" s="14">
        <f t="shared" si="38"/>
        <v>1.75814134779122E-2</v>
      </c>
      <c r="BS251" s="14">
        <f t="shared" si="39"/>
        <v>2.7426945677896164E-2</v>
      </c>
      <c r="BT251" s="14">
        <f t="shared" si="40"/>
        <v>-8.2951058875269101E-4</v>
      </c>
      <c r="BV251" s="749">
        <v>44022</v>
      </c>
      <c r="BW251">
        <f t="shared" si="41"/>
        <v>1.5304010224968529</v>
      </c>
      <c r="BX251">
        <f t="shared" si="42"/>
        <v>2.9734530691521761</v>
      </c>
    </row>
    <row r="252" spans="1:76" x14ac:dyDescent="0.3">
      <c r="A252" s="749">
        <v>44015</v>
      </c>
      <c r="B252">
        <v>85400</v>
      </c>
      <c r="C252">
        <v>1993.6130000000001</v>
      </c>
      <c r="D252">
        <v>53600</v>
      </c>
      <c r="E252">
        <v>49.83</v>
      </c>
      <c r="F252">
        <v>10341.89</v>
      </c>
      <c r="G252">
        <v>2201.11</v>
      </c>
      <c r="H252">
        <v>752.18</v>
      </c>
      <c r="I252">
        <v>285.89</v>
      </c>
      <c r="J252">
        <v>2001.18</v>
      </c>
      <c r="K252">
        <v>15790000</v>
      </c>
      <c r="L252">
        <v>3130.01</v>
      </c>
      <c r="AO252" s="749">
        <v>44015</v>
      </c>
      <c r="AP252">
        <v>10341.89</v>
      </c>
      <c r="AQ252">
        <v>2201.11</v>
      </c>
      <c r="AR252">
        <f t="shared" si="33"/>
        <v>2.3764626131715612</v>
      </c>
      <c r="AS252">
        <f t="shared" si="34"/>
        <v>1.12298092915523</v>
      </c>
      <c r="BF252" s="749">
        <v>44015</v>
      </c>
      <c r="BG252">
        <v>10341.89</v>
      </c>
      <c r="BH252">
        <v>85400</v>
      </c>
      <c r="BI252">
        <v>1993.6130000000001</v>
      </c>
      <c r="BJ252">
        <v>49.83</v>
      </c>
      <c r="BK252">
        <v>3130.01</v>
      </c>
      <c r="BL252">
        <v>752.18</v>
      </c>
      <c r="BM252">
        <v>2001.18</v>
      </c>
      <c r="BN252" s="14">
        <f t="shared" si="43"/>
        <v>5.0006294825247322E-2</v>
      </c>
      <c r="BO252" s="14">
        <f t="shared" si="35"/>
        <v>9.4562647754137252E-3</v>
      </c>
      <c r="BP252" s="14">
        <f t="shared" si="36"/>
        <v>3.730172192211767E-2</v>
      </c>
      <c r="BQ252" s="14">
        <f t="shared" si="37"/>
        <v>2.7634563827593217E-2</v>
      </c>
      <c r="BR252" s="14">
        <f t="shared" si="38"/>
        <v>4.0198733819644117E-2</v>
      </c>
      <c r="BS252" s="14">
        <f t="shared" si="39"/>
        <v>2.1316848303976066E-3</v>
      </c>
      <c r="BT252" s="14">
        <f t="shared" si="40"/>
        <v>8.0191007726948538E-3</v>
      </c>
      <c r="BV252" s="749">
        <v>44015</v>
      </c>
      <c r="BW252">
        <f t="shared" si="41"/>
        <v>1.5039592923245468</v>
      </c>
      <c r="BX252">
        <f t="shared" si="42"/>
        <v>2.8640243762282931</v>
      </c>
    </row>
    <row r="253" spans="1:76" x14ac:dyDescent="0.3">
      <c r="A253" s="749">
        <v>44008</v>
      </c>
      <c r="B253">
        <v>84600</v>
      </c>
      <c r="C253">
        <v>1921.922</v>
      </c>
      <c r="D253">
        <v>53300</v>
      </c>
      <c r="E253">
        <v>48.49</v>
      </c>
      <c r="F253">
        <v>9849.36</v>
      </c>
      <c r="G253">
        <v>2182.31</v>
      </c>
      <c r="H253">
        <v>750.58</v>
      </c>
      <c r="I253">
        <v>283.38</v>
      </c>
      <c r="J253">
        <v>1985.26</v>
      </c>
      <c r="K253">
        <v>15490000</v>
      </c>
      <c r="L253">
        <v>3009.05</v>
      </c>
      <c r="AO253" s="749">
        <v>44008</v>
      </c>
      <c r="AP253">
        <v>9849.36</v>
      </c>
      <c r="AQ253">
        <v>2182.31</v>
      </c>
      <c r="AR253">
        <f t="shared" si="33"/>
        <v>2.2632841582793328</v>
      </c>
      <c r="AS253">
        <f t="shared" si="34"/>
        <v>1.1133893860392028</v>
      </c>
      <c r="BF253" s="749">
        <v>44008</v>
      </c>
      <c r="BG253">
        <v>9849.36</v>
      </c>
      <c r="BH253">
        <v>84600</v>
      </c>
      <c r="BI253">
        <v>1921.922</v>
      </c>
      <c r="BJ253">
        <v>48.49</v>
      </c>
      <c r="BK253">
        <v>3009.05</v>
      </c>
      <c r="BL253">
        <v>750.58</v>
      </c>
      <c r="BM253">
        <v>1985.26</v>
      </c>
      <c r="BN253" s="14">
        <f t="shared" si="43"/>
        <v>-1.5914250087923909E-2</v>
      </c>
      <c r="BO253" s="14">
        <f t="shared" si="35"/>
        <v>-9.3676814988290502E-3</v>
      </c>
      <c r="BP253" s="14">
        <f t="shared" si="36"/>
        <v>-2.2812806654497919E-2</v>
      </c>
      <c r="BQ253" s="14">
        <f t="shared" si="37"/>
        <v>-4.6035805626598369E-2</v>
      </c>
      <c r="BR253" s="14">
        <f t="shared" si="38"/>
        <v>-2.8630550013880929E-2</v>
      </c>
      <c r="BS253" s="14">
        <f t="shared" si="39"/>
        <v>1.1522445184157126E-2</v>
      </c>
      <c r="BT253" s="14">
        <f t="shared" si="40"/>
        <v>4.7269120207296123E-3</v>
      </c>
      <c r="BV253" s="749">
        <v>44008</v>
      </c>
      <c r="BW253">
        <f t="shared" si="41"/>
        <v>1.4458384185894542</v>
      </c>
      <c r="BX253">
        <f t="shared" si="42"/>
        <v>2.761033087770512</v>
      </c>
    </row>
    <row r="254" spans="1:76" x14ac:dyDescent="0.3">
      <c r="A254" s="749">
        <v>44001</v>
      </c>
      <c r="B254">
        <v>85400</v>
      </c>
      <c r="C254">
        <v>1966.79</v>
      </c>
      <c r="D254">
        <v>52900</v>
      </c>
      <c r="E254">
        <v>50.83</v>
      </c>
      <c r="F254">
        <v>10008.64</v>
      </c>
      <c r="G254">
        <v>2180.5</v>
      </c>
      <c r="H254">
        <v>742.03</v>
      </c>
      <c r="I254">
        <v>283.37</v>
      </c>
      <c r="J254">
        <v>1975.92</v>
      </c>
      <c r="K254">
        <v>18090000</v>
      </c>
      <c r="L254">
        <v>3097.74</v>
      </c>
      <c r="AO254" s="749">
        <v>44001</v>
      </c>
      <c r="AP254">
        <v>10008.64</v>
      </c>
      <c r="AQ254">
        <v>2180.5</v>
      </c>
      <c r="AR254">
        <f t="shared" si="33"/>
        <v>2.2998851050140168</v>
      </c>
      <c r="AS254">
        <f t="shared" si="34"/>
        <v>1.1124659449200536</v>
      </c>
      <c r="BF254" s="749">
        <v>44001</v>
      </c>
      <c r="BG254">
        <v>10008.64</v>
      </c>
      <c r="BH254">
        <v>85400</v>
      </c>
      <c r="BI254">
        <v>1966.79</v>
      </c>
      <c r="BJ254">
        <v>50.83</v>
      </c>
      <c r="BK254">
        <v>3097.74</v>
      </c>
      <c r="BL254">
        <v>742.03</v>
      </c>
      <c r="BM254">
        <v>1975.92</v>
      </c>
      <c r="BN254" s="14">
        <f t="shared" si="43"/>
        <v>3.5686900660922172E-2</v>
      </c>
      <c r="BO254" s="14">
        <f t="shared" si="35"/>
        <v>2.3474178403755097E-3</v>
      </c>
      <c r="BP254" s="14">
        <f t="shared" si="36"/>
        <v>3.3062040239620227E-2</v>
      </c>
      <c r="BQ254" s="14">
        <f t="shared" si="37"/>
        <v>4.3951530088313762E-2</v>
      </c>
      <c r="BR254" s="14">
        <f t="shared" si="38"/>
        <v>1.8554504473401234E-2</v>
      </c>
      <c r="BS254" s="14">
        <f t="shared" si="39"/>
        <v>-5.4017103182049109E-3</v>
      </c>
      <c r="BT254" s="14">
        <f t="shared" si="40"/>
        <v>7.9578844270324911E-3</v>
      </c>
      <c r="BV254" s="749">
        <v>44001</v>
      </c>
      <c r="BW254">
        <f t="shared" si="41"/>
        <v>1.4884536657088767</v>
      </c>
      <c r="BX254">
        <f t="shared" si="42"/>
        <v>2.8254904552297986</v>
      </c>
    </row>
    <row r="255" spans="1:76" x14ac:dyDescent="0.3">
      <c r="A255" s="749">
        <v>43994</v>
      </c>
      <c r="B255">
        <v>85200</v>
      </c>
      <c r="C255">
        <v>1903.845</v>
      </c>
      <c r="D255">
        <v>52300</v>
      </c>
      <c r="E255">
        <v>48.69</v>
      </c>
      <c r="F255">
        <v>9663.77</v>
      </c>
      <c r="G255">
        <v>2167.13</v>
      </c>
      <c r="H255">
        <v>746.06</v>
      </c>
      <c r="I255">
        <v>281.77999999999997</v>
      </c>
      <c r="J255">
        <v>1960.32</v>
      </c>
      <c r="K255">
        <v>20450000</v>
      </c>
      <c r="L255">
        <v>3041.31</v>
      </c>
      <c r="AO255" s="749">
        <v>43994</v>
      </c>
      <c r="AP255">
        <v>9663.77</v>
      </c>
      <c r="AQ255">
        <v>2167.13</v>
      </c>
      <c r="AR255">
        <f t="shared" si="33"/>
        <v>2.2206374373822326</v>
      </c>
      <c r="AS255">
        <f t="shared" si="34"/>
        <v>1.1056447251614747</v>
      </c>
      <c r="BF255" s="749">
        <v>43994</v>
      </c>
      <c r="BG255">
        <v>9663.77</v>
      </c>
      <c r="BH255">
        <v>85200</v>
      </c>
      <c r="BI255">
        <v>1903.845</v>
      </c>
      <c r="BJ255">
        <v>48.69</v>
      </c>
      <c r="BK255">
        <v>3041.31</v>
      </c>
      <c r="BL255">
        <v>746.06</v>
      </c>
      <c r="BM255">
        <v>1960.32</v>
      </c>
      <c r="BN255" s="14">
        <f t="shared" si="43"/>
        <v>-1.6349106662092883E-2</v>
      </c>
      <c r="BO255" s="14">
        <f t="shared" si="35"/>
        <v>-5.7522123893805288E-2</v>
      </c>
      <c r="BP255" s="14">
        <f t="shared" si="36"/>
        <v>-4.986233360632053E-2</v>
      </c>
      <c r="BQ255" s="14">
        <f t="shared" si="37"/>
        <v>-9.3633655994043163E-2</v>
      </c>
      <c r="BR255" s="14">
        <f t="shared" si="38"/>
        <v>-4.7784391016709837E-2</v>
      </c>
      <c r="BS255" s="14">
        <f t="shared" si="39"/>
        <v>-4.3373236711107266E-3</v>
      </c>
      <c r="BT255" s="14">
        <f t="shared" si="40"/>
        <v>-2.7701037114925886E-2</v>
      </c>
      <c r="BV255" s="749">
        <v>43994</v>
      </c>
      <c r="BW255">
        <f t="shared" si="41"/>
        <v>1.4613392402387109</v>
      </c>
      <c r="BX255">
        <f t="shared" si="42"/>
        <v>2.7350636701106756</v>
      </c>
    </row>
    <row r="256" spans="1:76" x14ac:dyDescent="0.3">
      <c r="A256" s="749">
        <v>43987</v>
      </c>
      <c r="B256">
        <v>90400</v>
      </c>
      <c r="C256">
        <v>2003.7570000000001</v>
      </c>
      <c r="D256">
        <v>55500</v>
      </c>
      <c r="E256">
        <v>53.72</v>
      </c>
      <c r="F256">
        <v>9824.39</v>
      </c>
      <c r="G256">
        <v>2233.5</v>
      </c>
      <c r="H256">
        <v>749.31</v>
      </c>
      <c r="I256">
        <v>290.62</v>
      </c>
      <c r="J256">
        <v>2016.17</v>
      </c>
      <c r="K256">
        <v>29640000</v>
      </c>
      <c r="L256">
        <v>3193.93</v>
      </c>
      <c r="AO256" s="749">
        <v>43987</v>
      </c>
      <c r="AP256">
        <v>9824.39</v>
      </c>
      <c r="AQ256">
        <v>2233.5</v>
      </c>
      <c r="AR256">
        <f t="shared" si="33"/>
        <v>2.257546302679351</v>
      </c>
      <c r="AS256">
        <f t="shared" si="34"/>
        <v>1.1395059334918318</v>
      </c>
      <c r="BF256" s="749">
        <v>43987</v>
      </c>
      <c r="BG256">
        <v>9824.39</v>
      </c>
      <c r="BH256">
        <v>90400</v>
      </c>
      <c r="BI256">
        <v>2003.7570000000001</v>
      </c>
      <c r="BJ256">
        <v>53.72</v>
      </c>
      <c r="BK256">
        <v>3193.93</v>
      </c>
      <c r="BL256">
        <v>749.31</v>
      </c>
      <c r="BM256">
        <v>2016.17</v>
      </c>
      <c r="BN256" s="14">
        <f t="shared" si="43"/>
        <v>2.8137662837815158E-2</v>
      </c>
      <c r="BO256" s="14">
        <f t="shared" si="35"/>
        <v>0.1092024539877301</v>
      </c>
      <c r="BP256" s="14">
        <f t="shared" si="36"/>
        <v>8.1653705760990292E-2</v>
      </c>
      <c r="BQ256" s="14">
        <f t="shared" si="37"/>
        <v>0.12126904612815692</v>
      </c>
      <c r="BR256" s="14">
        <f t="shared" si="38"/>
        <v>4.9147425853477422E-2</v>
      </c>
      <c r="BS256" s="14">
        <f t="shared" si="39"/>
        <v>4.9924335836789568E-2</v>
      </c>
      <c r="BT256" s="14">
        <f t="shared" si="40"/>
        <v>8.4294649435579627E-2</v>
      </c>
      <c r="BV256" s="749">
        <v>43987</v>
      </c>
      <c r="BW256">
        <f t="shared" si="41"/>
        <v>1.5346726376382629</v>
      </c>
      <c r="BX256">
        <f t="shared" si="42"/>
        <v>2.8785972463251777</v>
      </c>
    </row>
    <row r="257" spans="1:76" x14ac:dyDescent="0.3">
      <c r="A257" s="749">
        <v>43980</v>
      </c>
      <c r="B257">
        <v>81500</v>
      </c>
      <c r="C257">
        <v>1852.4939999999999</v>
      </c>
      <c r="D257">
        <v>50700</v>
      </c>
      <c r="E257">
        <v>47.91</v>
      </c>
      <c r="F257">
        <v>9555.52</v>
      </c>
      <c r="G257">
        <v>2061.98</v>
      </c>
      <c r="H257">
        <v>713.68</v>
      </c>
      <c r="I257">
        <v>268.32</v>
      </c>
      <c r="J257">
        <v>1859.43</v>
      </c>
      <c r="K257">
        <v>24880000</v>
      </c>
      <c r="L257">
        <v>3044.31</v>
      </c>
      <c r="AO257" s="749">
        <v>43980</v>
      </c>
      <c r="AP257">
        <v>9555.52</v>
      </c>
      <c r="AQ257">
        <v>2061.98</v>
      </c>
      <c r="AR257">
        <f t="shared" si="33"/>
        <v>2.1957626729169539</v>
      </c>
      <c r="AS257">
        <f t="shared" si="34"/>
        <v>1.0519984082119935</v>
      </c>
      <c r="BF257" s="749">
        <v>43980</v>
      </c>
      <c r="BG257">
        <v>9555.52</v>
      </c>
      <c r="BH257">
        <v>81500</v>
      </c>
      <c r="BI257">
        <v>1852.4939999999999</v>
      </c>
      <c r="BJ257">
        <v>47.91</v>
      </c>
      <c r="BK257">
        <v>3044.31</v>
      </c>
      <c r="BL257">
        <v>713.68</v>
      </c>
      <c r="BM257">
        <v>1859.43</v>
      </c>
      <c r="BN257" s="14">
        <f t="shared" si="43"/>
        <v>1.5034007896757906E-2</v>
      </c>
      <c r="BO257" s="14">
        <f t="shared" si="35"/>
        <v>2.4600246002459691E-3</v>
      </c>
      <c r="BP257" s="14">
        <f t="shared" si="36"/>
        <v>2.7846547700556945E-2</v>
      </c>
      <c r="BQ257" s="14">
        <f t="shared" si="37"/>
        <v>6.6088117489986553E-2</v>
      </c>
      <c r="BR257" s="14">
        <f t="shared" si="38"/>
        <v>3.0066487336953829E-2</v>
      </c>
      <c r="BS257" s="14">
        <f t="shared" si="39"/>
        <v>7.1974935787064709E-3</v>
      </c>
      <c r="BT257" s="14">
        <f t="shared" si="40"/>
        <v>3.3619611440006691E-2</v>
      </c>
      <c r="BV257" s="749">
        <v>43980</v>
      </c>
      <c r="BW257">
        <f t="shared" si="41"/>
        <v>1.4627807301626963</v>
      </c>
      <c r="BX257">
        <f t="shared" si="42"/>
        <v>2.6612928250451091</v>
      </c>
    </row>
    <row r="258" spans="1:76" x14ac:dyDescent="0.3">
      <c r="A258" s="749">
        <v>43973</v>
      </c>
      <c r="B258">
        <v>81300</v>
      </c>
      <c r="C258">
        <v>1802.306</v>
      </c>
      <c r="D258">
        <v>48750</v>
      </c>
      <c r="E258">
        <v>44.94</v>
      </c>
      <c r="F258">
        <v>9413.99</v>
      </c>
      <c r="G258">
        <v>1992.99</v>
      </c>
      <c r="H258">
        <v>708.58</v>
      </c>
      <c r="I258">
        <v>259.62</v>
      </c>
      <c r="J258">
        <v>1798.95</v>
      </c>
      <c r="K258">
        <v>19990000</v>
      </c>
      <c r="L258">
        <v>2955.45</v>
      </c>
      <c r="AO258" s="749">
        <v>43973</v>
      </c>
      <c r="AP258">
        <v>9413.99</v>
      </c>
      <c r="AQ258">
        <v>1992.99</v>
      </c>
      <c r="AR258">
        <f t="shared" si="33"/>
        <v>2.1632404981846589</v>
      </c>
      <c r="AS258">
        <f t="shared" si="34"/>
        <v>1.016800506106956</v>
      </c>
      <c r="BF258" s="749">
        <v>43973</v>
      </c>
      <c r="BG258">
        <v>9413.99</v>
      </c>
      <c r="BH258">
        <v>81300</v>
      </c>
      <c r="BI258">
        <v>1802.306</v>
      </c>
      <c r="BJ258">
        <v>44.94</v>
      </c>
      <c r="BK258">
        <v>2955.45</v>
      </c>
      <c r="BL258">
        <v>708.58</v>
      </c>
      <c r="BM258">
        <v>1798.95</v>
      </c>
      <c r="BN258" s="14">
        <f t="shared" si="43"/>
        <v>2.8554602824977238E-2</v>
      </c>
      <c r="BO258" s="14">
        <f t="shared" si="35"/>
        <v>-7.3260073260073E-3</v>
      </c>
      <c r="BP258" s="14">
        <f t="shared" si="36"/>
        <v>5.9622763088117203E-2</v>
      </c>
      <c r="BQ258" s="14">
        <f t="shared" si="37"/>
        <v>1.1934249043008327E-2</v>
      </c>
      <c r="BR258" s="14">
        <f t="shared" si="38"/>
        <v>3.2038970562558999E-2</v>
      </c>
      <c r="BS258" s="14">
        <f t="shared" si="39"/>
        <v>2.406312777304076E-2</v>
      </c>
      <c r="BT258" s="14">
        <f t="shared" si="40"/>
        <v>2.5404986376953653E-2</v>
      </c>
      <c r="BV258" s="749">
        <v>43973</v>
      </c>
      <c r="BW258">
        <f t="shared" si="41"/>
        <v>1.4200837986142476</v>
      </c>
      <c r="BX258">
        <f t="shared" si="42"/>
        <v>2.589192745744791</v>
      </c>
    </row>
    <row r="259" spans="1:76" x14ac:dyDescent="0.3">
      <c r="A259" s="749">
        <v>43966</v>
      </c>
      <c r="B259">
        <v>81900</v>
      </c>
      <c r="C259">
        <v>1700.894</v>
      </c>
      <c r="D259">
        <v>47850</v>
      </c>
      <c r="E259">
        <v>44.41</v>
      </c>
      <c r="F259">
        <v>9152.64</v>
      </c>
      <c r="G259">
        <v>1947.68</v>
      </c>
      <c r="H259">
        <v>691.93</v>
      </c>
      <c r="I259">
        <v>253.79</v>
      </c>
      <c r="J259">
        <v>1754.38</v>
      </c>
      <c r="K259">
        <v>22320000</v>
      </c>
      <c r="L259">
        <v>2863.7</v>
      </c>
      <c r="AO259" s="749">
        <v>43966</v>
      </c>
      <c r="AP259">
        <v>9152.64</v>
      </c>
      <c r="AQ259">
        <v>1947.68</v>
      </c>
      <c r="AR259">
        <f t="shared" ref="AR259:AR322" si="44">+AP259/$AP$524</f>
        <v>2.1031848890114433</v>
      </c>
      <c r="AS259">
        <f t="shared" ref="AS259:AS322" si="45">+AQ259/$AQ$524</f>
        <v>0.99368386682040355</v>
      </c>
      <c r="BF259" s="749">
        <v>43966</v>
      </c>
      <c r="BG259">
        <v>9152.64</v>
      </c>
      <c r="BH259">
        <v>81900</v>
      </c>
      <c r="BI259">
        <v>1700.894</v>
      </c>
      <c r="BJ259">
        <v>44.41</v>
      </c>
      <c r="BK259">
        <v>2863.7</v>
      </c>
      <c r="BL259">
        <v>691.93</v>
      </c>
      <c r="BM259">
        <v>1754.38</v>
      </c>
      <c r="BN259" s="14">
        <f t="shared" si="43"/>
        <v>-7.3435390196685546E-3</v>
      </c>
      <c r="BO259" s="14">
        <f t="shared" ref="BO259:BO322" si="46">+BH259/BH260-1</f>
        <v>-3.6470588235294144E-2</v>
      </c>
      <c r="BP259" s="14">
        <f t="shared" ref="BP259:BP322" si="47">+BI259/BI260-1</f>
        <v>-4.207690219564475E-2</v>
      </c>
      <c r="BQ259" s="14">
        <f t="shared" ref="BQ259:BQ322" si="48">+BJ259/BJ260-1</f>
        <v>-7.9585492227979393E-2</v>
      </c>
      <c r="BR259" s="14">
        <f t="shared" ref="BR259:BR322" si="49">+BK259/BK260-1</f>
        <v>-2.2561266980681394E-2</v>
      </c>
      <c r="BS259" s="14">
        <f t="shared" ref="BS259:BS322" si="50">+BL259/BL260-1</f>
        <v>1.4114026088230869E-2</v>
      </c>
      <c r="BT259" s="14">
        <f t="shared" ref="BT259:BT322" si="51">+BM259/BM260-1</f>
        <v>-1.2507035911291098E-2</v>
      </c>
      <c r="BV259" s="749">
        <v>43966</v>
      </c>
      <c r="BW259">
        <f t="shared" ref="BW259:BW322" si="52">+L259/$L$524</f>
        <v>1.37599823177236</v>
      </c>
      <c r="BX259">
        <f t="shared" ref="BX259:BX322" si="53">+C259/$C$524</f>
        <v>2.4435042695751115</v>
      </c>
    </row>
    <row r="260" spans="1:76" x14ac:dyDescent="0.3">
      <c r="A260" s="749">
        <v>43959</v>
      </c>
      <c r="B260">
        <v>85000</v>
      </c>
      <c r="C260">
        <v>1775.606</v>
      </c>
      <c r="D260">
        <v>48800</v>
      </c>
      <c r="E260">
        <v>48.25</v>
      </c>
      <c r="F260">
        <v>9220.35</v>
      </c>
      <c r="G260">
        <v>1971.52</v>
      </c>
      <c r="H260">
        <v>682.3</v>
      </c>
      <c r="I260">
        <v>256.62</v>
      </c>
      <c r="J260">
        <v>1776.6</v>
      </c>
      <c r="K260">
        <v>16330000</v>
      </c>
      <c r="L260">
        <v>2929.8</v>
      </c>
      <c r="AO260" s="749">
        <v>43959</v>
      </c>
      <c r="AP260">
        <v>9220.35</v>
      </c>
      <c r="AQ260">
        <v>1971.52</v>
      </c>
      <c r="AR260">
        <f t="shared" si="44"/>
        <v>2.1187439680132361</v>
      </c>
      <c r="AS260">
        <f t="shared" si="45"/>
        <v>1.0058467597930676</v>
      </c>
      <c r="BF260" s="749">
        <v>43959</v>
      </c>
      <c r="BG260">
        <v>9220.35</v>
      </c>
      <c r="BH260">
        <v>85000</v>
      </c>
      <c r="BI260">
        <v>1775.606</v>
      </c>
      <c r="BJ260">
        <v>48.25</v>
      </c>
      <c r="BK260">
        <v>2929.8</v>
      </c>
      <c r="BL260">
        <v>682.3</v>
      </c>
      <c r="BM260">
        <v>1776.6</v>
      </c>
      <c r="BN260" s="14">
        <f t="shared" ref="BN260:BN323" si="54">+BG260/BG261-1</f>
        <v>5.760032483844113E-2</v>
      </c>
      <c r="BO260" s="14">
        <f t="shared" si="46"/>
        <v>1.5531660692950977E-2</v>
      </c>
      <c r="BP260" s="14">
        <f t="shared" si="47"/>
        <v>7.9788275616303084E-2</v>
      </c>
      <c r="BQ260" s="14">
        <f t="shared" si="48"/>
        <v>7.0794496227252424E-2</v>
      </c>
      <c r="BR260" s="14">
        <f t="shared" si="49"/>
        <v>3.5005352014159108E-2</v>
      </c>
      <c r="BS260" s="14">
        <f t="shared" si="50"/>
        <v>5.753433150438636E-2</v>
      </c>
      <c r="BT260" s="14">
        <f t="shared" si="51"/>
        <v>-4.041910293136608E-3</v>
      </c>
      <c r="BV260" s="749">
        <v>43959</v>
      </c>
      <c r="BW260">
        <f t="shared" si="52"/>
        <v>1.4077590597641725</v>
      </c>
      <c r="BX260">
        <f t="shared" si="53"/>
        <v>2.5508355265426212</v>
      </c>
    </row>
    <row r="261" spans="1:76" x14ac:dyDescent="0.3">
      <c r="A261" s="749">
        <v>43952</v>
      </c>
      <c r="B261">
        <v>83700</v>
      </c>
      <c r="C261">
        <v>1644.402</v>
      </c>
      <c r="D261">
        <v>50000</v>
      </c>
      <c r="E261">
        <v>45.06</v>
      </c>
      <c r="F261">
        <v>8718.18</v>
      </c>
      <c r="G261">
        <v>1983.03</v>
      </c>
      <c r="H261">
        <v>645.17999999999995</v>
      </c>
      <c r="I261">
        <v>258.14999999999998</v>
      </c>
      <c r="J261">
        <v>1783.81</v>
      </c>
      <c r="K261">
        <v>10190000</v>
      </c>
      <c r="L261">
        <v>2830.71</v>
      </c>
      <c r="AO261" s="749">
        <v>43952</v>
      </c>
      <c r="AP261">
        <v>8718.18</v>
      </c>
      <c r="AQ261">
        <v>1983.03</v>
      </c>
      <c r="AR261">
        <f t="shared" si="44"/>
        <v>2.0033503377912587</v>
      </c>
      <c r="AS261">
        <f t="shared" si="45"/>
        <v>1.0117190290093161</v>
      </c>
      <c r="BF261" s="749">
        <v>43952</v>
      </c>
      <c r="BG261">
        <v>8718.18</v>
      </c>
      <c r="BH261">
        <v>83700</v>
      </c>
      <c r="BI261">
        <v>1644.402</v>
      </c>
      <c r="BJ261">
        <v>45.06</v>
      </c>
      <c r="BK261">
        <v>2830.71</v>
      </c>
      <c r="BL261">
        <v>645.17999999999995</v>
      </c>
      <c r="BM261">
        <v>1783.81</v>
      </c>
      <c r="BN261" s="14">
        <f t="shared" si="54"/>
        <v>-7.786857259918567E-3</v>
      </c>
      <c r="BO261" s="14">
        <f t="shared" si="46"/>
        <v>2.825552825552835E-2</v>
      </c>
      <c r="BP261" s="14">
        <f t="shared" si="47"/>
        <v>-3.4160283149747173E-2</v>
      </c>
      <c r="BQ261" s="14">
        <f t="shared" si="48"/>
        <v>2.0380434782608869E-2</v>
      </c>
      <c r="BR261" s="14">
        <f t="shared" si="49"/>
        <v>-2.1256794771462584E-3</v>
      </c>
      <c r="BS261" s="14">
        <f t="shared" si="50"/>
        <v>1.9306117290192049E-2</v>
      </c>
      <c r="BT261" s="14">
        <f t="shared" si="51"/>
        <v>2.9729090058938645E-2</v>
      </c>
      <c r="BV261" s="749">
        <v>43952</v>
      </c>
      <c r="BW261">
        <f t="shared" si="52"/>
        <v>1.3601466475749335</v>
      </c>
      <c r="BX261">
        <f t="shared" si="53"/>
        <v>2.3623478640631648</v>
      </c>
    </row>
    <row r="262" spans="1:76" x14ac:dyDescent="0.3">
      <c r="A262" s="749">
        <v>43945</v>
      </c>
      <c r="B262">
        <v>81400</v>
      </c>
      <c r="C262">
        <v>1702.5619999999999</v>
      </c>
      <c r="D262">
        <v>49350</v>
      </c>
      <c r="E262">
        <v>44.16</v>
      </c>
      <c r="F262">
        <v>8786.6</v>
      </c>
      <c r="G262">
        <v>1922.18</v>
      </c>
      <c r="H262">
        <v>632.96</v>
      </c>
      <c r="I262">
        <v>250.28</v>
      </c>
      <c r="J262">
        <v>1732.31</v>
      </c>
      <c r="K262">
        <v>25170000</v>
      </c>
      <c r="L262">
        <v>2836.74</v>
      </c>
      <c r="AO262" s="749">
        <v>43945</v>
      </c>
      <c r="AP262">
        <v>8786.6</v>
      </c>
      <c r="AQ262">
        <v>1922.18</v>
      </c>
      <c r="AR262">
        <f t="shared" si="44"/>
        <v>2.0190725676731467</v>
      </c>
      <c r="AS262">
        <f t="shared" si="45"/>
        <v>0.98067406099813281</v>
      </c>
      <c r="BF262" s="749">
        <v>43945</v>
      </c>
      <c r="BG262">
        <v>8786.6</v>
      </c>
      <c r="BH262">
        <v>81400</v>
      </c>
      <c r="BI262">
        <v>1702.5619999999999</v>
      </c>
      <c r="BJ262">
        <v>44.16</v>
      </c>
      <c r="BK262">
        <v>2836.74</v>
      </c>
      <c r="BL262">
        <v>632.96</v>
      </c>
      <c r="BM262">
        <v>1732.31</v>
      </c>
      <c r="BN262" s="14">
        <f t="shared" si="54"/>
        <v>-5.1865798802365193E-3</v>
      </c>
      <c r="BO262" s="14">
        <f t="shared" si="46"/>
        <v>-3.2104637336504149E-2</v>
      </c>
      <c r="BP262" s="14">
        <f t="shared" si="47"/>
        <v>-1.8057716683806957E-3</v>
      </c>
      <c r="BQ262" s="14">
        <f t="shared" si="48"/>
        <v>-3.3698030634573439E-2</v>
      </c>
      <c r="BR262" s="14">
        <f t="shared" si="49"/>
        <v>-1.3156796170544438E-2</v>
      </c>
      <c r="BS262" s="14">
        <f t="shared" si="50"/>
        <v>-2.8828431449769987E-3</v>
      </c>
      <c r="BT262" s="14">
        <f t="shared" si="51"/>
        <v>-1.9848477132947573E-2</v>
      </c>
      <c r="BV262" s="749">
        <v>43945</v>
      </c>
      <c r="BW262">
        <f t="shared" si="52"/>
        <v>1.3630440423221442</v>
      </c>
      <c r="BX262">
        <f t="shared" si="53"/>
        <v>2.4459005183252693</v>
      </c>
    </row>
    <row r="263" spans="1:76" x14ac:dyDescent="0.3">
      <c r="A263" s="749">
        <v>43938</v>
      </c>
      <c r="B263">
        <v>84100</v>
      </c>
      <c r="C263">
        <v>1705.6420000000001</v>
      </c>
      <c r="D263">
        <v>51400</v>
      </c>
      <c r="E263">
        <v>45.7</v>
      </c>
      <c r="F263">
        <v>8832.41</v>
      </c>
      <c r="G263">
        <v>1959.86</v>
      </c>
      <c r="H263">
        <v>634.79</v>
      </c>
      <c r="I263">
        <v>255.02</v>
      </c>
      <c r="J263">
        <v>1767.39</v>
      </c>
      <c r="K263">
        <v>17640000</v>
      </c>
      <c r="L263">
        <v>2874.56</v>
      </c>
      <c r="AO263" s="749">
        <v>43938</v>
      </c>
      <c r="AP263">
        <v>8832.41</v>
      </c>
      <c r="AQ263">
        <v>1959.86</v>
      </c>
      <c r="AR263">
        <f t="shared" si="44"/>
        <v>2.0295992462888917</v>
      </c>
      <c r="AS263">
        <f t="shared" si="45"/>
        <v>0.99989796230727623</v>
      </c>
      <c r="BF263" s="749">
        <v>43938</v>
      </c>
      <c r="BG263">
        <v>8832.41</v>
      </c>
      <c r="BH263">
        <v>84100</v>
      </c>
      <c r="BI263">
        <v>1705.6420000000001</v>
      </c>
      <c r="BJ263">
        <v>45.7</v>
      </c>
      <c r="BK263">
        <v>2874.56</v>
      </c>
      <c r="BL263">
        <v>634.79</v>
      </c>
      <c r="BM263">
        <v>1767.39</v>
      </c>
      <c r="BN263" s="14">
        <f t="shared" si="54"/>
        <v>7.2085675478513744E-2</v>
      </c>
      <c r="BO263" s="14">
        <f t="shared" si="46"/>
        <v>0</v>
      </c>
      <c r="BP263" s="14">
        <f t="shared" si="47"/>
        <v>6.4874189236519886E-2</v>
      </c>
      <c r="BQ263" s="14">
        <f t="shared" si="48"/>
        <v>-9.32148276609579E-3</v>
      </c>
      <c r="BR263" s="14">
        <f t="shared" si="49"/>
        <v>3.0374719515954274E-2</v>
      </c>
      <c r="BS263" s="14">
        <f t="shared" si="50"/>
        <v>3.8494257762654138E-2</v>
      </c>
      <c r="BT263" s="14">
        <f t="shared" si="51"/>
        <v>2.8527034340683377E-2</v>
      </c>
      <c r="BV263" s="749">
        <v>43938</v>
      </c>
      <c r="BW263">
        <f t="shared" si="52"/>
        <v>1.3812164252971872</v>
      </c>
      <c r="BX263">
        <f t="shared" si="53"/>
        <v>2.450325246233235</v>
      </c>
    </row>
    <row r="264" spans="1:76" x14ac:dyDescent="0.3">
      <c r="A264" s="749">
        <v>43931</v>
      </c>
      <c r="B264">
        <v>84100</v>
      </c>
      <c r="C264">
        <v>1601.731</v>
      </c>
      <c r="D264">
        <v>49250</v>
      </c>
      <c r="E264">
        <v>46.13</v>
      </c>
      <c r="F264">
        <v>8238.5300000000007</v>
      </c>
      <c r="G264">
        <v>1906.45</v>
      </c>
      <c r="H264">
        <v>611.26</v>
      </c>
      <c r="I264">
        <v>248</v>
      </c>
      <c r="J264">
        <v>1718.37</v>
      </c>
      <c r="K264">
        <v>22950000</v>
      </c>
      <c r="L264">
        <v>2789.82</v>
      </c>
      <c r="AO264" s="749">
        <v>43931</v>
      </c>
      <c r="AP264">
        <v>8238.5300000000007</v>
      </c>
      <c r="AQ264">
        <v>1906.45</v>
      </c>
      <c r="AR264">
        <f t="shared" si="44"/>
        <v>1.8931315777379476</v>
      </c>
      <c r="AS264">
        <f t="shared" si="45"/>
        <v>0.97264879646541436</v>
      </c>
      <c r="BF264" s="749">
        <v>43931</v>
      </c>
      <c r="BG264">
        <v>8238.5300000000007</v>
      </c>
      <c r="BH264">
        <v>84100</v>
      </c>
      <c r="BI264">
        <v>1601.731</v>
      </c>
      <c r="BJ264">
        <v>46.13</v>
      </c>
      <c r="BK264">
        <v>2789.82</v>
      </c>
      <c r="BL264">
        <v>611.26</v>
      </c>
      <c r="BM264">
        <v>1718.37</v>
      </c>
      <c r="BN264" s="14">
        <f t="shared" si="54"/>
        <v>9.4368971760508513E-2</v>
      </c>
      <c r="BO264" s="14">
        <f t="shared" si="46"/>
        <v>5.6532663316583021E-2</v>
      </c>
      <c r="BP264" s="14">
        <f t="shared" si="47"/>
        <v>0.10996761704259694</v>
      </c>
      <c r="BQ264" s="14">
        <f t="shared" si="48"/>
        <v>0.11911693352741404</v>
      </c>
      <c r="BR264" s="14">
        <f t="shared" si="49"/>
        <v>0.12101741908263519</v>
      </c>
      <c r="BS264" s="14">
        <f t="shared" si="50"/>
        <v>6.6752761731907029E-2</v>
      </c>
      <c r="BT264" s="14">
        <f t="shared" si="51"/>
        <v>6.954264801075527E-2</v>
      </c>
      <c r="BV264" s="749">
        <v>43931</v>
      </c>
      <c r="BW264">
        <f t="shared" si="52"/>
        <v>1.3404991399110122</v>
      </c>
      <c r="BX264">
        <f t="shared" si="53"/>
        <v>2.3010467067382288</v>
      </c>
    </row>
    <row r="265" spans="1:76" x14ac:dyDescent="0.3">
      <c r="A265" s="749">
        <v>43924</v>
      </c>
      <c r="B265">
        <v>79600</v>
      </c>
      <c r="C265">
        <v>1443.0429999999999</v>
      </c>
      <c r="D265">
        <v>47000</v>
      </c>
      <c r="E265">
        <v>41.22</v>
      </c>
      <c r="F265">
        <v>7528.11</v>
      </c>
      <c r="G265">
        <v>1782.46</v>
      </c>
      <c r="H265">
        <v>573.01</v>
      </c>
      <c r="I265">
        <v>231.7</v>
      </c>
      <c r="J265">
        <v>1606.64</v>
      </c>
      <c r="K265">
        <v>26600000</v>
      </c>
      <c r="L265">
        <v>2488.65</v>
      </c>
      <c r="AO265" s="749">
        <v>43924</v>
      </c>
      <c r="AP265">
        <v>7528.11</v>
      </c>
      <c r="AQ265">
        <v>1782.46</v>
      </c>
      <c r="AR265">
        <f t="shared" si="44"/>
        <v>1.7298841858541292</v>
      </c>
      <c r="AS265">
        <f t="shared" si="45"/>
        <v>0.9093905288613614</v>
      </c>
      <c r="BF265" s="749">
        <v>43924</v>
      </c>
      <c r="BG265">
        <v>7528.11</v>
      </c>
      <c r="BH265">
        <v>79600</v>
      </c>
      <c r="BI265">
        <v>1443.0429999999999</v>
      </c>
      <c r="BJ265">
        <v>41.22</v>
      </c>
      <c r="BK265">
        <v>2488.65</v>
      </c>
      <c r="BL265">
        <v>573.01</v>
      </c>
      <c r="BM265">
        <v>1606.64</v>
      </c>
      <c r="BN265" s="14">
        <f t="shared" si="54"/>
        <v>-7.9410993401745067E-3</v>
      </c>
      <c r="BO265" s="14">
        <f t="shared" si="46"/>
        <v>-4.4417767106842754E-2</v>
      </c>
      <c r="BP265" s="14">
        <f t="shared" si="47"/>
        <v>-3.0700293132215895E-2</v>
      </c>
      <c r="BQ265" s="14">
        <f t="shared" si="48"/>
        <v>-5.1977920883164663E-2</v>
      </c>
      <c r="BR265" s="14">
        <f t="shared" si="49"/>
        <v>-2.0783247490625434E-2</v>
      </c>
      <c r="BS265" s="14">
        <f t="shared" si="50"/>
        <v>9.597766004246111E-2</v>
      </c>
      <c r="BT265" s="14">
        <f t="shared" si="51"/>
        <v>-1.5159038109073819E-2</v>
      </c>
      <c r="BV265" s="749">
        <v>43924</v>
      </c>
      <c r="BW265">
        <f t="shared" si="52"/>
        <v>1.1957879664421147</v>
      </c>
      <c r="BX265">
        <f t="shared" si="53"/>
        <v>2.073075530680029</v>
      </c>
    </row>
    <row r="266" spans="1:76" x14ac:dyDescent="0.3">
      <c r="A266" s="749">
        <v>43917</v>
      </c>
      <c r="B266">
        <v>83300</v>
      </c>
      <c r="C266">
        <v>1488.748</v>
      </c>
      <c r="D266">
        <v>48300</v>
      </c>
      <c r="E266">
        <v>43.48</v>
      </c>
      <c r="F266">
        <v>7588.37</v>
      </c>
      <c r="G266">
        <v>1805.1</v>
      </c>
      <c r="H266">
        <v>522.83000000000004</v>
      </c>
      <c r="I266">
        <v>233.79</v>
      </c>
      <c r="J266">
        <v>1631.37</v>
      </c>
      <c r="K266">
        <v>40210000</v>
      </c>
      <c r="L266">
        <v>2541.4699999999998</v>
      </c>
      <c r="AO266" s="749">
        <v>43917</v>
      </c>
      <c r="AP266">
        <v>7588.37</v>
      </c>
      <c r="AQ266">
        <v>1805.1</v>
      </c>
      <c r="AR266">
        <f t="shared" si="44"/>
        <v>1.7437313295647776</v>
      </c>
      <c r="AS266">
        <f t="shared" si="45"/>
        <v>0.92094119567768329</v>
      </c>
      <c r="BF266" s="749">
        <v>43917</v>
      </c>
      <c r="BG266">
        <v>7588.37</v>
      </c>
      <c r="BH266">
        <v>83300</v>
      </c>
      <c r="BI266">
        <v>1488.748</v>
      </c>
      <c r="BJ266">
        <v>43.48</v>
      </c>
      <c r="BK266">
        <v>2541.4699999999998</v>
      </c>
      <c r="BL266">
        <v>522.83000000000004</v>
      </c>
      <c r="BM266">
        <v>1631.37</v>
      </c>
      <c r="BN266" s="14">
        <f t="shared" si="54"/>
        <v>8.493785645147689E-2</v>
      </c>
      <c r="BO266" s="14">
        <f t="shared" si="46"/>
        <v>0.11363636363636354</v>
      </c>
      <c r="BP266" s="14">
        <f t="shared" si="47"/>
        <v>0.14647658681813924</v>
      </c>
      <c r="BQ266" s="14">
        <f t="shared" si="48"/>
        <v>0.20409858764885058</v>
      </c>
      <c r="BR266" s="14">
        <f t="shared" si="49"/>
        <v>0.10262829078666491</v>
      </c>
      <c r="BS266" s="14">
        <f t="shared" si="50"/>
        <v>0.1177552111170499</v>
      </c>
      <c r="BT266" s="14">
        <f t="shared" si="51"/>
        <v>9.6151907919933777E-2</v>
      </c>
      <c r="BV266" s="749">
        <v>43917</v>
      </c>
      <c r="BW266">
        <f t="shared" si="52"/>
        <v>1.2211677990370848</v>
      </c>
      <c r="BX266">
        <f t="shared" si="53"/>
        <v>2.1387353323143055</v>
      </c>
    </row>
    <row r="267" spans="1:76" x14ac:dyDescent="0.3">
      <c r="A267" s="749">
        <v>43910</v>
      </c>
      <c r="B267">
        <v>74800</v>
      </c>
      <c r="C267">
        <v>1298.5419999999999</v>
      </c>
      <c r="D267">
        <v>45400</v>
      </c>
      <c r="E267">
        <v>36.11</v>
      </c>
      <c r="F267">
        <v>6994.29</v>
      </c>
      <c r="G267">
        <v>1648.96</v>
      </c>
      <c r="H267">
        <v>467.75</v>
      </c>
      <c r="I267">
        <v>213.67</v>
      </c>
      <c r="J267">
        <v>1488.27</v>
      </c>
      <c r="K267">
        <v>40050000</v>
      </c>
      <c r="L267">
        <v>2304.92</v>
      </c>
      <c r="AO267" s="749">
        <v>43910</v>
      </c>
      <c r="AP267">
        <v>6994.29</v>
      </c>
      <c r="AQ267">
        <v>1648.96</v>
      </c>
      <c r="AR267">
        <f t="shared" si="44"/>
        <v>1.6072177030194401</v>
      </c>
      <c r="AS267">
        <f t="shared" si="45"/>
        <v>0.84128036896829694</v>
      </c>
      <c r="BF267" s="749">
        <v>43910</v>
      </c>
      <c r="BG267">
        <v>6994.29</v>
      </c>
      <c r="BH267">
        <v>74800</v>
      </c>
      <c r="BI267">
        <v>1298.5419999999999</v>
      </c>
      <c r="BJ267">
        <v>36.11</v>
      </c>
      <c r="BK267">
        <v>2304.92</v>
      </c>
      <c r="BL267">
        <v>467.75</v>
      </c>
      <c r="BM267">
        <v>1488.27</v>
      </c>
      <c r="BN267" s="14">
        <f t="shared" si="54"/>
        <v>-0.12519542829126262</v>
      </c>
      <c r="BO267" s="14">
        <f t="shared" si="46"/>
        <v>-9.3333333333333379E-2</v>
      </c>
      <c r="BP267" s="14">
        <f t="shared" si="47"/>
        <v>-0.15911916615293753</v>
      </c>
      <c r="BQ267" s="14">
        <f t="shared" si="48"/>
        <v>-0.16003721795766468</v>
      </c>
      <c r="BR267" s="14">
        <f t="shared" si="49"/>
        <v>-0.14979601773502216</v>
      </c>
      <c r="BS267" s="14">
        <f t="shared" si="50"/>
        <v>-0.10734732824427484</v>
      </c>
      <c r="BT267" s="14">
        <f t="shared" si="51"/>
        <v>-0.11273071970238946</v>
      </c>
      <c r="BV267" s="749">
        <v>43910</v>
      </c>
      <c r="BW267">
        <f t="shared" si="52"/>
        <v>1.1075063185308336</v>
      </c>
      <c r="BX267">
        <f t="shared" si="53"/>
        <v>1.8654853983979036</v>
      </c>
    </row>
    <row r="268" spans="1:76" x14ac:dyDescent="0.3">
      <c r="A268" s="749">
        <v>43903</v>
      </c>
      <c r="B268">
        <v>82500</v>
      </c>
      <c r="C268">
        <v>1544.2639999999999</v>
      </c>
      <c r="D268">
        <v>49950</v>
      </c>
      <c r="E268">
        <v>42.99</v>
      </c>
      <c r="F268">
        <v>7995.26</v>
      </c>
      <c r="G268">
        <v>1857.98</v>
      </c>
      <c r="H268">
        <v>524</v>
      </c>
      <c r="I268">
        <v>240.65</v>
      </c>
      <c r="J268">
        <v>1677.36</v>
      </c>
      <c r="K268">
        <v>34350000</v>
      </c>
      <c r="L268">
        <v>2711.02</v>
      </c>
      <c r="AO268" s="749">
        <v>43903</v>
      </c>
      <c r="AP268">
        <v>7995.26</v>
      </c>
      <c r="AQ268">
        <v>1857.98</v>
      </c>
      <c r="AR268">
        <f t="shared" si="44"/>
        <v>1.8372305712578703</v>
      </c>
      <c r="AS268">
        <f t="shared" si="45"/>
        <v>0.94791996163382752</v>
      </c>
      <c r="BF268" s="749">
        <v>43903</v>
      </c>
      <c r="BG268">
        <v>7995.26</v>
      </c>
      <c r="BH268">
        <v>82500</v>
      </c>
      <c r="BI268">
        <v>1544.2639999999999</v>
      </c>
      <c r="BJ268">
        <v>42.99</v>
      </c>
      <c r="BK268">
        <v>2711.02</v>
      </c>
      <c r="BL268">
        <v>524</v>
      </c>
      <c r="BM268">
        <v>1677.36</v>
      </c>
      <c r="BN268" s="14">
        <f t="shared" si="54"/>
        <v>-6.2726690847023647E-2</v>
      </c>
      <c r="BO268" s="14">
        <f t="shared" si="46"/>
        <v>-0.10907127429805619</v>
      </c>
      <c r="BP268" s="14">
        <f t="shared" si="47"/>
        <v>-9.1551164162878784E-2</v>
      </c>
      <c r="BQ268" s="14">
        <f t="shared" si="48"/>
        <v>-0.16475616864192733</v>
      </c>
      <c r="BR268" s="14">
        <f t="shared" si="49"/>
        <v>-8.7926469450303912E-2</v>
      </c>
      <c r="BS268" s="14">
        <f t="shared" si="50"/>
        <v>-0.18471496141399057</v>
      </c>
      <c r="BT268" s="14">
        <f t="shared" si="51"/>
        <v>-0.11973634493471608</v>
      </c>
      <c r="BV268" s="749">
        <v>43903</v>
      </c>
      <c r="BW268">
        <f t="shared" si="52"/>
        <v>1.3026360045743282</v>
      </c>
      <c r="BX268">
        <f t="shared" si="53"/>
        <v>2.218489616255416</v>
      </c>
    </row>
    <row r="269" spans="1:76" x14ac:dyDescent="0.3">
      <c r="A269" s="749">
        <v>43896</v>
      </c>
      <c r="B269">
        <v>92600</v>
      </c>
      <c r="C269">
        <v>1699.8910000000001</v>
      </c>
      <c r="D269">
        <v>56500</v>
      </c>
      <c r="E269">
        <v>51.47</v>
      </c>
      <c r="F269">
        <v>8530.34</v>
      </c>
      <c r="G269">
        <v>2119.19</v>
      </c>
      <c r="H269">
        <v>642.72</v>
      </c>
      <c r="I269">
        <v>275.10000000000002</v>
      </c>
      <c r="J269">
        <v>1905.52</v>
      </c>
      <c r="K269">
        <v>24250000</v>
      </c>
      <c r="L269">
        <v>2972.37</v>
      </c>
      <c r="AO269" s="749">
        <v>43896</v>
      </c>
      <c r="AP269">
        <v>8530.34</v>
      </c>
      <c r="AQ269">
        <v>2119.19</v>
      </c>
      <c r="AR269">
        <f t="shared" si="44"/>
        <v>1.9601865894572361</v>
      </c>
      <c r="AS269">
        <f t="shared" si="45"/>
        <v>1.0811862902156057</v>
      </c>
      <c r="BF269" s="749">
        <v>43896</v>
      </c>
      <c r="BG269">
        <v>8530.34</v>
      </c>
      <c r="BH269">
        <v>92600</v>
      </c>
      <c r="BI269">
        <v>1699.8910000000001</v>
      </c>
      <c r="BJ269">
        <v>51.47</v>
      </c>
      <c r="BK269">
        <v>2972.37</v>
      </c>
      <c r="BL269">
        <v>642.72</v>
      </c>
      <c r="BM269">
        <v>1905.52</v>
      </c>
      <c r="BN269" s="14">
        <f t="shared" si="54"/>
        <v>8.0963574073220634E-3</v>
      </c>
      <c r="BO269" s="14">
        <f t="shared" si="46"/>
        <v>5.3469852104664373E-2</v>
      </c>
      <c r="BP269" s="14">
        <f t="shared" si="47"/>
        <v>-3.3098099365830302E-3</v>
      </c>
      <c r="BQ269" s="14">
        <f t="shared" si="48"/>
        <v>-2.0738203957382129E-2</v>
      </c>
      <c r="BR269" s="14">
        <f t="shared" si="49"/>
        <v>6.1437536811748128E-3</v>
      </c>
      <c r="BS269" s="14">
        <f t="shared" si="50"/>
        <v>5.2379938761809575E-2</v>
      </c>
      <c r="BT269" s="14">
        <f t="shared" si="51"/>
        <v>2.6072909374831754E-2</v>
      </c>
      <c r="BV269" s="749">
        <v>43896</v>
      </c>
      <c r="BW269">
        <f t="shared" si="52"/>
        <v>1.4282138017855255</v>
      </c>
      <c r="BX269">
        <f t="shared" si="53"/>
        <v>2.4420633598050823</v>
      </c>
    </row>
    <row r="270" spans="1:76" x14ac:dyDescent="0.3">
      <c r="A270" s="749">
        <v>43889</v>
      </c>
      <c r="B270">
        <v>87900</v>
      </c>
      <c r="C270">
        <v>1705.5360000000001</v>
      </c>
      <c r="D270">
        <v>54200</v>
      </c>
      <c r="E270">
        <v>52.56</v>
      </c>
      <c r="F270">
        <v>8461.83</v>
      </c>
      <c r="G270">
        <v>2065.25</v>
      </c>
      <c r="H270">
        <v>610.73</v>
      </c>
      <c r="I270">
        <v>268.02</v>
      </c>
      <c r="J270">
        <v>1857.1</v>
      </c>
      <c r="K270">
        <v>31370000</v>
      </c>
      <c r="L270">
        <v>2954.22</v>
      </c>
      <c r="AO270" s="749">
        <v>43889</v>
      </c>
      <c r="AP270">
        <v>8461.83</v>
      </c>
      <c r="AQ270">
        <v>2065.25</v>
      </c>
      <c r="AR270">
        <f t="shared" si="44"/>
        <v>1.9444436784778711</v>
      </c>
      <c r="AS270">
        <f t="shared" si="45"/>
        <v>1.053666724488026</v>
      </c>
      <c r="BF270" s="749">
        <v>43889</v>
      </c>
      <c r="BG270">
        <v>8461.83</v>
      </c>
      <c r="BH270">
        <v>87900</v>
      </c>
      <c r="BI270">
        <v>1705.5360000000001</v>
      </c>
      <c r="BJ270">
        <v>52.56</v>
      </c>
      <c r="BK270">
        <v>2954.22</v>
      </c>
      <c r="BL270">
        <v>610.73</v>
      </c>
      <c r="BM270">
        <v>1857.1</v>
      </c>
      <c r="BN270" s="14">
        <f t="shared" si="54"/>
        <v>-0.1042545060756731</v>
      </c>
      <c r="BO270" s="14">
        <f t="shared" si="46"/>
        <v>-0.14660194174757279</v>
      </c>
      <c r="BP270" s="14">
        <f t="shared" si="47"/>
        <v>-9.810343961439516E-2</v>
      </c>
      <c r="BQ270" s="14">
        <f t="shared" si="48"/>
        <v>-7.7732935602737308E-2</v>
      </c>
      <c r="BR270" s="14">
        <f t="shared" si="49"/>
        <v>-0.11490674855816052</v>
      </c>
      <c r="BS270" s="14">
        <f t="shared" si="50"/>
        <v>-8.5719846105480557E-2</v>
      </c>
      <c r="BT270" s="14">
        <f t="shared" si="51"/>
        <v>-8.674249688958402E-2</v>
      </c>
      <c r="BV270" s="749">
        <v>43889</v>
      </c>
      <c r="BW270">
        <f t="shared" si="52"/>
        <v>1.4194927877454138</v>
      </c>
      <c r="BX270">
        <f t="shared" si="53"/>
        <v>2.4501729666364027</v>
      </c>
    </row>
    <row r="271" spans="1:76" x14ac:dyDescent="0.3">
      <c r="A271" s="749">
        <v>43882</v>
      </c>
      <c r="B271">
        <v>103000</v>
      </c>
      <c r="C271">
        <v>1891.0550000000001</v>
      </c>
      <c r="D271">
        <v>59200</v>
      </c>
      <c r="E271">
        <v>56.99</v>
      </c>
      <c r="F271">
        <v>9446.69</v>
      </c>
      <c r="G271">
        <v>2255.5</v>
      </c>
      <c r="H271">
        <v>667.99</v>
      </c>
      <c r="I271">
        <v>292.42</v>
      </c>
      <c r="J271">
        <v>2033.49</v>
      </c>
      <c r="K271">
        <v>13450000</v>
      </c>
      <c r="L271">
        <v>3337.75</v>
      </c>
      <c r="AO271" s="749">
        <v>43882</v>
      </c>
      <c r="AP271">
        <v>9446.69</v>
      </c>
      <c r="AQ271">
        <v>2255.5</v>
      </c>
      <c r="AR271">
        <f t="shared" si="44"/>
        <v>2.1707546302679352</v>
      </c>
      <c r="AS271">
        <f t="shared" si="45"/>
        <v>1.1507300796914381</v>
      </c>
      <c r="BF271" s="749">
        <v>43882</v>
      </c>
      <c r="BG271">
        <v>9446.69</v>
      </c>
      <c r="BH271">
        <v>103000</v>
      </c>
      <c r="BI271">
        <v>1891.0550000000001</v>
      </c>
      <c r="BJ271">
        <v>56.99</v>
      </c>
      <c r="BK271">
        <v>3337.75</v>
      </c>
      <c r="BL271">
        <v>667.99</v>
      </c>
      <c r="BM271">
        <v>2033.49</v>
      </c>
      <c r="BN271" s="14">
        <f t="shared" si="54"/>
        <v>-1.8380893596769532E-2</v>
      </c>
      <c r="BO271" s="14">
        <f t="shared" si="46"/>
        <v>-1.4354066985645897E-2</v>
      </c>
      <c r="BP271" s="14">
        <f t="shared" si="47"/>
        <v>-3.3478690639377917E-2</v>
      </c>
      <c r="BQ271" s="14">
        <f t="shared" si="48"/>
        <v>-2.5811965811965765E-2</v>
      </c>
      <c r="BR271" s="14">
        <f t="shared" si="49"/>
        <v>-1.2546743349427181E-2</v>
      </c>
      <c r="BS271" s="14">
        <f t="shared" si="50"/>
        <v>-3.0366811339652466E-2</v>
      </c>
      <c r="BT271" s="14">
        <f t="shared" si="51"/>
        <v>-3.2219837330274781E-2</v>
      </c>
      <c r="BV271" s="749">
        <v>43882</v>
      </c>
      <c r="BW271">
        <f t="shared" si="52"/>
        <v>1.6037776645941246</v>
      </c>
      <c r="BX271">
        <f t="shared" si="53"/>
        <v>2.7166895564928573</v>
      </c>
    </row>
    <row r="272" spans="1:76" x14ac:dyDescent="0.3">
      <c r="A272" s="749">
        <v>43875</v>
      </c>
      <c r="B272">
        <v>104500</v>
      </c>
      <c r="C272">
        <v>1956.558</v>
      </c>
      <c r="D272">
        <v>61800</v>
      </c>
      <c r="E272">
        <v>58.5</v>
      </c>
      <c r="F272">
        <v>9623.58</v>
      </c>
      <c r="G272">
        <v>2334.39</v>
      </c>
      <c r="H272">
        <v>688.91</v>
      </c>
      <c r="I272">
        <v>303.01</v>
      </c>
      <c r="J272">
        <v>2101.19</v>
      </c>
      <c r="K272">
        <v>11680000</v>
      </c>
      <c r="L272">
        <v>3380.16</v>
      </c>
      <c r="AO272" s="749">
        <v>43875</v>
      </c>
      <c r="AP272">
        <v>9623.58</v>
      </c>
      <c r="AQ272">
        <v>2334.39</v>
      </c>
      <c r="AR272">
        <f t="shared" si="44"/>
        <v>2.2114021784089339</v>
      </c>
      <c r="AS272">
        <f t="shared" si="45"/>
        <v>1.1909788475862984</v>
      </c>
      <c r="BF272" s="749">
        <v>43875</v>
      </c>
      <c r="BG272">
        <v>9623.58</v>
      </c>
      <c r="BH272">
        <v>104500</v>
      </c>
      <c r="BI272">
        <v>1956.558</v>
      </c>
      <c r="BJ272">
        <v>58.5</v>
      </c>
      <c r="BK272">
        <v>3380.16</v>
      </c>
      <c r="BL272">
        <v>688.91</v>
      </c>
      <c r="BM272">
        <v>2101.19</v>
      </c>
      <c r="BN272" s="14">
        <f t="shared" si="54"/>
        <v>2.3665315760921457E-2</v>
      </c>
      <c r="BO272" s="14">
        <f t="shared" si="46"/>
        <v>5.2366565961732059E-2</v>
      </c>
      <c r="BP272" s="14">
        <f t="shared" si="47"/>
        <v>4.9451769559774261E-2</v>
      </c>
      <c r="BQ272" s="14">
        <f t="shared" si="48"/>
        <v>2.8481012658227778E-2</v>
      </c>
      <c r="BR272" s="14">
        <f t="shared" si="49"/>
        <v>1.5761589801995823E-2</v>
      </c>
      <c r="BS272" s="14">
        <f t="shared" si="50"/>
        <v>2.4203499695226061E-2</v>
      </c>
      <c r="BT272" s="14">
        <f t="shared" si="51"/>
        <v>1.8640255194547262E-2</v>
      </c>
      <c r="BV272" s="749">
        <v>43875</v>
      </c>
      <c r="BW272">
        <f t="shared" si="52"/>
        <v>1.6241555271528652</v>
      </c>
      <c r="BX272">
        <f t="shared" si="53"/>
        <v>2.8107911643355439</v>
      </c>
    </row>
    <row r="273" spans="1:76" x14ac:dyDescent="0.3">
      <c r="A273" s="749">
        <v>43868</v>
      </c>
      <c r="B273">
        <v>99300</v>
      </c>
      <c r="C273">
        <v>1864.3620000000001</v>
      </c>
      <c r="D273">
        <v>60400</v>
      </c>
      <c r="E273">
        <v>56.88</v>
      </c>
      <c r="F273">
        <v>9401.1</v>
      </c>
      <c r="G273">
        <v>2296.41</v>
      </c>
      <c r="H273">
        <v>672.63</v>
      </c>
      <c r="I273">
        <v>298.20999999999998</v>
      </c>
      <c r="J273">
        <v>2062.7399999999998</v>
      </c>
      <c r="K273">
        <v>14500000</v>
      </c>
      <c r="L273">
        <v>3327.71</v>
      </c>
      <c r="AO273" s="749">
        <v>43868</v>
      </c>
      <c r="AP273">
        <v>9401.1</v>
      </c>
      <c r="AQ273">
        <v>2296.41</v>
      </c>
      <c r="AR273">
        <f t="shared" si="44"/>
        <v>2.1602785054460223</v>
      </c>
      <c r="AS273">
        <f t="shared" si="45"/>
        <v>1.1716018897380691</v>
      </c>
      <c r="BF273" s="749">
        <v>43868</v>
      </c>
      <c r="BG273">
        <v>9401.1</v>
      </c>
      <c r="BH273">
        <v>99300</v>
      </c>
      <c r="BI273">
        <v>1864.3620000000001</v>
      </c>
      <c r="BJ273">
        <v>56.88</v>
      </c>
      <c r="BK273">
        <v>3327.71</v>
      </c>
      <c r="BL273">
        <v>672.63</v>
      </c>
      <c r="BM273">
        <v>2062.7399999999998</v>
      </c>
      <c r="BN273" s="14">
        <f t="shared" si="54"/>
        <v>4.5552971636577233E-2</v>
      </c>
      <c r="BO273" s="14">
        <f t="shared" si="46"/>
        <v>6.2032085561497308E-2</v>
      </c>
      <c r="BP273" s="14">
        <f t="shared" si="47"/>
        <v>4.1585494827442782E-2</v>
      </c>
      <c r="BQ273" s="14">
        <f t="shared" si="48"/>
        <v>7.1388208702203748E-2</v>
      </c>
      <c r="BR273" s="14">
        <f t="shared" si="49"/>
        <v>3.1681713336144224E-2</v>
      </c>
      <c r="BS273" s="14">
        <f t="shared" si="50"/>
        <v>4.6927530818079877E-2</v>
      </c>
      <c r="BT273" s="14">
        <f t="shared" si="51"/>
        <v>4.9414685517472856E-2</v>
      </c>
      <c r="BV273" s="749">
        <v>43868</v>
      </c>
      <c r="BW273">
        <f t="shared" si="52"/>
        <v>1.5989534783151866</v>
      </c>
      <c r="BX273">
        <f t="shared" si="53"/>
        <v>2.6783423934904786</v>
      </c>
    </row>
    <row r="274" spans="1:76" x14ac:dyDescent="0.3">
      <c r="A274" s="749">
        <v>43861</v>
      </c>
      <c r="B274">
        <v>93500</v>
      </c>
      <c r="C274">
        <v>1789.9269999999999</v>
      </c>
      <c r="D274">
        <v>56400</v>
      </c>
      <c r="E274">
        <v>53.09</v>
      </c>
      <c r="F274">
        <v>8991.51</v>
      </c>
      <c r="G274">
        <v>2189.17</v>
      </c>
      <c r="H274">
        <v>642.48</v>
      </c>
      <c r="I274">
        <v>284.52999999999997</v>
      </c>
      <c r="J274">
        <v>1965.61</v>
      </c>
      <c r="K274">
        <v>14190000</v>
      </c>
      <c r="L274">
        <v>3225.52</v>
      </c>
      <c r="AO274" s="749">
        <v>43861</v>
      </c>
      <c r="AP274">
        <v>8991.51</v>
      </c>
      <c r="AQ274">
        <v>2189.17</v>
      </c>
      <c r="AR274">
        <f t="shared" si="44"/>
        <v>2.0661588308286225</v>
      </c>
      <c r="AS274">
        <f t="shared" si="45"/>
        <v>1.1168892788996256</v>
      </c>
      <c r="BF274" s="749">
        <v>43861</v>
      </c>
      <c r="BG274">
        <v>8991.51</v>
      </c>
      <c r="BH274">
        <v>93500</v>
      </c>
      <c r="BI274">
        <v>1789.9269999999999</v>
      </c>
      <c r="BJ274">
        <v>53.09</v>
      </c>
      <c r="BK274">
        <v>3225.52</v>
      </c>
      <c r="BL274">
        <v>642.48</v>
      </c>
      <c r="BM274">
        <v>1965.61</v>
      </c>
      <c r="BN274" s="14">
        <f t="shared" si="54"/>
        <v>-1.6404363849577663E-2</v>
      </c>
      <c r="BO274" s="14">
        <f t="shared" si="46"/>
        <v>-5.268490374873358E-2</v>
      </c>
      <c r="BP274" s="14">
        <f t="shared" si="47"/>
        <v>-6.9697566614190021E-2</v>
      </c>
      <c r="BQ274" s="14">
        <f t="shared" si="48"/>
        <v>-8.0851800554016529E-2</v>
      </c>
      <c r="BR274" s="14">
        <f t="shared" si="49"/>
        <v>-2.1226107353427559E-2</v>
      </c>
      <c r="BS274" s="14">
        <f t="shared" si="50"/>
        <v>-6.2852808611812083E-2</v>
      </c>
      <c r="BT274" s="14">
        <f t="shared" si="51"/>
        <v>-5.598912683280588E-2</v>
      </c>
      <c r="BV274" s="749">
        <v>43861</v>
      </c>
      <c r="BW274">
        <f t="shared" si="52"/>
        <v>1.5498515265378296</v>
      </c>
      <c r="BX274">
        <f t="shared" si="53"/>
        <v>2.5714090747146914</v>
      </c>
    </row>
    <row r="275" spans="1:76" x14ac:dyDescent="0.3">
      <c r="A275" s="749">
        <v>43854</v>
      </c>
      <c r="B275">
        <v>98700</v>
      </c>
      <c r="C275">
        <v>1924.027</v>
      </c>
      <c r="D275">
        <v>60800</v>
      </c>
      <c r="E275">
        <v>57.76</v>
      </c>
      <c r="F275">
        <v>9141.4699999999993</v>
      </c>
      <c r="G275">
        <v>2323.61</v>
      </c>
      <c r="H275">
        <v>685.57</v>
      </c>
      <c r="I275">
        <v>302.33</v>
      </c>
      <c r="J275">
        <v>2082.19</v>
      </c>
      <c r="K275">
        <v>8300000</v>
      </c>
      <c r="L275">
        <v>3295.47</v>
      </c>
      <c r="AO275" s="749">
        <v>43854</v>
      </c>
      <c r="AP275">
        <v>9141.4699999999993</v>
      </c>
      <c r="AQ275">
        <v>2323.61</v>
      </c>
      <c r="AR275">
        <f t="shared" si="44"/>
        <v>2.1006181350245874</v>
      </c>
      <c r="AS275">
        <f t="shared" si="45"/>
        <v>1.1854790159484914</v>
      </c>
      <c r="BF275" s="749">
        <v>43854</v>
      </c>
      <c r="BG275">
        <v>9141.4699999999993</v>
      </c>
      <c r="BH275">
        <v>98700</v>
      </c>
      <c r="BI275">
        <v>1924.027</v>
      </c>
      <c r="BJ275">
        <v>57.76</v>
      </c>
      <c r="BK275">
        <v>3295.47</v>
      </c>
      <c r="BL275">
        <v>685.57</v>
      </c>
      <c r="BM275">
        <v>2082.19</v>
      </c>
      <c r="BN275" s="14">
        <f t="shared" si="54"/>
        <v>-3.5165630555946681E-3</v>
      </c>
      <c r="BO275" s="14">
        <f t="shared" si="46"/>
        <v>-3.0303030303030498E-3</v>
      </c>
      <c r="BP275" s="14">
        <f t="shared" si="47"/>
        <v>3.8651396026023743E-3</v>
      </c>
      <c r="BQ275" s="14">
        <f t="shared" si="48"/>
        <v>1.734304543878018E-3</v>
      </c>
      <c r="BR275" s="14">
        <f t="shared" si="49"/>
        <v>-1.0256425658183299E-2</v>
      </c>
      <c r="BS275" s="14">
        <f t="shared" si="50"/>
        <v>-4.1254484972617078E-3</v>
      </c>
      <c r="BT275" s="14">
        <f t="shared" si="51"/>
        <v>-3.8406329363060987E-4</v>
      </c>
      <c r="BV275" s="749">
        <v>43854</v>
      </c>
      <c r="BW275">
        <f t="shared" si="52"/>
        <v>1.5834622665987566</v>
      </c>
      <c r="BX275">
        <f t="shared" si="53"/>
        <v>2.7640571307076121</v>
      </c>
    </row>
    <row r="276" spans="1:76" x14ac:dyDescent="0.3">
      <c r="A276" s="749">
        <v>43847</v>
      </c>
      <c r="B276">
        <v>99000</v>
      </c>
      <c r="C276">
        <v>1916.6189999999999</v>
      </c>
      <c r="D276">
        <v>61300</v>
      </c>
      <c r="E276">
        <v>57.66</v>
      </c>
      <c r="F276">
        <v>9173.73</v>
      </c>
      <c r="G276">
        <v>2330.5</v>
      </c>
      <c r="H276">
        <v>688.41</v>
      </c>
      <c r="I276">
        <v>303.3</v>
      </c>
      <c r="J276">
        <v>2082.9899999999998</v>
      </c>
      <c r="K276">
        <v>12970000</v>
      </c>
      <c r="L276">
        <v>3329.62</v>
      </c>
      <c r="AO276" s="749">
        <v>43847</v>
      </c>
      <c r="AP276">
        <v>9173.73</v>
      </c>
      <c r="AQ276">
        <v>2330.5</v>
      </c>
      <c r="AR276">
        <f t="shared" si="44"/>
        <v>2.1080311595201984</v>
      </c>
      <c r="AS276">
        <f t="shared" si="45"/>
        <v>1.1889942144628225</v>
      </c>
      <c r="BF276" s="749">
        <v>43847</v>
      </c>
      <c r="BG276">
        <v>9173.73</v>
      </c>
      <c r="BH276">
        <v>99000</v>
      </c>
      <c r="BI276">
        <v>1916.6189999999999</v>
      </c>
      <c r="BJ276">
        <v>57.66</v>
      </c>
      <c r="BK276">
        <v>3329.62</v>
      </c>
      <c r="BL276">
        <v>688.41</v>
      </c>
      <c r="BM276">
        <v>2082.9899999999998</v>
      </c>
      <c r="BN276" s="14">
        <f t="shared" si="54"/>
        <v>2.3095607719279432E-2</v>
      </c>
      <c r="BO276" s="14">
        <f t="shared" si="46"/>
        <v>1.0111223458038054E-3</v>
      </c>
      <c r="BP276" s="14">
        <f t="shared" si="47"/>
        <v>2.6934390655557694E-2</v>
      </c>
      <c r="BQ276" s="14">
        <f t="shared" si="48"/>
        <v>1.7469560614081336E-2</v>
      </c>
      <c r="BR276" s="14">
        <f t="shared" si="49"/>
        <v>1.9682423017440609E-2</v>
      </c>
      <c r="BS276" s="14">
        <f t="shared" si="50"/>
        <v>2.2851878816694704E-2</v>
      </c>
      <c r="BT276" s="14">
        <f t="shared" si="51"/>
        <v>2.0693271134283098E-2</v>
      </c>
      <c r="BV276" s="749">
        <v>43847</v>
      </c>
      <c r="BW276">
        <f t="shared" si="52"/>
        <v>1.5998712269001241</v>
      </c>
      <c r="BX276">
        <f t="shared" si="53"/>
        <v>2.7534147981289721</v>
      </c>
    </row>
    <row r="277" spans="1:76" x14ac:dyDescent="0.3">
      <c r="A277" s="749">
        <v>43840</v>
      </c>
      <c r="B277">
        <v>98900</v>
      </c>
      <c r="C277">
        <v>1866.35</v>
      </c>
      <c r="D277">
        <v>59500</v>
      </c>
      <c r="E277">
        <v>56.67</v>
      </c>
      <c r="F277">
        <v>8966.64</v>
      </c>
      <c r="G277">
        <v>2282.44</v>
      </c>
      <c r="H277">
        <v>673.03</v>
      </c>
      <c r="I277">
        <v>297.06</v>
      </c>
      <c r="J277">
        <v>2040.76</v>
      </c>
      <c r="K277">
        <v>18540000</v>
      </c>
      <c r="L277">
        <v>3265.35</v>
      </c>
      <c r="AO277" s="749">
        <v>43840</v>
      </c>
      <c r="AP277">
        <v>8966.64</v>
      </c>
      <c r="AQ277">
        <v>2282.44</v>
      </c>
      <c r="AR277">
        <f t="shared" si="44"/>
        <v>2.0604439542258373</v>
      </c>
      <c r="AS277">
        <f t="shared" si="45"/>
        <v>1.1644745569013195</v>
      </c>
      <c r="BF277" s="749">
        <v>43840</v>
      </c>
      <c r="BG277">
        <v>8966.64</v>
      </c>
      <c r="BH277">
        <v>98900</v>
      </c>
      <c r="BI277">
        <v>1866.35</v>
      </c>
      <c r="BJ277">
        <v>56.67</v>
      </c>
      <c r="BK277">
        <v>3265.35</v>
      </c>
      <c r="BL277">
        <v>673.03</v>
      </c>
      <c r="BM277">
        <v>2040.76</v>
      </c>
      <c r="BN277" s="14">
        <f t="shared" si="54"/>
        <v>1.9643161737113113E-2</v>
      </c>
      <c r="BO277" s="14">
        <f t="shared" si="46"/>
        <v>4.6560846560846469E-2</v>
      </c>
      <c r="BP277" s="14">
        <f t="shared" si="47"/>
        <v>6.6743043059886986E-3</v>
      </c>
      <c r="BQ277" s="14">
        <f t="shared" si="48"/>
        <v>3.9244452594901835E-2</v>
      </c>
      <c r="BR277" s="14">
        <f t="shared" si="49"/>
        <v>9.4285670123808174E-3</v>
      </c>
      <c r="BS277" s="14">
        <f t="shared" si="50"/>
        <v>4.6273491260280242E-3</v>
      </c>
      <c r="BT277" s="14">
        <f t="shared" si="51"/>
        <v>2.5337506845598545E-2</v>
      </c>
      <c r="BV277" s="749">
        <v>43840</v>
      </c>
      <c r="BW277">
        <f t="shared" si="52"/>
        <v>1.5689897077619428</v>
      </c>
      <c r="BX277">
        <f t="shared" si="53"/>
        <v>2.6811983542310744</v>
      </c>
    </row>
    <row r="278" spans="1:76" x14ac:dyDescent="0.3">
      <c r="A278" s="749">
        <v>43833</v>
      </c>
      <c r="B278">
        <v>94500</v>
      </c>
      <c r="C278">
        <v>1853.9760000000001</v>
      </c>
      <c r="D278">
        <v>55500</v>
      </c>
      <c r="E278">
        <v>54.53</v>
      </c>
      <c r="F278">
        <v>8793.9</v>
      </c>
      <c r="G278">
        <v>2230.5500000000002</v>
      </c>
      <c r="H278">
        <v>669.93</v>
      </c>
      <c r="I278">
        <v>290.74</v>
      </c>
      <c r="J278">
        <v>1990.33</v>
      </c>
      <c r="K278">
        <v>7230000</v>
      </c>
      <c r="L278">
        <v>3234.85</v>
      </c>
      <c r="AO278" s="749">
        <v>43833</v>
      </c>
      <c r="AP278">
        <v>8793.9</v>
      </c>
      <c r="AQ278">
        <v>2230.5500000000002</v>
      </c>
      <c r="AR278">
        <f t="shared" si="44"/>
        <v>2.0207500344684957</v>
      </c>
      <c r="AS278">
        <f t="shared" si="45"/>
        <v>1.1380008775241575</v>
      </c>
      <c r="BF278" s="749">
        <v>43833</v>
      </c>
      <c r="BG278">
        <v>8793.9</v>
      </c>
      <c r="BH278">
        <v>94500</v>
      </c>
      <c r="BI278">
        <v>1853.9760000000001</v>
      </c>
      <c r="BJ278">
        <v>54.53</v>
      </c>
      <c r="BK278">
        <v>3234.85</v>
      </c>
      <c r="BL278">
        <v>669.93</v>
      </c>
      <c r="BM278">
        <v>1990.33</v>
      </c>
      <c r="BN278" s="14">
        <f t="shared" si="54"/>
        <v>2.6131629532846201E-3</v>
      </c>
      <c r="BO278" s="14">
        <f t="shared" si="46"/>
        <v>-1.5625E-2</v>
      </c>
      <c r="BP278" s="14">
        <f t="shared" si="47"/>
        <v>-2.4825270769776031E-3</v>
      </c>
      <c r="BQ278" s="14">
        <f t="shared" si="48"/>
        <v>9.2541180825467251E-3</v>
      </c>
      <c r="BR278" s="14">
        <f t="shared" si="49"/>
        <v>-1.5956691625360619E-3</v>
      </c>
      <c r="BS278" s="14">
        <f t="shared" si="50"/>
        <v>1.3141975682051887E-2</v>
      </c>
      <c r="BT278" s="14">
        <f t="shared" si="51"/>
        <v>-1.5867129478545627E-2</v>
      </c>
      <c r="BV278" s="749">
        <v>43833</v>
      </c>
      <c r="BW278">
        <f t="shared" si="52"/>
        <v>1.5543345602014242</v>
      </c>
      <c r="BX278">
        <f t="shared" si="53"/>
        <v>2.6634218662008253</v>
      </c>
    </row>
    <row r="279" spans="1:76" x14ac:dyDescent="0.3">
      <c r="A279" s="749">
        <v>43826</v>
      </c>
      <c r="B279">
        <v>96000</v>
      </c>
      <c r="C279">
        <v>1858.59</v>
      </c>
      <c r="D279">
        <v>56500</v>
      </c>
      <c r="E279">
        <v>54.03</v>
      </c>
      <c r="F279">
        <v>8770.98</v>
      </c>
      <c r="G279">
        <v>2266.12</v>
      </c>
      <c r="H279">
        <v>661.24</v>
      </c>
      <c r="I279">
        <v>295.2</v>
      </c>
      <c r="J279">
        <v>2022.42</v>
      </c>
      <c r="K279">
        <v>6970000</v>
      </c>
      <c r="L279">
        <v>3240.02</v>
      </c>
      <c r="AO279" s="749">
        <v>43826</v>
      </c>
      <c r="AP279">
        <v>8770.98</v>
      </c>
      <c r="AQ279">
        <v>2266.12</v>
      </c>
      <c r="AR279">
        <f t="shared" si="44"/>
        <v>2.0154832483110434</v>
      </c>
      <c r="AS279">
        <f t="shared" si="45"/>
        <v>1.1561482811750661</v>
      </c>
      <c r="BF279" s="749">
        <v>43826</v>
      </c>
      <c r="BG279">
        <v>8770.98</v>
      </c>
      <c r="BH279">
        <v>96000</v>
      </c>
      <c r="BI279">
        <v>1858.59</v>
      </c>
      <c r="BJ279">
        <v>54.03</v>
      </c>
      <c r="BK279">
        <v>3240.02</v>
      </c>
      <c r="BL279">
        <v>661.24</v>
      </c>
      <c r="BM279">
        <v>2022.42</v>
      </c>
      <c r="BN279" s="14">
        <f t="shared" si="54"/>
        <v>1.0657383945824606E-2</v>
      </c>
      <c r="BO279" s="14">
        <f t="shared" si="46"/>
        <v>1.0526315789473717E-2</v>
      </c>
      <c r="BP279" s="14">
        <f t="shared" si="47"/>
        <v>2.5465661273800233E-3</v>
      </c>
      <c r="BQ279" s="14">
        <f t="shared" si="48"/>
        <v>-1.870686523792231E-2</v>
      </c>
      <c r="BR279" s="14">
        <f t="shared" si="49"/>
        <v>5.836298048565558E-3</v>
      </c>
      <c r="BS279" s="14">
        <f t="shared" si="50"/>
        <v>1.7715050867283422E-2</v>
      </c>
      <c r="BT279" s="14">
        <f t="shared" si="51"/>
        <v>-9.0403853278986368E-4</v>
      </c>
      <c r="BV279" s="749">
        <v>43826</v>
      </c>
      <c r="BW279">
        <f t="shared" si="52"/>
        <v>1.5568187278370926</v>
      </c>
      <c r="BX279">
        <f t="shared" si="53"/>
        <v>2.670050338462953</v>
      </c>
    </row>
    <row r="280" spans="1:76" x14ac:dyDescent="0.3">
      <c r="A280" s="749">
        <v>43819</v>
      </c>
      <c r="B280">
        <v>95000</v>
      </c>
      <c r="C280">
        <v>1853.8689999999999</v>
      </c>
      <c r="D280">
        <v>56000</v>
      </c>
      <c r="E280">
        <v>55.06</v>
      </c>
      <c r="F280">
        <v>8678.49</v>
      </c>
      <c r="G280">
        <v>2268.04</v>
      </c>
      <c r="H280">
        <v>649.73</v>
      </c>
      <c r="I280">
        <v>295.31</v>
      </c>
      <c r="J280">
        <v>2024.25</v>
      </c>
      <c r="K280">
        <v>18890000</v>
      </c>
      <c r="L280">
        <v>3221.22</v>
      </c>
      <c r="AO280" s="749">
        <v>43819</v>
      </c>
      <c r="AP280">
        <v>8678.49</v>
      </c>
      <c r="AQ280">
        <v>2268.04</v>
      </c>
      <c r="AR280">
        <f t="shared" si="44"/>
        <v>1.9942299738039431</v>
      </c>
      <c r="AS280">
        <f t="shared" si="45"/>
        <v>1.1571278430252134</v>
      </c>
      <c r="BF280" s="749">
        <v>43819</v>
      </c>
      <c r="BG280">
        <v>8678.49</v>
      </c>
      <c r="BH280">
        <v>95000</v>
      </c>
      <c r="BI280">
        <v>1853.8689999999999</v>
      </c>
      <c r="BJ280">
        <v>55.06</v>
      </c>
      <c r="BK280">
        <v>3221.22</v>
      </c>
      <c r="BL280">
        <v>649.73</v>
      </c>
      <c r="BM280">
        <v>2024.25</v>
      </c>
      <c r="BN280" s="14">
        <f t="shared" si="54"/>
        <v>2.24772052768063E-2</v>
      </c>
      <c r="BO280" s="14">
        <f t="shared" si="46"/>
        <v>8.0773606370875939E-2</v>
      </c>
      <c r="BP280" s="14">
        <f t="shared" si="47"/>
        <v>3.2198632657754134E-2</v>
      </c>
      <c r="BQ280" s="14">
        <f t="shared" si="48"/>
        <v>7.5390625000000044E-2</v>
      </c>
      <c r="BR280" s="14">
        <f t="shared" si="49"/>
        <v>1.6542539762686159E-2</v>
      </c>
      <c r="BS280" s="14">
        <f t="shared" si="50"/>
        <v>9.7598881031937257E-3</v>
      </c>
      <c r="BT280" s="14">
        <f t="shared" si="51"/>
        <v>2.1007767577928105E-2</v>
      </c>
      <c r="BV280" s="749">
        <v>43819</v>
      </c>
      <c r="BW280">
        <f t="shared" si="52"/>
        <v>1.5477853909801171</v>
      </c>
      <c r="BX280">
        <f t="shared" si="53"/>
        <v>2.6632681500040225</v>
      </c>
    </row>
    <row r="281" spans="1:76" x14ac:dyDescent="0.3">
      <c r="A281" s="749">
        <v>43812</v>
      </c>
      <c r="B281">
        <v>87900</v>
      </c>
      <c r="C281">
        <v>1796.039</v>
      </c>
      <c r="D281">
        <v>54700</v>
      </c>
      <c r="E281">
        <v>51.2</v>
      </c>
      <c r="F281">
        <v>8487.7099999999991</v>
      </c>
      <c r="G281">
        <v>2226.54</v>
      </c>
      <c r="H281">
        <v>643.45000000000005</v>
      </c>
      <c r="I281">
        <v>290.11</v>
      </c>
      <c r="J281">
        <v>1982.6</v>
      </c>
      <c r="K281">
        <v>17210000</v>
      </c>
      <c r="L281">
        <v>3168.8</v>
      </c>
      <c r="AO281" s="749">
        <v>43812</v>
      </c>
      <c r="AP281">
        <v>8487.7099999999991</v>
      </c>
      <c r="AQ281">
        <v>2226.54</v>
      </c>
      <c r="AR281">
        <f t="shared" si="44"/>
        <v>1.9503906429523412</v>
      </c>
      <c r="AS281">
        <f t="shared" si="45"/>
        <v>1.1359550217850474</v>
      </c>
      <c r="BF281" s="749">
        <v>43812</v>
      </c>
      <c r="BG281">
        <v>8487.7099999999991</v>
      </c>
      <c r="BH281">
        <v>87900</v>
      </c>
      <c r="BI281">
        <v>1796.039</v>
      </c>
      <c r="BJ281">
        <v>51.2</v>
      </c>
      <c r="BK281">
        <v>3168.8</v>
      </c>
      <c r="BL281">
        <v>643.45000000000005</v>
      </c>
      <c r="BM281">
        <v>1982.6</v>
      </c>
      <c r="BN281" s="14">
        <f t="shared" si="54"/>
        <v>1.0758130224105766E-2</v>
      </c>
      <c r="BO281" s="14">
        <f t="shared" si="46"/>
        <v>9.057071960297769E-2</v>
      </c>
      <c r="BP281" s="14">
        <f t="shared" si="47"/>
        <v>4.1658474513850186E-2</v>
      </c>
      <c r="BQ281" s="14">
        <f t="shared" si="48"/>
        <v>6.8224494053828577E-2</v>
      </c>
      <c r="BR281" s="14">
        <f t="shared" si="49"/>
        <v>7.2761140655646095E-3</v>
      </c>
      <c r="BS281" s="14">
        <f t="shared" si="50"/>
        <v>2.4438783633179417E-2</v>
      </c>
      <c r="BT281" s="14">
        <f t="shared" si="51"/>
        <v>5.1308700632079152E-2</v>
      </c>
      <c r="BV281" s="749">
        <v>43812</v>
      </c>
      <c r="BW281">
        <f t="shared" si="52"/>
        <v>1.5225977570416784</v>
      </c>
      <c r="BX281">
        <f t="shared" si="53"/>
        <v>2.5801895737320568</v>
      </c>
    </row>
    <row r="282" spans="1:76" x14ac:dyDescent="0.3">
      <c r="A282" s="749">
        <v>43805</v>
      </c>
      <c r="B282">
        <v>80600</v>
      </c>
      <c r="C282">
        <v>1724.211</v>
      </c>
      <c r="D282">
        <v>50400</v>
      </c>
      <c r="E282">
        <v>47.93</v>
      </c>
      <c r="F282">
        <v>8397.3700000000008</v>
      </c>
      <c r="G282">
        <v>2118.6</v>
      </c>
      <c r="H282">
        <v>628.1</v>
      </c>
      <c r="I282">
        <v>276.56</v>
      </c>
      <c r="J282">
        <v>1885.84</v>
      </c>
      <c r="K282">
        <v>26490000</v>
      </c>
      <c r="L282">
        <v>3145.91</v>
      </c>
      <c r="AO282" s="749">
        <v>43805</v>
      </c>
      <c r="AP282">
        <v>8397.3700000000008</v>
      </c>
      <c r="AQ282">
        <v>2118.6</v>
      </c>
      <c r="AR282">
        <f t="shared" si="44"/>
        <v>1.9296314168849673</v>
      </c>
      <c r="AS282">
        <f t="shared" si="45"/>
        <v>1.0808852790220707</v>
      </c>
      <c r="BF282" s="749">
        <v>43805</v>
      </c>
      <c r="BG282">
        <v>8397.3700000000008</v>
      </c>
      <c r="BH282">
        <v>80600</v>
      </c>
      <c r="BI282">
        <v>1724.211</v>
      </c>
      <c r="BJ282">
        <v>47.93</v>
      </c>
      <c r="BK282">
        <v>3145.91</v>
      </c>
      <c r="BL282">
        <v>628.1</v>
      </c>
      <c r="BM282">
        <v>1885.84</v>
      </c>
      <c r="BN282" s="14">
        <f t="shared" si="54"/>
        <v>-7.5205058730154484E-4</v>
      </c>
      <c r="BO282" s="14">
        <f t="shared" si="46"/>
        <v>-3.7082818294190689E-3</v>
      </c>
      <c r="BP282" s="14">
        <f t="shared" si="47"/>
        <v>4.2904280817428475E-3</v>
      </c>
      <c r="BQ282" s="14">
        <f t="shared" si="48"/>
        <v>8.840244159124433E-3</v>
      </c>
      <c r="BR282" s="14">
        <f t="shared" si="49"/>
        <v>1.5695738272767379E-3</v>
      </c>
      <c r="BS282" s="14">
        <f t="shared" si="50"/>
        <v>-7.7252405251267975E-3</v>
      </c>
      <c r="BT282" s="14">
        <f t="shared" si="51"/>
        <v>-1.802585119130562E-4</v>
      </c>
      <c r="BV282" s="749">
        <v>43805</v>
      </c>
      <c r="BW282">
        <f t="shared" si="52"/>
        <v>1.5115991889216696</v>
      </c>
      <c r="BX282">
        <f t="shared" si="53"/>
        <v>2.4770014710783697</v>
      </c>
    </row>
    <row r="283" spans="1:76" x14ac:dyDescent="0.3">
      <c r="A283" s="749">
        <v>43798</v>
      </c>
      <c r="B283">
        <v>80900</v>
      </c>
      <c r="C283">
        <v>1716.845</v>
      </c>
      <c r="D283">
        <v>50300</v>
      </c>
      <c r="E283">
        <v>47.51</v>
      </c>
      <c r="F283">
        <v>8403.69</v>
      </c>
      <c r="G283">
        <v>2118.54</v>
      </c>
      <c r="H283">
        <v>632.99</v>
      </c>
      <c r="I283">
        <v>276.77999999999997</v>
      </c>
      <c r="J283">
        <v>1886.18</v>
      </c>
      <c r="K283">
        <v>12000000</v>
      </c>
      <c r="L283">
        <v>3140.98</v>
      </c>
      <c r="AO283" s="749">
        <v>43798</v>
      </c>
      <c r="AP283">
        <v>8403.69</v>
      </c>
      <c r="AQ283">
        <v>2118.54</v>
      </c>
      <c r="AR283">
        <f t="shared" si="44"/>
        <v>1.9310836895077899</v>
      </c>
      <c r="AS283">
        <f t="shared" si="45"/>
        <v>1.0808546677142536</v>
      </c>
      <c r="BF283" s="749">
        <v>43798</v>
      </c>
      <c r="BG283">
        <v>8403.69</v>
      </c>
      <c r="BH283">
        <v>80900</v>
      </c>
      <c r="BI283">
        <v>1716.845</v>
      </c>
      <c r="BJ283">
        <v>47.51</v>
      </c>
      <c r="BK283">
        <v>3140.98</v>
      </c>
      <c r="BL283">
        <v>632.99</v>
      </c>
      <c r="BM283">
        <v>1886.18</v>
      </c>
      <c r="BN283" s="14">
        <f t="shared" si="54"/>
        <v>1.5913830308085908E-2</v>
      </c>
      <c r="BO283" s="14">
        <f t="shared" si="46"/>
        <v>-9.7919216646267238E-3</v>
      </c>
      <c r="BP283" s="14">
        <f t="shared" si="47"/>
        <v>1.5412959069307952E-2</v>
      </c>
      <c r="BQ283" s="14">
        <f t="shared" si="48"/>
        <v>3.5753215609330757E-2</v>
      </c>
      <c r="BR283" s="14">
        <f t="shared" si="49"/>
        <v>9.8672471055754052E-3</v>
      </c>
      <c r="BS283" s="14">
        <f t="shared" si="50"/>
        <v>-1.467062089853477E-3</v>
      </c>
      <c r="BT283" s="14">
        <f t="shared" si="51"/>
        <v>-1.2238485507056529E-2</v>
      </c>
      <c r="BV283" s="749">
        <v>43798</v>
      </c>
      <c r="BW283">
        <f t="shared" si="52"/>
        <v>1.5092303404799201</v>
      </c>
      <c r="BX283">
        <f t="shared" si="53"/>
        <v>2.466419475698475</v>
      </c>
    </row>
    <row r="284" spans="1:76" x14ac:dyDescent="0.3">
      <c r="A284" s="749">
        <v>43791</v>
      </c>
      <c r="B284">
        <v>81700</v>
      </c>
      <c r="C284">
        <v>1690.7850000000001</v>
      </c>
      <c r="D284">
        <v>51600</v>
      </c>
      <c r="E284">
        <v>45.87</v>
      </c>
      <c r="F284">
        <v>8272.0499999999993</v>
      </c>
      <c r="G284">
        <v>2142.2600000000002</v>
      </c>
      <c r="H284">
        <v>633.91999999999996</v>
      </c>
      <c r="I284">
        <v>279.43</v>
      </c>
      <c r="J284">
        <v>1909.55</v>
      </c>
      <c r="K284">
        <v>12840000</v>
      </c>
      <c r="L284">
        <v>3110.29</v>
      </c>
      <c r="AO284" s="749">
        <v>43791</v>
      </c>
      <c r="AP284">
        <v>8272.0499999999993</v>
      </c>
      <c r="AQ284">
        <v>2142.2600000000002</v>
      </c>
      <c r="AR284">
        <f t="shared" si="44"/>
        <v>1.9008341375982349</v>
      </c>
      <c r="AS284">
        <f t="shared" si="45"/>
        <v>1.0929563380712837</v>
      </c>
      <c r="BF284" s="749">
        <v>43791</v>
      </c>
      <c r="BG284">
        <v>8272.0499999999993</v>
      </c>
      <c r="BH284">
        <v>81700</v>
      </c>
      <c r="BI284">
        <v>1690.7850000000001</v>
      </c>
      <c r="BJ284">
        <v>45.87</v>
      </c>
      <c r="BK284">
        <v>3110.29</v>
      </c>
      <c r="BL284">
        <v>633.91999999999996</v>
      </c>
      <c r="BM284">
        <v>1909.55</v>
      </c>
      <c r="BN284" s="14">
        <f t="shared" si="54"/>
        <v>-5.2275744631725685E-3</v>
      </c>
      <c r="BO284" s="14">
        <f t="shared" si="46"/>
        <v>-4.1079812206572752E-2</v>
      </c>
      <c r="BP284" s="14">
        <f t="shared" si="47"/>
        <v>-2.9919681364688144E-2</v>
      </c>
      <c r="BQ284" s="14">
        <f t="shared" si="48"/>
        <v>-3.8566338293858804E-2</v>
      </c>
      <c r="BR284" s="14">
        <f t="shared" si="49"/>
        <v>-3.259134871140823E-3</v>
      </c>
      <c r="BS284" s="14">
        <f t="shared" si="50"/>
        <v>-5.1741933553724029E-2</v>
      </c>
      <c r="BT284" s="14">
        <f t="shared" si="51"/>
        <v>-2.607272003957839E-2</v>
      </c>
      <c r="BV284" s="749">
        <v>43791</v>
      </c>
      <c r="BW284">
        <f t="shared" si="52"/>
        <v>1.4944838985575493</v>
      </c>
      <c r="BX284">
        <f t="shared" si="53"/>
        <v>2.4289816804771811</v>
      </c>
    </row>
    <row r="285" spans="1:76" x14ac:dyDescent="0.3">
      <c r="A285" s="749">
        <v>43784</v>
      </c>
      <c r="B285">
        <v>85200</v>
      </c>
      <c r="C285">
        <v>1742.933</v>
      </c>
      <c r="D285">
        <v>53700</v>
      </c>
      <c r="E285">
        <v>47.71</v>
      </c>
      <c r="F285">
        <v>8315.52</v>
      </c>
      <c r="G285">
        <v>2201.92</v>
      </c>
      <c r="H285">
        <v>668.51</v>
      </c>
      <c r="I285">
        <v>287.29000000000002</v>
      </c>
      <c r="J285">
        <v>1960.67</v>
      </c>
      <c r="K285">
        <v>9010000</v>
      </c>
      <c r="L285">
        <v>3120.46</v>
      </c>
      <c r="AO285" s="749">
        <v>43784</v>
      </c>
      <c r="AP285">
        <v>8315.52</v>
      </c>
      <c r="AQ285">
        <v>2201.92</v>
      </c>
      <c r="AR285">
        <f t="shared" si="44"/>
        <v>1.910823107679581</v>
      </c>
      <c r="AS285">
        <f t="shared" si="45"/>
        <v>1.1233941818107609</v>
      </c>
      <c r="BF285" s="749">
        <v>43784</v>
      </c>
      <c r="BG285">
        <v>8315.52</v>
      </c>
      <c r="BH285">
        <v>85200</v>
      </c>
      <c r="BI285">
        <v>1742.933</v>
      </c>
      <c r="BJ285">
        <v>47.71</v>
      </c>
      <c r="BK285">
        <v>3120.46</v>
      </c>
      <c r="BL285">
        <v>668.51</v>
      </c>
      <c r="BM285">
        <v>1960.67</v>
      </c>
      <c r="BN285" s="14">
        <f t="shared" si="54"/>
        <v>7.222722201967402E-3</v>
      </c>
      <c r="BO285" s="14">
        <f t="shared" si="46"/>
        <v>3.523693803159178E-2</v>
      </c>
      <c r="BP285" s="14">
        <f t="shared" si="47"/>
        <v>3.5410295932192248E-3</v>
      </c>
      <c r="BQ285" s="14">
        <f t="shared" si="48"/>
        <v>1.1019283746556585E-2</v>
      </c>
      <c r="BR285" s="14">
        <f t="shared" si="49"/>
        <v>8.8520180532025705E-3</v>
      </c>
      <c r="BS285" s="14">
        <f t="shared" si="50"/>
        <v>5.8832380379174598E-3</v>
      </c>
      <c r="BT285" s="14">
        <f t="shared" si="51"/>
        <v>1.7008320019918255E-2</v>
      </c>
      <c r="BV285" s="749">
        <v>43784</v>
      </c>
      <c r="BW285">
        <f t="shared" si="52"/>
        <v>1.4993705493998599</v>
      </c>
      <c r="BX285">
        <f t="shared" si="53"/>
        <v>2.5038974957189324</v>
      </c>
    </row>
    <row r="286" spans="1:76" x14ac:dyDescent="0.3">
      <c r="A286" s="749">
        <v>43777</v>
      </c>
      <c r="B286">
        <v>82300</v>
      </c>
      <c r="C286">
        <v>1736.7829999999999</v>
      </c>
      <c r="D286">
        <v>52100</v>
      </c>
      <c r="E286">
        <v>47.19</v>
      </c>
      <c r="F286">
        <v>8255.89</v>
      </c>
      <c r="G286">
        <v>2167.9899999999998</v>
      </c>
      <c r="H286">
        <v>664.6</v>
      </c>
      <c r="I286">
        <v>283.13</v>
      </c>
      <c r="J286">
        <v>1927.88</v>
      </c>
      <c r="K286">
        <v>9930000</v>
      </c>
      <c r="L286">
        <v>3093.08</v>
      </c>
      <c r="AO286" s="749">
        <v>43777</v>
      </c>
      <c r="AP286">
        <v>8255.89</v>
      </c>
      <c r="AQ286">
        <v>2167.9899999999998</v>
      </c>
      <c r="AR286">
        <f t="shared" si="44"/>
        <v>1.8971207316512706</v>
      </c>
      <c r="AS286">
        <f t="shared" si="45"/>
        <v>1.1060834872401863</v>
      </c>
      <c r="BF286" s="749">
        <v>43777</v>
      </c>
      <c r="BG286">
        <v>8255.89</v>
      </c>
      <c r="BH286">
        <v>82300</v>
      </c>
      <c r="BI286">
        <v>1736.7829999999999</v>
      </c>
      <c r="BJ286">
        <v>47.19</v>
      </c>
      <c r="BK286">
        <v>3093.08</v>
      </c>
      <c r="BL286">
        <v>664.6</v>
      </c>
      <c r="BM286">
        <v>1927.88</v>
      </c>
      <c r="BN286" s="14">
        <f t="shared" si="54"/>
        <v>1.1606179015998919E-2</v>
      </c>
      <c r="BO286" s="14">
        <f t="shared" si="46"/>
        <v>-9.6269554753308784E-3</v>
      </c>
      <c r="BP286" s="14">
        <f t="shared" si="47"/>
        <v>2.7724208858231458E-2</v>
      </c>
      <c r="BQ286" s="14">
        <f t="shared" si="48"/>
        <v>-2.4596940884663132E-2</v>
      </c>
      <c r="BR286" s="14">
        <f t="shared" si="49"/>
        <v>8.533018575699991E-3</v>
      </c>
      <c r="BS286" s="14">
        <f t="shared" si="50"/>
        <v>3.4121448198809468E-3</v>
      </c>
      <c r="BT286" s="14">
        <f t="shared" si="51"/>
        <v>1.4267977019718492E-2</v>
      </c>
      <c r="BV286" s="749">
        <v>43777</v>
      </c>
      <c r="BW286">
        <f t="shared" si="52"/>
        <v>1.486214551360286</v>
      </c>
      <c r="BX286">
        <f t="shared" si="53"/>
        <v>2.495062405902702</v>
      </c>
    </row>
    <row r="287" spans="1:76" x14ac:dyDescent="0.3">
      <c r="A287" s="749">
        <v>43770</v>
      </c>
      <c r="B287">
        <v>83100</v>
      </c>
      <c r="C287">
        <v>1689.931</v>
      </c>
      <c r="D287">
        <v>51200</v>
      </c>
      <c r="E287">
        <v>48.38</v>
      </c>
      <c r="F287">
        <v>8161.17</v>
      </c>
      <c r="G287">
        <v>2132.64</v>
      </c>
      <c r="H287">
        <v>662.34</v>
      </c>
      <c r="I287">
        <v>278.43</v>
      </c>
      <c r="J287">
        <v>1900.76</v>
      </c>
      <c r="K287">
        <v>9380000</v>
      </c>
      <c r="L287">
        <v>3066.91</v>
      </c>
      <c r="AO287" s="749">
        <v>43770</v>
      </c>
      <c r="AP287">
        <v>8161.17</v>
      </c>
      <c r="AQ287">
        <v>2132.64</v>
      </c>
      <c r="AR287">
        <f t="shared" si="44"/>
        <v>1.8753550255066869</v>
      </c>
      <c r="AS287">
        <f t="shared" si="45"/>
        <v>1.0880483250512738</v>
      </c>
      <c r="BF287" s="749">
        <v>43770</v>
      </c>
      <c r="BG287">
        <v>8161.17</v>
      </c>
      <c r="BH287">
        <v>83100</v>
      </c>
      <c r="BI287">
        <v>1689.931</v>
      </c>
      <c r="BJ287">
        <v>48.38</v>
      </c>
      <c r="BK287">
        <v>3066.91</v>
      </c>
      <c r="BL287">
        <v>662.34</v>
      </c>
      <c r="BM287">
        <v>1900.76</v>
      </c>
      <c r="BN287" s="14">
        <f t="shared" si="54"/>
        <v>1.6433725816455302E-2</v>
      </c>
      <c r="BO287" s="14">
        <f t="shared" si="46"/>
        <v>2.4125452352230514E-3</v>
      </c>
      <c r="BP287" s="14">
        <f t="shared" si="47"/>
        <v>2.5026218087174534E-2</v>
      </c>
      <c r="BQ287" s="14">
        <f t="shared" si="48"/>
        <v>7.2871122215283357E-3</v>
      </c>
      <c r="BR287" s="14">
        <f t="shared" si="49"/>
        <v>1.4676349440042147E-2</v>
      </c>
      <c r="BS287" s="14">
        <f t="shared" si="50"/>
        <v>1.5282738323344258E-2</v>
      </c>
      <c r="BT287" s="14">
        <f t="shared" si="51"/>
        <v>7.981078744875969E-3</v>
      </c>
      <c r="BV287" s="749">
        <v>43770</v>
      </c>
      <c r="BW287">
        <f t="shared" si="52"/>
        <v>1.4736399542567198</v>
      </c>
      <c r="BX287">
        <f t="shared" si="53"/>
        <v>2.4277548241027</v>
      </c>
    </row>
    <row r="288" spans="1:76" x14ac:dyDescent="0.3">
      <c r="A288" s="749">
        <v>43763</v>
      </c>
      <c r="B288">
        <v>82900</v>
      </c>
      <c r="C288">
        <v>1648.671</v>
      </c>
      <c r="D288">
        <v>50900</v>
      </c>
      <c r="E288">
        <v>48.03</v>
      </c>
      <c r="F288">
        <v>8029.22</v>
      </c>
      <c r="G288">
        <v>2120.91</v>
      </c>
      <c r="H288">
        <v>652.37</v>
      </c>
      <c r="I288">
        <v>277.07</v>
      </c>
      <c r="J288">
        <v>1885.71</v>
      </c>
      <c r="K288">
        <v>18230000</v>
      </c>
      <c r="L288">
        <v>3022.55</v>
      </c>
      <c r="AO288" s="749">
        <v>43763</v>
      </c>
      <c r="AP288">
        <v>8029.22</v>
      </c>
      <c r="AQ288">
        <v>2120.91</v>
      </c>
      <c r="AR288">
        <f t="shared" si="44"/>
        <v>1.8450342387058229</v>
      </c>
      <c r="AS288">
        <f t="shared" si="45"/>
        <v>1.0820638143730295</v>
      </c>
      <c r="BF288" s="749">
        <v>43763</v>
      </c>
      <c r="BG288">
        <v>8029.22</v>
      </c>
      <c r="BH288">
        <v>82900</v>
      </c>
      <c r="BI288">
        <v>1648.671</v>
      </c>
      <c r="BJ288">
        <v>48.03</v>
      </c>
      <c r="BK288">
        <v>3022.55</v>
      </c>
      <c r="BL288">
        <v>652.37</v>
      </c>
      <c r="BM288">
        <v>1885.71</v>
      </c>
      <c r="BN288" s="14">
        <f t="shared" si="54"/>
        <v>2.0427045087431095E-2</v>
      </c>
      <c r="BO288" s="14">
        <f t="shared" si="46"/>
        <v>7.1059431524547856E-2</v>
      </c>
      <c r="BP288" s="14">
        <f t="shared" si="47"/>
        <v>3.6839354679254699E-2</v>
      </c>
      <c r="BQ288" s="14">
        <f t="shared" si="48"/>
        <v>0.10489993098688766</v>
      </c>
      <c r="BR288" s="14">
        <f t="shared" si="49"/>
        <v>1.2172660906838217E-2</v>
      </c>
      <c r="BS288" s="14">
        <f t="shared" si="50"/>
        <v>8.7831882354758584E-3</v>
      </c>
      <c r="BT288" s="14">
        <f t="shared" si="51"/>
        <v>1.9396376964369688E-2</v>
      </c>
      <c r="BV288" s="749">
        <v>43763</v>
      </c>
      <c r="BW288">
        <f t="shared" si="52"/>
        <v>1.4523251232473886</v>
      </c>
      <c r="BX288">
        <f t="shared" si="53"/>
        <v>2.3684807093356013</v>
      </c>
    </row>
    <row r="289" spans="1:76" x14ac:dyDescent="0.3">
      <c r="A289" s="749">
        <v>43756</v>
      </c>
      <c r="B289">
        <v>77400</v>
      </c>
      <c r="C289">
        <v>1590.0930000000001</v>
      </c>
      <c r="D289">
        <v>49900</v>
      </c>
      <c r="E289">
        <v>43.47</v>
      </c>
      <c r="F289">
        <v>7868.49</v>
      </c>
      <c r="G289">
        <v>2085.35</v>
      </c>
      <c r="H289">
        <v>646.69000000000005</v>
      </c>
      <c r="I289">
        <v>272.81</v>
      </c>
      <c r="J289">
        <v>1849.83</v>
      </c>
      <c r="K289">
        <v>21270000</v>
      </c>
      <c r="L289">
        <v>2986.2</v>
      </c>
      <c r="AO289" s="749">
        <v>43756</v>
      </c>
      <c r="AP289">
        <v>7868.49</v>
      </c>
      <c r="AQ289">
        <v>2085.35</v>
      </c>
      <c r="AR289">
        <f t="shared" si="44"/>
        <v>1.8081000965117882</v>
      </c>
      <c r="AS289">
        <f t="shared" si="45"/>
        <v>1.0639215126067569</v>
      </c>
      <c r="BF289" s="749">
        <v>43756</v>
      </c>
      <c r="BG289">
        <v>7868.49</v>
      </c>
      <c r="BH289">
        <v>77400</v>
      </c>
      <c r="BI289">
        <v>1590.0930000000001</v>
      </c>
      <c r="BJ289">
        <v>43.47</v>
      </c>
      <c r="BK289">
        <v>2986.2</v>
      </c>
      <c r="BL289">
        <v>646.69000000000005</v>
      </c>
      <c r="BM289">
        <v>1849.83</v>
      </c>
      <c r="BN289" s="14">
        <f t="shared" si="54"/>
        <v>3.1374778808446191E-3</v>
      </c>
      <c r="BO289" s="14">
        <f t="shared" si="46"/>
        <v>-3.2499999999999973E-2</v>
      </c>
      <c r="BP289" s="14">
        <f t="shared" si="47"/>
        <v>-6.4985384573312821E-4</v>
      </c>
      <c r="BQ289" s="14">
        <f t="shared" si="48"/>
        <v>-3.6141906873614293E-2</v>
      </c>
      <c r="BR289" s="14">
        <f t="shared" si="49"/>
        <v>5.3631488046541609E-3</v>
      </c>
      <c r="BS289" s="14">
        <f t="shared" si="50"/>
        <v>2.1707875819575007E-2</v>
      </c>
      <c r="BT289" s="14">
        <f t="shared" si="51"/>
        <v>2.6939713582603275E-3</v>
      </c>
      <c r="BV289" s="749">
        <v>43756</v>
      </c>
      <c r="BW289">
        <f t="shared" si="52"/>
        <v>1.4348590703350983</v>
      </c>
      <c r="BX289">
        <f t="shared" si="53"/>
        <v>2.2843275562859873</v>
      </c>
    </row>
    <row r="290" spans="1:76" x14ac:dyDescent="0.3">
      <c r="A290" s="749">
        <v>43749</v>
      </c>
      <c r="B290">
        <v>80000</v>
      </c>
      <c r="C290">
        <v>1591.127</v>
      </c>
      <c r="D290">
        <v>49150</v>
      </c>
      <c r="E290">
        <v>45.1</v>
      </c>
      <c r="F290">
        <v>7843.88</v>
      </c>
      <c r="G290">
        <v>2076.8000000000002</v>
      </c>
      <c r="H290">
        <v>632.95000000000005</v>
      </c>
      <c r="I290">
        <v>271.3</v>
      </c>
      <c r="J290">
        <v>1844.86</v>
      </c>
      <c r="K290">
        <v>9620000</v>
      </c>
      <c r="L290">
        <v>2970.27</v>
      </c>
      <c r="AO290" s="749">
        <v>43749</v>
      </c>
      <c r="AP290">
        <v>7843.88</v>
      </c>
      <c r="AQ290">
        <v>2076.8000000000002</v>
      </c>
      <c r="AR290">
        <f t="shared" si="44"/>
        <v>1.8024449653017143</v>
      </c>
      <c r="AS290">
        <f t="shared" si="45"/>
        <v>1.0595594012428191</v>
      </c>
      <c r="BF290" s="749">
        <v>43749</v>
      </c>
      <c r="BG290">
        <v>7843.88</v>
      </c>
      <c r="BH290">
        <v>80000</v>
      </c>
      <c r="BI290">
        <v>1591.127</v>
      </c>
      <c r="BJ290">
        <v>45.1</v>
      </c>
      <c r="BK290">
        <v>2970.27</v>
      </c>
      <c r="BL290">
        <v>632.95000000000005</v>
      </c>
      <c r="BM290">
        <v>1844.86</v>
      </c>
      <c r="BN290" s="14">
        <f t="shared" si="54"/>
        <v>1.1578390786809445E-2</v>
      </c>
      <c r="BO290" s="14">
        <f t="shared" si="46"/>
        <v>-3.7359900373599153E-3</v>
      </c>
      <c r="BP290" s="14">
        <f t="shared" si="47"/>
        <v>1.0628858232982541E-2</v>
      </c>
      <c r="BQ290" s="14">
        <f t="shared" si="48"/>
        <v>1.2345679012345734E-2</v>
      </c>
      <c r="BR290" s="14">
        <f t="shared" si="49"/>
        <v>6.1856159023849777E-3</v>
      </c>
      <c r="BS290" s="14">
        <f t="shared" si="50"/>
        <v>1.7866332175479283E-2</v>
      </c>
      <c r="BT290" s="14">
        <f t="shared" si="51"/>
        <v>1.6787918871252083E-2</v>
      </c>
      <c r="BV290" s="749">
        <v>43749</v>
      </c>
      <c r="BW290">
        <f t="shared" si="52"/>
        <v>1.4272047588387358</v>
      </c>
      <c r="BX290">
        <f t="shared" si="53"/>
        <v>2.2858130006550894</v>
      </c>
    </row>
    <row r="291" spans="1:76" x14ac:dyDescent="0.3">
      <c r="A291" s="749">
        <v>43742</v>
      </c>
      <c r="B291">
        <v>80300</v>
      </c>
      <c r="C291">
        <v>1574.393</v>
      </c>
      <c r="D291">
        <v>48000</v>
      </c>
      <c r="E291">
        <v>44.55</v>
      </c>
      <c r="F291">
        <v>7754.1</v>
      </c>
      <c r="G291">
        <v>2044.48</v>
      </c>
      <c r="H291">
        <v>621.84</v>
      </c>
      <c r="I291">
        <v>267.39</v>
      </c>
      <c r="J291">
        <v>1814.4</v>
      </c>
      <c r="K291">
        <v>9430000</v>
      </c>
      <c r="L291">
        <v>2952.01</v>
      </c>
      <c r="AO291" s="749">
        <v>43742</v>
      </c>
      <c r="AP291">
        <v>7754.1</v>
      </c>
      <c r="AQ291">
        <v>2044.48</v>
      </c>
      <c r="AR291">
        <f t="shared" si="44"/>
        <v>1.7818144216186407</v>
      </c>
      <c r="AS291">
        <f t="shared" si="45"/>
        <v>1.0430701100986706</v>
      </c>
      <c r="BF291" s="749">
        <v>43742</v>
      </c>
      <c r="BG291">
        <v>7754.1</v>
      </c>
      <c r="BH291">
        <v>80300</v>
      </c>
      <c r="BI291">
        <v>1574.393</v>
      </c>
      <c r="BJ291">
        <v>44.55</v>
      </c>
      <c r="BK291">
        <v>2952.01</v>
      </c>
      <c r="BL291">
        <v>621.84</v>
      </c>
      <c r="BM291">
        <v>1814.4</v>
      </c>
      <c r="BN291" s="14">
        <f t="shared" si="54"/>
        <v>9.4407660923925274E-3</v>
      </c>
      <c r="BO291" s="14">
        <f t="shared" si="46"/>
        <v>-1.3513513513513487E-2</v>
      </c>
      <c r="BP291" s="14">
        <f t="shared" si="47"/>
        <v>2.043272658451678E-2</v>
      </c>
      <c r="BQ291" s="14">
        <f t="shared" si="48"/>
        <v>3.1011339967599971E-2</v>
      </c>
      <c r="BR291" s="14">
        <f t="shared" si="49"/>
        <v>-3.3020572018946925E-3</v>
      </c>
      <c r="BS291" s="14">
        <f t="shared" si="50"/>
        <v>-8.1189287480259997E-3</v>
      </c>
      <c r="BT291" s="14">
        <f t="shared" si="51"/>
        <v>-1.3473395752454875E-2</v>
      </c>
      <c r="BV291" s="749">
        <v>43742</v>
      </c>
      <c r="BW291">
        <f t="shared" si="52"/>
        <v>1.418430890168078</v>
      </c>
      <c r="BX291">
        <f t="shared" si="53"/>
        <v>2.2617729367551229</v>
      </c>
    </row>
    <row r="292" spans="1:76" x14ac:dyDescent="0.3">
      <c r="A292" s="749">
        <v>43735</v>
      </c>
      <c r="B292">
        <v>81400</v>
      </c>
      <c r="C292">
        <v>1542.8679999999999</v>
      </c>
      <c r="D292">
        <v>48400</v>
      </c>
      <c r="E292">
        <v>43.21</v>
      </c>
      <c r="F292">
        <v>7681.58</v>
      </c>
      <c r="G292">
        <v>2073.69</v>
      </c>
      <c r="H292">
        <v>626.92999999999995</v>
      </c>
      <c r="I292">
        <v>271.33</v>
      </c>
      <c r="J292">
        <v>1839.18</v>
      </c>
      <c r="K292">
        <v>9080000</v>
      </c>
      <c r="L292">
        <v>2961.79</v>
      </c>
      <c r="AO292" s="749">
        <v>43735</v>
      </c>
      <c r="AP292">
        <v>7681.58</v>
      </c>
      <c r="AQ292">
        <v>2073.69</v>
      </c>
      <c r="AR292">
        <f t="shared" si="44"/>
        <v>1.7651500528516935</v>
      </c>
      <c r="AS292">
        <f t="shared" si="45"/>
        <v>1.0579727151209657</v>
      </c>
      <c r="BF292" s="749">
        <v>43735</v>
      </c>
      <c r="BG292">
        <v>7681.58</v>
      </c>
      <c r="BH292">
        <v>81400</v>
      </c>
      <c r="BI292">
        <v>1542.8679999999999</v>
      </c>
      <c r="BJ292">
        <v>43.21</v>
      </c>
      <c r="BK292">
        <v>2961.79</v>
      </c>
      <c r="BL292">
        <v>626.92999999999995</v>
      </c>
      <c r="BM292">
        <v>1839.18</v>
      </c>
      <c r="BN292" s="14">
        <f t="shared" si="54"/>
        <v>-1.8146493599452973E-2</v>
      </c>
      <c r="BO292" s="14">
        <f t="shared" si="46"/>
        <v>-9.7323600973235891E-3</v>
      </c>
      <c r="BP292" s="14">
        <f t="shared" si="47"/>
        <v>-1.2883516047613508E-2</v>
      </c>
      <c r="BQ292" s="14">
        <f t="shared" si="48"/>
        <v>-0.12103336045565494</v>
      </c>
      <c r="BR292" s="14">
        <f t="shared" si="49"/>
        <v>-1.0120084088941828E-2</v>
      </c>
      <c r="BS292" s="14">
        <f t="shared" si="50"/>
        <v>-3.4110342490024315E-2</v>
      </c>
      <c r="BT292" s="14">
        <f t="shared" si="51"/>
        <v>-1.6665330018445612E-2</v>
      </c>
      <c r="BV292" s="749">
        <v>43735</v>
      </c>
      <c r="BW292">
        <f t="shared" si="52"/>
        <v>1.4231301473202704</v>
      </c>
      <c r="BX292">
        <f t="shared" si="53"/>
        <v>2.2164841226971301</v>
      </c>
    </row>
    <row r="293" spans="1:76" x14ac:dyDescent="0.3">
      <c r="A293" s="749">
        <v>43728</v>
      </c>
      <c r="B293">
        <v>82200</v>
      </c>
      <c r="C293">
        <v>1563.0050000000001</v>
      </c>
      <c r="D293">
        <v>49200</v>
      </c>
      <c r="E293">
        <v>49.16</v>
      </c>
      <c r="F293">
        <v>7823.55</v>
      </c>
      <c r="G293">
        <v>2111.3200000000002</v>
      </c>
      <c r="H293">
        <v>649.07000000000005</v>
      </c>
      <c r="I293">
        <v>276.44</v>
      </c>
      <c r="J293">
        <v>1870.35</v>
      </c>
      <c r="K293">
        <v>16480000</v>
      </c>
      <c r="L293">
        <v>2992.07</v>
      </c>
      <c r="AO293" s="749">
        <v>43728</v>
      </c>
      <c r="AP293">
        <v>7823.55</v>
      </c>
      <c r="AQ293">
        <v>2111.3200000000002</v>
      </c>
      <c r="AR293">
        <f t="shared" si="44"/>
        <v>1.7977733351716532</v>
      </c>
      <c r="AS293">
        <f t="shared" si="45"/>
        <v>1.0771711070069285</v>
      </c>
      <c r="BF293" s="749">
        <v>43728</v>
      </c>
      <c r="BG293">
        <v>7823.55</v>
      </c>
      <c r="BH293">
        <v>82200</v>
      </c>
      <c r="BI293">
        <v>1563.0050000000001</v>
      </c>
      <c r="BJ293">
        <v>49.16</v>
      </c>
      <c r="BK293">
        <v>2992.07</v>
      </c>
      <c r="BL293">
        <v>649.07000000000005</v>
      </c>
      <c r="BM293">
        <v>1870.35</v>
      </c>
      <c r="BN293" s="14">
        <f t="shared" si="54"/>
        <v>-8.7939125499179038E-3</v>
      </c>
      <c r="BO293" s="14">
        <f t="shared" si="46"/>
        <v>-4.8426150121065881E-3</v>
      </c>
      <c r="BP293" s="14">
        <f t="shared" si="47"/>
        <v>-2.6556912295736312E-2</v>
      </c>
      <c r="BQ293" s="14">
        <f t="shared" si="48"/>
        <v>-2.6534653465346558E-2</v>
      </c>
      <c r="BR293" s="14">
        <f t="shared" si="49"/>
        <v>-5.0941181556098947E-3</v>
      </c>
      <c r="BS293" s="14">
        <f t="shared" si="50"/>
        <v>2.966511731205479E-2</v>
      </c>
      <c r="BT293" s="14">
        <f t="shared" si="51"/>
        <v>2.0176070166252114E-2</v>
      </c>
      <c r="BV293" s="749">
        <v>43728</v>
      </c>
      <c r="BW293">
        <f t="shared" si="52"/>
        <v>1.4376795856196967</v>
      </c>
      <c r="BX293">
        <f t="shared" si="53"/>
        <v>2.2454129362954114</v>
      </c>
    </row>
    <row r="294" spans="1:76" x14ac:dyDescent="0.3">
      <c r="A294" s="749">
        <v>43721</v>
      </c>
      <c r="B294">
        <v>82600</v>
      </c>
      <c r="C294">
        <v>1605.646</v>
      </c>
      <c r="D294">
        <v>47150</v>
      </c>
      <c r="E294">
        <v>50.5</v>
      </c>
      <c r="F294">
        <v>7892.96</v>
      </c>
      <c r="G294">
        <v>2068.23</v>
      </c>
      <c r="H294">
        <v>630.37</v>
      </c>
      <c r="I294">
        <v>270.83999999999997</v>
      </c>
      <c r="J294">
        <v>1833.36</v>
      </c>
      <c r="K294">
        <v>8050000</v>
      </c>
      <c r="L294">
        <v>3007.39</v>
      </c>
      <c r="AO294" s="749">
        <v>43721</v>
      </c>
      <c r="AP294">
        <v>7892.96</v>
      </c>
      <c r="AQ294">
        <v>2068.23</v>
      </c>
      <c r="AR294">
        <f t="shared" si="44"/>
        <v>1.813723057125787</v>
      </c>
      <c r="AS294">
        <f t="shared" si="45"/>
        <v>1.0551870861096089</v>
      </c>
      <c r="BF294" s="749">
        <v>43721</v>
      </c>
      <c r="BG294">
        <v>7892.96</v>
      </c>
      <c r="BH294">
        <v>82600</v>
      </c>
      <c r="BI294">
        <v>1605.646</v>
      </c>
      <c r="BJ294">
        <v>50.5</v>
      </c>
      <c r="BK294">
        <v>3007.39</v>
      </c>
      <c r="BL294">
        <v>630.37</v>
      </c>
      <c r="BM294">
        <v>1833.36</v>
      </c>
      <c r="BN294" s="14">
        <f t="shared" si="54"/>
        <v>5.1473790646083817E-3</v>
      </c>
      <c r="BO294" s="14">
        <f t="shared" si="46"/>
        <v>8.5470085470085166E-3</v>
      </c>
      <c r="BP294" s="14">
        <f t="shared" si="47"/>
        <v>2.378823952489828E-2</v>
      </c>
      <c r="BQ294" s="14">
        <f t="shared" si="48"/>
        <v>3.1243618541964446E-2</v>
      </c>
      <c r="BR294" s="14">
        <f t="shared" si="49"/>
        <v>9.6283290417662482E-3</v>
      </c>
      <c r="BS294" s="14">
        <f t="shared" si="50"/>
        <v>-1.2358393408856694E-3</v>
      </c>
      <c r="BT294" s="14">
        <f t="shared" si="51"/>
        <v>1.8957899124635302E-2</v>
      </c>
      <c r="BV294" s="749">
        <v>43721</v>
      </c>
      <c r="BW294">
        <f t="shared" si="52"/>
        <v>1.4450407941648489</v>
      </c>
      <c r="BX294">
        <f t="shared" si="53"/>
        <v>2.3066709956212432</v>
      </c>
    </row>
    <row r="295" spans="1:76" x14ac:dyDescent="0.3">
      <c r="A295" s="749">
        <v>43714</v>
      </c>
      <c r="B295">
        <v>81900</v>
      </c>
      <c r="C295">
        <v>1568.338</v>
      </c>
      <c r="D295">
        <v>46300</v>
      </c>
      <c r="E295">
        <v>48.97</v>
      </c>
      <c r="F295">
        <v>7852.54</v>
      </c>
      <c r="G295">
        <v>2027.56</v>
      </c>
      <c r="H295">
        <v>631.15</v>
      </c>
      <c r="I295">
        <v>265.52999999999997</v>
      </c>
      <c r="J295">
        <v>1799.25</v>
      </c>
      <c r="K295">
        <v>12250000</v>
      </c>
      <c r="L295">
        <v>2978.71</v>
      </c>
      <c r="AO295" s="749">
        <v>43714</v>
      </c>
      <c r="AP295">
        <v>7852.54</v>
      </c>
      <c r="AQ295">
        <v>2027.56</v>
      </c>
      <c r="AR295">
        <f t="shared" si="44"/>
        <v>1.8044349464589364</v>
      </c>
      <c r="AS295">
        <f t="shared" si="45"/>
        <v>1.0344377212942462</v>
      </c>
      <c r="BF295" s="749">
        <v>43714</v>
      </c>
      <c r="BG295">
        <v>7852.54</v>
      </c>
      <c r="BH295">
        <v>81900</v>
      </c>
      <c r="BI295">
        <v>1568.338</v>
      </c>
      <c r="BJ295">
        <v>48.97</v>
      </c>
      <c r="BK295">
        <v>2978.71</v>
      </c>
      <c r="BL295">
        <v>631.15</v>
      </c>
      <c r="BM295">
        <v>1799.25</v>
      </c>
      <c r="BN295" s="14">
        <f t="shared" si="54"/>
        <v>2.100377064100889E-2</v>
      </c>
      <c r="BO295" s="14">
        <f t="shared" si="46"/>
        <v>5.8139534883721034E-2</v>
      </c>
      <c r="BP295" s="14">
        <f t="shared" si="47"/>
        <v>4.2136983570609798E-2</v>
      </c>
      <c r="BQ295" s="14">
        <f t="shared" si="48"/>
        <v>8.1731831234813201E-2</v>
      </c>
      <c r="BR295" s="14">
        <f t="shared" si="49"/>
        <v>1.7854335955386436E-2</v>
      </c>
      <c r="BS295" s="14">
        <f t="shared" si="50"/>
        <v>3.3740070428302404E-2</v>
      </c>
      <c r="BT295" s="14">
        <f t="shared" si="51"/>
        <v>2.793139696976632E-2</v>
      </c>
      <c r="BV295" s="749">
        <v>43714</v>
      </c>
      <c r="BW295">
        <f t="shared" si="52"/>
        <v>1.4312601504915481</v>
      </c>
      <c r="BX295">
        <f t="shared" si="53"/>
        <v>2.2530743239360542</v>
      </c>
    </row>
    <row r="296" spans="1:76" x14ac:dyDescent="0.3">
      <c r="A296" s="749">
        <v>43707</v>
      </c>
      <c r="B296">
        <v>77400</v>
      </c>
      <c r="C296">
        <v>1504.925</v>
      </c>
      <c r="D296">
        <v>44000</v>
      </c>
      <c r="E296">
        <v>45.27</v>
      </c>
      <c r="F296">
        <v>7691</v>
      </c>
      <c r="G296">
        <v>1976.51</v>
      </c>
      <c r="H296">
        <v>610.54999999999995</v>
      </c>
      <c r="I296">
        <v>259</v>
      </c>
      <c r="J296">
        <v>1750.36</v>
      </c>
      <c r="K296">
        <v>12430000</v>
      </c>
      <c r="L296">
        <v>2926.46</v>
      </c>
      <c r="AO296" s="749">
        <v>43707</v>
      </c>
      <c r="AP296">
        <v>7691</v>
      </c>
      <c r="AQ296">
        <v>1976.51</v>
      </c>
      <c r="AR296">
        <f t="shared" si="44"/>
        <v>1.7673146743876096</v>
      </c>
      <c r="AS296">
        <f t="shared" si="45"/>
        <v>1.0083926002265238</v>
      </c>
      <c r="BF296" s="749">
        <v>43707</v>
      </c>
      <c r="BG296">
        <v>7691</v>
      </c>
      <c r="BH296">
        <v>77400</v>
      </c>
      <c r="BI296">
        <v>1504.925</v>
      </c>
      <c r="BJ296">
        <v>45.27</v>
      </c>
      <c r="BK296">
        <v>2926.46</v>
      </c>
      <c r="BL296">
        <v>610.54999999999995</v>
      </c>
      <c r="BM296">
        <v>1750.36</v>
      </c>
      <c r="BN296" s="14">
        <f t="shared" si="54"/>
        <v>3.0274614869390426E-2</v>
      </c>
      <c r="BO296" s="14">
        <f t="shared" si="46"/>
        <v>4.0322580645161255E-2</v>
      </c>
      <c r="BP296" s="14">
        <f t="shared" si="47"/>
        <v>4.047763414706651E-2</v>
      </c>
      <c r="BQ296" s="14">
        <f t="shared" si="48"/>
        <v>5.3770949720670425E-2</v>
      </c>
      <c r="BR296" s="14">
        <f t="shared" si="49"/>
        <v>2.7870366792993595E-2</v>
      </c>
      <c r="BS296" s="14">
        <f t="shared" si="50"/>
        <v>2.5780813819828996E-3</v>
      </c>
      <c r="BT296" s="14">
        <f t="shared" si="51"/>
        <v>1.1277761087102212E-2</v>
      </c>
      <c r="BV296" s="749">
        <v>43707</v>
      </c>
      <c r="BW296">
        <f t="shared" si="52"/>
        <v>1.4061542009821353</v>
      </c>
      <c r="BX296">
        <f t="shared" si="53"/>
        <v>2.1619752100309158</v>
      </c>
    </row>
    <row r="297" spans="1:76" x14ac:dyDescent="0.3">
      <c r="A297" s="749">
        <v>43700</v>
      </c>
      <c r="B297">
        <v>74400</v>
      </c>
      <c r="C297">
        <v>1446.3789999999999</v>
      </c>
      <c r="D297">
        <v>43950</v>
      </c>
      <c r="E297">
        <v>42.96</v>
      </c>
      <c r="F297">
        <v>7465</v>
      </c>
      <c r="G297">
        <v>1953.81</v>
      </c>
      <c r="H297">
        <v>608.98</v>
      </c>
      <c r="I297">
        <v>256.11</v>
      </c>
      <c r="J297">
        <v>1730.84</v>
      </c>
      <c r="K297">
        <v>9190000</v>
      </c>
      <c r="L297">
        <v>2847.11</v>
      </c>
      <c r="AO297" s="749">
        <v>43700</v>
      </c>
      <c r="AP297">
        <v>7465</v>
      </c>
      <c r="AQ297">
        <v>1953.81</v>
      </c>
      <c r="AR297">
        <f t="shared" si="44"/>
        <v>1.7153821407233787</v>
      </c>
      <c r="AS297">
        <f t="shared" si="45"/>
        <v>0.99681132210238466</v>
      </c>
      <c r="BF297" s="749">
        <v>43700</v>
      </c>
      <c r="BG297">
        <v>7465</v>
      </c>
      <c r="BH297">
        <v>74400</v>
      </c>
      <c r="BI297">
        <v>1446.3789999999999</v>
      </c>
      <c r="BJ297">
        <v>42.96</v>
      </c>
      <c r="BK297">
        <v>2847.11</v>
      </c>
      <c r="BL297">
        <v>608.98</v>
      </c>
      <c r="BM297">
        <v>1730.84</v>
      </c>
      <c r="BN297" s="14">
        <f t="shared" si="54"/>
        <v>-1.8294054136512972E-2</v>
      </c>
      <c r="BO297" s="14">
        <f t="shared" si="46"/>
        <v>-2.6178010471204161E-2</v>
      </c>
      <c r="BP297" s="14">
        <f t="shared" si="47"/>
        <v>-2.222139597769146E-2</v>
      </c>
      <c r="BQ297" s="14">
        <f t="shared" si="48"/>
        <v>-1.3547646383467171E-2</v>
      </c>
      <c r="BR297" s="14">
        <f t="shared" si="49"/>
        <v>-1.4390655939737096E-2</v>
      </c>
      <c r="BS297" s="14">
        <f t="shared" si="50"/>
        <v>2.9430160420575779E-2</v>
      </c>
      <c r="BT297" s="14">
        <f t="shared" si="51"/>
        <v>6.5949403896481407E-3</v>
      </c>
      <c r="BV297" s="749">
        <v>43700</v>
      </c>
      <c r="BW297">
        <f t="shared" si="52"/>
        <v>1.3680267924927207</v>
      </c>
      <c r="BX297">
        <f t="shared" si="53"/>
        <v>2.0778680281803448</v>
      </c>
    </row>
    <row r="298" spans="1:76" x14ac:dyDescent="0.3">
      <c r="A298" s="749">
        <v>43693</v>
      </c>
      <c r="B298">
        <v>76400</v>
      </c>
      <c r="C298">
        <v>1479.25</v>
      </c>
      <c r="D298">
        <v>43900</v>
      </c>
      <c r="E298">
        <v>43.55</v>
      </c>
      <c r="F298">
        <v>7604.11</v>
      </c>
      <c r="G298">
        <v>1938.72</v>
      </c>
      <c r="H298">
        <v>591.57000000000005</v>
      </c>
      <c r="I298">
        <v>253.9</v>
      </c>
      <c r="J298">
        <v>1719.5</v>
      </c>
      <c r="K298">
        <v>7140000</v>
      </c>
      <c r="L298">
        <v>2888.68</v>
      </c>
      <c r="AO298" s="749">
        <v>43693</v>
      </c>
      <c r="AP298">
        <v>7604.11</v>
      </c>
      <c r="AQ298">
        <v>1938.72</v>
      </c>
      <c r="AR298">
        <f t="shared" si="44"/>
        <v>1.7473482237235165</v>
      </c>
      <c r="AS298">
        <f t="shared" si="45"/>
        <v>0.9891125781863821</v>
      </c>
      <c r="BF298" s="749">
        <v>43693</v>
      </c>
      <c r="BG298">
        <v>7604.11</v>
      </c>
      <c r="BH298">
        <v>76400</v>
      </c>
      <c r="BI298">
        <v>1479.25</v>
      </c>
      <c r="BJ298">
        <v>43.55</v>
      </c>
      <c r="BK298">
        <v>2888.68</v>
      </c>
      <c r="BL298">
        <v>591.57000000000005</v>
      </c>
      <c r="BM298">
        <v>1719.5</v>
      </c>
      <c r="BN298" s="14">
        <f t="shared" si="54"/>
        <v>-5.5137995388602201E-3</v>
      </c>
      <c r="BO298" s="14">
        <f t="shared" si="46"/>
        <v>4.2291950886766738E-2</v>
      </c>
      <c r="BP298" s="14">
        <f t="shared" si="47"/>
        <v>1.0182751398412515E-2</v>
      </c>
      <c r="BQ298" s="14">
        <f t="shared" si="48"/>
        <v>4.889210019267809E-2</v>
      </c>
      <c r="BR298" s="14">
        <f t="shared" si="49"/>
        <v>-1.0268446028129485E-2</v>
      </c>
      <c r="BS298" s="14">
        <f t="shared" si="50"/>
        <v>2.5930445393533841E-3</v>
      </c>
      <c r="BT298" s="14">
        <f t="shared" si="51"/>
        <v>-9.0641813765934831E-4</v>
      </c>
      <c r="BV298" s="749">
        <v>43693</v>
      </c>
      <c r="BW298">
        <f t="shared" si="52"/>
        <v>1.3880010378727452</v>
      </c>
      <c r="BX298">
        <f t="shared" si="53"/>
        <v>2.1250905057981178</v>
      </c>
    </row>
    <row r="299" spans="1:76" x14ac:dyDescent="0.3">
      <c r="A299" s="749">
        <v>43686</v>
      </c>
      <c r="B299">
        <v>73300</v>
      </c>
      <c r="C299">
        <v>1464.3389999999999</v>
      </c>
      <c r="D299">
        <v>43150</v>
      </c>
      <c r="E299">
        <v>41.52</v>
      </c>
      <c r="F299">
        <v>7646.27</v>
      </c>
      <c r="G299">
        <v>1945.59</v>
      </c>
      <c r="H299">
        <v>590.04</v>
      </c>
      <c r="I299">
        <v>254.85</v>
      </c>
      <c r="J299">
        <v>1721.06</v>
      </c>
      <c r="K299">
        <v>15630000</v>
      </c>
      <c r="L299">
        <v>2918.65</v>
      </c>
      <c r="AO299" s="749">
        <v>43686</v>
      </c>
      <c r="AP299">
        <v>7646.27</v>
      </c>
      <c r="AQ299">
        <v>1945.59</v>
      </c>
      <c r="AR299">
        <f t="shared" si="44"/>
        <v>1.7570361689415874</v>
      </c>
      <c r="AS299">
        <f t="shared" si="45"/>
        <v>0.99261757293144082</v>
      </c>
      <c r="BF299" s="749">
        <v>43686</v>
      </c>
      <c r="BG299">
        <v>7646.27</v>
      </c>
      <c r="BH299">
        <v>73300</v>
      </c>
      <c r="BI299">
        <v>1464.3389999999999</v>
      </c>
      <c r="BJ299">
        <v>41.52</v>
      </c>
      <c r="BK299">
        <v>2918.65</v>
      </c>
      <c r="BL299">
        <v>590.04</v>
      </c>
      <c r="BM299">
        <v>1721.06</v>
      </c>
      <c r="BN299" s="14">
        <f t="shared" si="54"/>
        <v>-6.048512895174718E-3</v>
      </c>
      <c r="BO299" s="14">
        <f t="shared" si="46"/>
        <v>-3.6793692509855425E-2</v>
      </c>
      <c r="BP299" s="14">
        <f t="shared" si="47"/>
        <v>-1.6186832854977684E-2</v>
      </c>
      <c r="BQ299" s="14">
        <f t="shared" si="48"/>
        <v>-5.807622504537191E-2</v>
      </c>
      <c r="BR299" s="14">
        <f t="shared" si="49"/>
        <v>-4.5701812724885382E-3</v>
      </c>
      <c r="BS299" s="14">
        <f t="shared" si="50"/>
        <v>-4.1676140977749077E-2</v>
      </c>
      <c r="BT299" s="14">
        <f t="shared" si="51"/>
        <v>-3.1125622765783789E-2</v>
      </c>
      <c r="BV299" s="749">
        <v>43686</v>
      </c>
      <c r="BW299">
        <f t="shared" si="52"/>
        <v>1.4024015222133599</v>
      </c>
      <c r="BX299">
        <f t="shared" si="53"/>
        <v>2.1036693636436774</v>
      </c>
    </row>
    <row r="300" spans="1:76" x14ac:dyDescent="0.3">
      <c r="A300" s="749">
        <v>43679</v>
      </c>
      <c r="B300">
        <v>76100</v>
      </c>
      <c r="C300">
        <v>1488.432</v>
      </c>
      <c r="D300">
        <v>44950</v>
      </c>
      <c r="E300">
        <v>44.08</v>
      </c>
      <c r="F300">
        <v>7692.8</v>
      </c>
      <c r="G300">
        <v>2007.99</v>
      </c>
      <c r="H300">
        <v>615.70000000000005</v>
      </c>
      <c r="I300">
        <v>262.99</v>
      </c>
      <c r="J300">
        <v>1776.35</v>
      </c>
      <c r="K300">
        <v>16940000</v>
      </c>
      <c r="L300">
        <v>2932.05</v>
      </c>
      <c r="AO300" s="749">
        <v>43679</v>
      </c>
      <c r="AP300">
        <v>7692.8</v>
      </c>
      <c r="AQ300">
        <v>2007.99</v>
      </c>
      <c r="AR300">
        <f t="shared" si="44"/>
        <v>1.7677282963371479</v>
      </c>
      <c r="AS300">
        <f t="shared" si="45"/>
        <v>1.0244533330612329</v>
      </c>
      <c r="BF300" s="749">
        <v>43679</v>
      </c>
      <c r="BG300">
        <v>7692.8</v>
      </c>
      <c r="BH300">
        <v>76100</v>
      </c>
      <c r="BI300">
        <v>1488.432</v>
      </c>
      <c r="BJ300">
        <v>44.08</v>
      </c>
      <c r="BK300">
        <v>2932.05</v>
      </c>
      <c r="BL300">
        <v>615.70000000000005</v>
      </c>
      <c r="BM300">
        <v>1776.35</v>
      </c>
      <c r="BN300" s="14">
        <f t="shared" si="54"/>
        <v>-4.0433082406650889E-2</v>
      </c>
      <c r="BO300" s="14">
        <f t="shared" si="46"/>
        <v>-4.6365914786967388E-2</v>
      </c>
      <c r="BP300" s="14">
        <f t="shared" si="47"/>
        <v>-6.6148680188523046E-2</v>
      </c>
      <c r="BQ300" s="14">
        <f t="shared" si="48"/>
        <v>-7.1804590440092686E-2</v>
      </c>
      <c r="BR300" s="14">
        <f t="shared" si="49"/>
        <v>-3.1002756241200857E-2</v>
      </c>
      <c r="BS300" s="14">
        <f t="shared" si="50"/>
        <v>-4.4819187390434223E-2</v>
      </c>
      <c r="BT300" s="14">
        <f t="shared" si="51"/>
        <v>-3.3515601621371682E-2</v>
      </c>
      <c r="BV300" s="749">
        <v>43679</v>
      </c>
      <c r="BW300">
        <f t="shared" si="52"/>
        <v>1.4088401772071615</v>
      </c>
      <c r="BX300">
        <f t="shared" si="53"/>
        <v>2.1382813667237479</v>
      </c>
    </row>
    <row r="301" spans="1:76" x14ac:dyDescent="0.3">
      <c r="A301" s="749">
        <v>43672</v>
      </c>
      <c r="B301">
        <v>79800</v>
      </c>
      <c r="C301">
        <v>1593.864</v>
      </c>
      <c r="D301">
        <v>47150</v>
      </c>
      <c r="E301">
        <v>47.49</v>
      </c>
      <c r="F301">
        <v>8016.95</v>
      </c>
      <c r="G301">
        <v>2077.87</v>
      </c>
      <c r="H301">
        <v>644.59</v>
      </c>
      <c r="I301">
        <v>272.25</v>
      </c>
      <c r="J301">
        <v>1837.95</v>
      </c>
      <c r="K301">
        <v>18650000</v>
      </c>
      <c r="L301">
        <v>3025.86</v>
      </c>
      <c r="AO301" s="749">
        <v>43672</v>
      </c>
      <c r="AP301">
        <v>8016.95</v>
      </c>
      <c r="AQ301">
        <v>2077.87</v>
      </c>
      <c r="AR301">
        <f t="shared" si="44"/>
        <v>1.8422147157498046</v>
      </c>
      <c r="AS301">
        <f t="shared" si="45"/>
        <v>1.0601053028988909</v>
      </c>
      <c r="BF301" s="749">
        <v>43672</v>
      </c>
      <c r="BG301">
        <v>8016.95</v>
      </c>
      <c r="BH301">
        <v>79800</v>
      </c>
      <c r="BI301">
        <v>1593.864</v>
      </c>
      <c r="BJ301">
        <v>47.49</v>
      </c>
      <c r="BK301">
        <v>3025.86</v>
      </c>
      <c r="BL301">
        <v>644.59</v>
      </c>
      <c r="BM301">
        <v>1837.95</v>
      </c>
      <c r="BN301" s="14">
        <f t="shared" si="54"/>
        <v>2.323577837623958E-2</v>
      </c>
      <c r="BO301" s="14">
        <f t="shared" si="46"/>
        <v>3.90625E-2</v>
      </c>
      <c r="BP301" s="14">
        <f t="shared" si="47"/>
        <v>4.5904285686162449E-2</v>
      </c>
      <c r="BQ301" s="14">
        <f t="shared" si="48"/>
        <v>4.3277680140597408E-2</v>
      </c>
      <c r="BR301" s="14">
        <f t="shared" si="49"/>
        <v>1.6545667722677848E-2</v>
      </c>
      <c r="BS301" s="14">
        <f t="shared" si="50"/>
        <v>-4.3720143607393847E-2</v>
      </c>
      <c r="BT301" s="14">
        <f t="shared" si="51"/>
        <v>-4.3985331000448991E-3</v>
      </c>
      <c r="BV301" s="749">
        <v>43672</v>
      </c>
      <c r="BW301">
        <f t="shared" si="52"/>
        <v>1.453915567130186</v>
      </c>
      <c r="BX301">
        <f t="shared" si="53"/>
        <v>2.2897449747733045</v>
      </c>
    </row>
    <row r="302" spans="1:76" x14ac:dyDescent="0.3">
      <c r="A302" s="749">
        <v>43665</v>
      </c>
      <c r="B302">
        <v>76800</v>
      </c>
      <c r="C302">
        <v>1523.91</v>
      </c>
      <c r="D302">
        <v>46800</v>
      </c>
      <c r="E302">
        <v>45.52</v>
      </c>
      <c r="F302">
        <v>7834.9</v>
      </c>
      <c r="G302">
        <v>2092.2199999999998</v>
      </c>
      <c r="H302">
        <v>674.06</v>
      </c>
      <c r="I302">
        <v>274.55</v>
      </c>
      <c r="J302">
        <v>1846.07</v>
      </c>
      <c r="K302">
        <v>11920000</v>
      </c>
      <c r="L302">
        <v>2976.61</v>
      </c>
      <c r="AO302" s="749">
        <v>43665</v>
      </c>
      <c r="AP302">
        <v>7834.9</v>
      </c>
      <c r="AQ302">
        <v>2092.2199999999998</v>
      </c>
      <c r="AR302">
        <f t="shared" si="44"/>
        <v>1.8003814513534628</v>
      </c>
      <c r="AS302">
        <f t="shared" si="45"/>
        <v>1.0674265073518157</v>
      </c>
      <c r="BF302" s="749">
        <v>43665</v>
      </c>
      <c r="BG302">
        <v>7834.9</v>
      </c>
      <c r="BH302">
        <v>76800</v>
      </c>
      <c r="BI302">
        <v>1523.91</v>
      </c>
      <c r="BJ302">
        <v>45.52</v>
      </c>
      <c r="BK302">
        <v>2976.61</v>
      </c>
      <c r="BL302">
        <v>674.06</v>
      </c>
      <c r="BM302">
        <v>1846.07</v>
      </c>
      <c r="BN302" s="14">
        <f t="shared" si="54"/>
        <v>-1.3639270625084965E-2</v>
      </c>
      <c r="BO302" s="14">
        <f t="shared" si="46"/>
        <v>2.8112449799196693E-2</v>
      </c>
      <c r="BP302" s="14">
        <f t="shared" si="47"/>
        <v>1.3047411956393917E-2</v>
      </c>
      <c r="BQ302" s="14">
        <f t="shared" si="48"/>
        <v>2.2691529993259962E-2</v>
      </c>
      <c r="BR302" s="14">
        <f t="shared" si="49"/>
        <v>-1.2330071637848938E-2</v>
      </c>
      <c r="BS302" s="14">
        <f t="shared" si="50"/>
        <v>-1.0437922985451542E-2</v>
      </c>
      <c r="BT302" s="14">
        <f t="shared" si="51"/>
        <v>8.4617989926689674E-3</v>
      </c>
      <c r="BV302" s="749">
        <v>43665</v>
      </c>
      <c r="BW302">
        <f t="shared" si="52"/>
        <v>1.4302511075447584</v>
      </c>
      <c r="BX302">
        <f t="shared" si="53"/>
        <v>2.1892490604636197</v>
      </c>
    </row>
    <row r="303" spans="1:76" x14ac:dyDescent="0.3">
      <c r="A303" s="749">
        <v>43658</v>
      </c>
      <c r="B303">
        <v>74700</v>
      </c>
      <c r="C303">
        <v>1504.2829999999999</v>
      </c>
      <c r="D303">
        <v>46300</v>
      </c>
      <c r="E303">
        <v>44.51</v>
      </c>
      <c r="F303">
        <v>7943.24</v>
      </c>
      <c r="G303">
        <v>2077.3200000000002</v>
      </c>
      <c r="H303">
        <v>681.17</v>
      </c>
      <c r="I303">
        <v>272.68</v>
      </c>
      <c r="J303">
        <v>1830.58</v>
      </c>
      <c r="K303">
        <v>17210000</v>
      </c>
      <c r="L303">
        <v>3013.77</v>
      </c>
      <c r="AO303" s="749">
        <v>43658</v>
      </c>
      <c r="AP303">
        <v>7943.24</v>
      </c>
      <c r="AQ303">
        <v>2077.3200000000002</v>
      </c>
      <c r="AR303">
        <f t="shared" si="44"/>
        <v>1.8252768969162185</v>
      </c>
      <c r="AS303">
        <f t="shared" si="45"/>
        <v>1.0598246992439009</v>
      </c>
      <c r="BF303" s="749">
        <v>43658</v>
      </c>
      <c r="BG303">
        <v>7943.24</v>
      </c>
      <c r="BH303">
        <v>74700</v>
      </c>
      <c r="BI303">
        <v>1504.2829999999999</v>
      </c>
      <c r="BJ303">
        <v>44.51</v>
      </c>
      <c r="BK303">
        <v>3013.77</v>
      </c>
      <c r="BL303">
        <v>681.17</v>
      </c>
      <c r="BM303">
        <v>1830.58</v>
      </c>
      <c r="BN303" s="14">
        <f t="shared" si="54"/>
        <v>1.3000395342608995E-2</v>
      </c>
      <c r="BO303" s="14">
        <f t="shared" si="46"/>
        <v>9.210526315789469E-2</v>
      </c>
      <c r="BP303" s="14">
        <f t="shared" si="47"/>
        <v>2.913251693233887E-2</v>
      </c>
      <c r="BQ303" s="14">
        <f t="shared" si="48"/>
        <v>0.12912227295788936</v>
      </c>
      <c r="BR303" s="14">
        <f t="shared" si="49"/>
        <v>7.8116378690546995E-3</v>
      </c>
      <c r="BS303" s="14">
        <f t="shared" si="50"/>
        <v>-1.8727401068902472E-2</v>
      </c>
      <c r="BT303" s="14">
        <f t="shared" si="51"/>
        <v>-2.4195921570336898E-3</v>
      </c>
      <c r="BV303" s="749">
        <v>43658</v>
      </c>
      <c r="BW303">
        <f t="shared" si="52"/>
        <v>1.4481063627365245</v>
      </c>
      <c r="BX303">
        <f t="shared" si="53"/>
        <v>2.1610529128500993</v>
      </c>
    </row>
    <row r="304" spans="1:76" x14ac:dyDescent="0.3">
      <c r="A304" s="749">
        <v>43651</v>
      </c>
      <c r="B304">
        <v>68400</v>
      </c>
      <c r="C304">
        <v>1461.7</v>
      </c>
      <c r="D304">
        <v>45650</v>
      </c>
      <c r="E304">
        <v>39.42</v>
      </c>
      <c r="F304">
        <v>7841.3</v>
      </c>
      <c r="G304">
        <v>2087.19</v>
      </c>
      <c r="H304">
        <v>694.17</v>
      </c>
      <c r="I304">
        <v>274.35000000000002</v>
      </c>
      <c r="J304">
        <v>1835.02</v>
      </c>
      <c r="K304">
        <v>12370000</v>
      </c>
      <c r="L304">
        <v>2990.41</v>
      </c>
      <c r="AO304" s="749">
        <v>43651</v>
      </c>
      <c r="AP304">
        <v>7841.3</v>
      </c>
      <c r="AQ304">
        <v>2087.19</v>
      </c>
      <c r="AR304">
        <f t="shared" si="44"/>
        <v>1.801852107174043</v>
      </c>
      <c r="AS304">
        <f t="shared" si="45"/>
        <v>1.0648602593798149</v>
      </c>
      <c r="BF304" s="749">
        <v>43651</v>
      </c>
      <c r="BG304">
        <v>7841.3</v>
      </c>
      <c r="BH304">
        <v>68400</v>
      </c>
      <c r="BI304">
        <v>1461.7</v>
      </c>
      <c r="BJ304">
        <v>39.42</v>
      </c>
      <c r="BK304">
        <v>2990.41</v>
      </c>
      <c r="BL304">
        <v>694.17</v>
      </c>
      <c r="BM304">
        <v>1835.02</v>
      </c>
      <c r="BN304" s="14">
        <f t="shared" si="54"/>
        <v>2.2189835068856079E-2</v>
      </c>
      <c r="BO304" s="14">
        <f t="shared" si="46"/>
        <v>-1.5827338129496438E-2</v>
      </c>
      <c r="BP304" s="14">
        <f t="shared" si="47"/>
        <v>1.8787368253665448E-3</v>
      </c>
      <c r="BQ304" s="14">
        <f t="shared" si="48"/>
        <v>2.1508162736460168E-2</v>
      </c>
      <c r="BR304" s="14">
        <f t="shared" si="49"/>
        <v>1.6537718916566746E-2</v>
      </c>
      <c r="BS304" s="14">
        <f t="shared" si="50"/>
        <v>5.2713133390294153E-3</v>
      </c>
      <c r="BT304" s="14">
        <f t="shared" si="51"/>
        <v>-1.1415734211107642E-2</v>
      </c>
      <c r="BV304" s="749">
        <v>43651</v>
      </c>
      <c r="BW304">
        <f t="shared" si="52"/>
        <v>1.4368819611950914</v>
      </c>
      <c r="BX304">
        <f t="shared" si="53"/>
        <v>2.0998781763225343</v>
      </c>
    </row>
    <row r="305" spans="1:76" x14ac:dyDescent="0.3">
      <c r="A305" s="749">
        <v>43644</v>
      </c>
      <c r="B305">
        <v>69500</v>
      </c>
      <c r="C305">
        <v>1458.9590000000001</v>
      </c>
      <c r="D305">
        <v>47000</v>
      </c>
      <c r="E305">
        <v>38.590000000000003</v>
      </c>
      <c r="F305">
        <v>7671.08</v>
      </c>
      <c r="G305">
        <v>2114.7199999999998</v>
      </c>
      <c r="H305">
        <v>690.53</v>
      </c>
      <c r="I305">
        <v>277.5</v>
      </c>
      <c r="J305">
        <v>1856.21</v>
      </c>
      <c r="K305">
        <v>17540000</v>
      </c>
      <c r="L305">
        <v>2941.76</v>
      </c>
      <c r="AO305" s="749">
        <v>43644</v>
      </c>
      <c r="AP305">
        <v>7671.08</v>
      </c>
      <c r="AQ305">
        <v>2114.7199999999998</v>
      </c>
      <c r="AR305">
        <f t="shared" si="44"/>
        <v>1.7627372581460543</v>
      </c>
      <c r="AS305">
        <f t="shared" si="45"/>
        <v>1.0789057477832311</v>
      </c>
      <c r="BF305" s="749">
        <v>43644</v>
      </c>
      <c r="BG305">
        <v>7671.08</v>
      </c>
      <c r="BH305">
        <v>69500</v>
      </c>
      <c r="BI305">
        <v>1458.9590000000001</v>
      </c>
      <c r="BJ305">
        <v>38.590000000000003</v>
      </c>
      <c r="BK305">
        <v>2941.76</v>
      </c>
      <c r="BL305">
        <v>690.53</v>
      </c>
      <c r="BM305">
        <v>1856.21</v>
      </c>
      <c r="BN305" s="14">
        <f t="shared" si="54"/>
        <v>-7.4656025918709013E-3</v>
      </c>
      <c r="BO305" s="14">
        <f t="shared" si="46"/>
        <v>5.4628224582701002E-2</v>
      </c>
      <c r="BP305" s="14">
        <f t="shared" si="47"/>
        <v>3.4358102144137925E-2</v>
      </c>
      <c r="BQ305" s="14">
        <f t="shared" si="48"/>
        <v>0.16060150375939863</v>
      </c>
      <c r="BR305" s="14">
        <f t="shared" si="49"/>
        <v>-2.9486927462157864E-3</v>
      </c>
      <c r="BS305" s="14">
        <f t="shared" si="50"/>
        <v>-4.4434296468504386E-2</v>
      </c>
      <c r="BT305" s="14">
        <f t="shared" si="51"/>
        <v>1.0550785864777978E-2</v>
      </c>
      <c r="BV305" s="749">
        <v>43644</v>
      </c>
      <c r="BW305">
        <f t="shared" si="52"/>
        <v>1.4135057995944611</v>
      </c>
      <c r="BX305">
        <f t="shared" si="53"/>
        <v>2.0959404558044388</v>
      </c>
    </row>
    <row r="306" spans="1:76" x14ac:dyDescent="0.3">
      <c r="A306" s="749">
        <v>43637</v>
      </c>
      <c r="B306">
        <v>65900</v>
      </c>
      <c r="C306">
        <v>1410.4970000000001</v>
      </c>
      <c r="D306">
        <v>45700</v>
      </c>
      <c r="E306">
        <v>33.25</v>
      </c>
      <c r="F306">
        <v>7728.78</v>
      </c>
      <c r="G306">
        <v>2096.2800000000002</v>
      </c>
      <c r="H306">
        <v>722.64</v>
      </c>
      <c r="I306">
        <v>275.48</v>
      </c>
      <c r="J306">
        <v>1836.83</v>
      </c>
      <c r="K306">
        <v>15390000</v>
      </c>
      <c r="L306">
        <v>2950.46</v>
      </c>
      <c r="AO306" s="749">
        <v>43637</v>
      </c>
      <c r="AP306">
        <v>7728.78</v>
      </c>
      <c r="AQ306">
        <v>2096.2800000000002</v>
      </c>
      <c r="AR306">
        <f t="shared" si="44"/>
        <v>1.7759961395284709</v>
      </c>
      <c r="AS306">
        <f t="shared" si="45"/>
        <v>1.0694978725141069</v>
      </c>
      <c r="BF306" s="749">
        <v>43637</v>
      </c>
      <c r="BG306">
        <v>7728.78</v>
      </c>
      <c r="BH306">
        <v>65900</v>
      </c>
      <c r="BI306">
        <v>1410.4970000000001</v>
      </c>
      <c r="BJ306">
        <v>33.25</v>
      </c>
      <c r="BK306">
        <v>2950.46</v>
      </c>
      <c r="BL306">
        <v>722.64</v>
      </c>
      <c r="BM306">
        <v>1836.83</v>
      </c>
      <c r="BN306" s="14">
        <f t="shared" si="54"/>
        <v>3.3382314205834707E-2</v>
      </c>
      <c r="BO306" s="14">
        <f t="shared" si="46"/>
        <v>4.4374009508716394E-2</v>
      </c>
      <c r="BP306" s="14">
        <f t="shared" si="47"/>
        <v>3.9765493865702162E-2</v>
      </c>
      <c r="BQ306" s="14">
        <f t="shared" si="48"/>
        <v>1.8064911206368661E-2</v>
      </c>
      <c r="BR306" s="14">
        <f t="shared" si="49"/>
        <v>2.1988375395742166E-2</v>
      </c>
      <c r="BS306" s="14">
        <f t="shared" si="50"/>
        <v>5.3997923156789973E-4</v>
      </c>
      <c r="BT306" s="14">
        <f t="shared" si="51"/>
        <v>2.053481640340693E-2</v>
      </c>
      <c r="BV306" s="749">
        <v>43637</v>
      </c>
      <c r="BW306">
        <f t="shared" si="52"/>
        <v>1.4176861203740188</v>
      </c>
      <c r="BX306">
        <f t="shared" si="53"/>
        <v>2.0263199480525453</v>
      </c>
    </row>
    <row r="307" spans="1:76" x14ac:dyDescent="0.3">
      <c r="A307" s="749">
        <v>43630</v>
      </c>
      <c r="B307">
        <v>63100</v>
      </c>
      <c r="C307">
        <v>1356.5530000000001</v>
      </c>
      <c r="D307">
        <v>44000</v>
      </c>
      <c r="E307">
        <v>32.659999999999997</v>
      </c>
      <c r="F307">
        <v>7479.11</v>
      </c>
      <c r="G307">
        <v>2055.67</v>
      </c>
      <c r="H307">
        <v>722.25</v>
      </c>
      <c r="I307">
        <v>270.48</v>
      </c>
      <c r="J307">
        <v>1799.87</v>
      </c>
      <c r="K307">
        <v>17590000</v>
      </c>
      <c r="L307">
        <v>2886.98</v>
      </c>
      <c r="AO307" s="749">
        <v>43630</v>
      </c>
      <c r="AP307">
        <v>7479.11</v>
      </c>
      <c r="AQ307">
        <v>2055.67</v>
      </c>
      <c r="AR307">
        <f t="shared" si="44"/>
        <v>1.7186244772278136</v>
      </c>
      <c r="AS307">
        <f t="shared" si="45"/>
        <v>1.0487791190065612</v>
      </c>
      <c r="BF307" s="749">
        <v>43630</v>
      </c>
      <c r="BG307">
        <v>7479.11</v>
      </c>
      <c r="BH307">
        <v>63100</v>
      </c>
      <c r="BI307">
        <v>1356.5530000000001</v>
      </c>
      <c r="BJ307">
        <v>32.659999999999997</v>
      </c>
      <c r="BK307">
        <v>2886.98</v>
      </c>
      <c r="BL307">
        <v>722.25</v>
      </c>
      <c r="BM307">
        <v>1799.87</v>
      </c>
      <c r="BN307" s="14">
        <f t="shared" si="54"/>
        <v>8.3345804195331663E-3</v>
      </c>
      <c r="BO307" s="14">
        <f t="shared" si="46"/>
        <v>-3.5168195718654482E-2</v>
      </c>
      <c r="BP307" s="14">
        <f t="shared" si="47"/>
        <v>-1.6140753462410951E-2</v>
      </c>
      <c r="BQ307" s="14">
        <f t="shared" si="48"/>
        <v>-3.9129155634010204E-2</v>
      </c>
      <c r="BR307" s="14">
        <f t="shared" si="49"/>
        <v>4.7470887538543227E-3</v>
      </c>
      <c r="BS307" s="14">
        <f t="shared" si="50"/>
        <v>7.9829176726724516E-3</v>
      </c>
      <c r="BT307" s="14">
        <f t="shared" si="51"/>
        <v>3.4845730979806699E-3</v>
      </c>
      <c r="BV307" s="749">
        <v>43630</v>
      </c>
      <c r="BW307">
        <f t="shared" si="52"/>
        <v>1.3871841935824869</v>
      </c>
      <c r="BX307">
        <f t="shared" si="53"/>
        <v>1.9488239992644611</v>
      </c>
    </row>
    <row r="308" spans="1:76" x14ac:dyDescent="0.3">
      <c r="A308" s="749">
        <v>43623</v>
      </c>
      <c r="B308">
        <v>65400</v>
      </c>
      <c r="C308">
        <v>1378.808</v>
      </c>
      <c r="D308">
        <v>44200</v>
      </c>
      <c r="E308">
        <v>33.99</v>
      </c>
      <c r="F308">
        <v>7417.29</v>
      </c>
      <c r="G308">
        <v>2041.99</v>
      </c>
      <c r="H308">
        <v>716.53</v>
      </c>
      <c r="I308">
        <v>268.27</v>
      </c>
      <c r="J308">
        <v>1793.62</v>
      </c>
      <c r="K308">
        <v>14100000</v>
      </c>
      <c r="L308">
        <v>2873.34</v>
      </c>
      <c r="AO308" s="749">
        <v>43623</v>
      </c>
      <c r="AP308">
        <v>7417.29</v>
      </c>
      <c r="AQ308">
        <v>2041.99</v>
      </c>
      <c r="AR308">
        <f t="shared" si="44"/>
        <v>1.7044188611608988</v>
      </c>
      <c r="AS308">
        <f t="shared" si="45"/>
        <v>1.0417997408242605</v>
      </c>
      <c r="BF308" s="749">
        <v>43623</v>
      </c>
      <c r="BG308">
        <v>7417.29</v>
      </c>
      <c r="BH308">
        <v>65400</v>
      </c>
      <c r="BI308">
        <v>1378.808</v>
      </c>
      <c r="BJ308">
        <v>33.99</v>
      </c>
      <c r="BK308">
        <v>2873.34</v>
      </c>
      <c r="BL308">
        <v>716.53</v>
      </c>
      <c r="BM308">
        <v>1793.62</v>
      </c>
      <c r="BN308" s="14">
        <f t="shared" si="54"/>
        <v>4.0590856289878241E-2</v>
      </c>
      <c r="BO308" s="14">
        <f t="shared" si="46"/>
        <v>1.5313935681469104E-3</v>
      </c>
      <c r="BP308" s="14">
        <f t="shared" si="47"/>
        <v>6.3743215667516617E-2</v>
      </c>
      <c r="BQ308" s="14">
        <f t="shared" si="48"/>
        <v>4.2318307267709354E-2</v>
      </c>
      <c r="BR308" s="14">
        <f t="shared" si="49"/>
        <v>4.4068806639390168E-2</v>
      </c>
      <c r="BS308" s="14">
        <f t="shared" si="50"/>
        <v>2.8802389191207034E-2</v>
      </c>
      <c r="BT308" s="14">
        <f t="shared" si="51"/>
        <v>1.8251801052529881E-2</v>
      </c>
      <c r="BV308" s="749">
        <v>43623</v>
      </c>
      <c r="BW308">
        <f t="shared" si="52"/>
        <v>1.3806302193947666</v>
      </c>
      <c r="BX308">
        <f t="shared" si="53"/>
        <v>1.980795531599453</v>
      </c>
    </row>
    <row r="309" spans="1:76" x14ac:dyDescent="0.3">
      <c r="A309" s="749">
        <v>43616</v>
      </c>
      <c r="B309">
        <v>65300</v>
      </c>
      <c r="C309">
        <v>1296.1849999999999</v>
      </c>
      <c r="D309">
        <v>42500</v>
      </c>
      <c r="E309">
        <v>32.61</v>
      </c>
      <c r="F309">
        <v>7127.96</v>
      </c>
      <c r="G309">
        <v>2007.85</v>
      </c>
      <c r="H309">
        <v>696.47</v>
      </c>
      <c r="I309">
        <v>263.89</v>
      </c>
      <c r="J309">
        <v>1761.47</v>
      </c>
      <c r="K309">
        <v>26540000</v>
      </c>
      <c r="L309">
        <v>2752.06</v>
      </c>
      <c r="AO309" s="749">
        <v>43616</v>
      </c>
      <c r="AP309">
        <v>7127.96</v>
      </c>
      <c r="AQ309">
        <v>2007.85</v>
      </c>
      <c r="AR309">
        <f t="shared" si="44"/>
        <v>1.637933728572085</v>
      </c>
      <c r="AS309">
        <f t="shared" si="45"/>
        <v>1.0243819066763262</v>
      </c>
      <c r="BF309" s="749">
        <v>43616</v>
      </c>
      <c r="BG309">
        <v>7127.96</v>
      </c>
      <c r="BH309">
        <v>65300</v>
      </c>
      <c r="BI309">
        <v>1296.1849999999999</v>
      </c>
      <c r="BJ309">
        <v>32.61</v>
      </c>
      <c r="BK309">
        <v>2752.06</v>
      </c>
      <c r="BL309">
        <v>696.47</v>
      </c>
      <c r="BM309">
        <v>1761.47</v>
      </c>
      <c r="BN309" s="14">
        <f t="shared" si="54"/>
        <v>-2.3695514014595354E-2</v>
      </c>
      <c r="BO309" s="14">
        <f t="shared" si="46"/>
        <v>-3.4023668639053262E-2</v>
      </c>
      <c r="BP309" s="14">
        <f t="shared" si="47"/>
        <v>-1.2030019024854344E-2</v>
      </c>
      <c r="BQ309" s="14">
        <f t="shared" si="48"/>
        <v>-4.0882352941176481E-2</v>
      </c>
      <c r="BR309" s="14">
        <f t="shared" si="49"/>
        <v>-2.6184865147944492E-2</v>
      </c>
      <c r="BS309" s="14">
        <f t="shared" si="50"/>
        <v>9.3329275538744927E-3</v>
      </c>
      <c r="BT309" s="14">
        <f t="shared" si="51"/>
        <v>-2.1469925110181309E-3</v>
      </c>
      <c r="BV309" s="749">
        <v>43616</v>
      </c>
      <c r="BW309">
        <f t="shared" si="52"/>
        <v>1.3223555867344488</v>
      </c>
      <c r="BX309">
        <f t="shared" si="53"/>
        <v>1.8620993322683339</v>
      </c>
    </row>
    <row r="310" spans="1:76" x14ac:dyDescent="0.3">
      <c r="A310" s="749">
        <v>43609</v>
      </c>
      <c r="B310">
        <v>67600</v>
      </c>
      <c r="C310">
        <v>1311.9680000000001</v>
      </c>
      <c r="D310">
        <v>42700</v>
      </c>
      <c r="E310">
        <v>34</v>
      </c>
      <c r="F310">
        <v>7300.96</v>
      </c>
      <c r="G310">
        <v>2010.31</v>
      </c>
      <c r="H310">
        <v>690.03</v>
      </c>
      <c r="I310">
        <v>264.42</v>
      </c>
      <c r="J310">
        <v>1765.26</v>
      </c>
      <c r="K310">
        <v>15440000</v>
      </c>
      <c r="L310">
        <v>2826.06</v>
      </c>
      <c r="AO310" s="749">
        <v>43609</v>
      </c>
      <c r="AP310">
        <v>7300.96</v>
      </c>
      <c r="AQ310">
        <v>2010.31</v>
      </c>
      <c r="AR310">
        <f t="shared" si="44"/>
        <v>1.6776873937221379</v>
      </c>
      <c r="AS310">
        <f t="shared" si="45"/>
        <v>1.0256369702968275</v>
      </c>
      <c r="BF310" s="749">
        <v>43609</v>
      </c>
      <c r="BG310">
        <v>7300.96</v>
      </c>
      <c r="BH310">
        <v>67600</v>
      </c>
      <c r="BI310">
        <v>1311.9680000000001</v>
      </c>
      <c r="BJ310">
        <v>34</v>
      </c>
      <c r="BK310">
        <v>2826.06</v>
      </c>
      <c r="BL310">
        <v>690.03</v>
      </c>
      <c r="BM310">
        <v>1765.26</v>
      </c>
      <c r="BN310" s="14">
        <f t="shared" si="54"/>
        <v>-2.7016077444667164E-2</v>
      </c>
      <c r="BO310" s="14">
        <f t="shared" si="46"/>
        <v>-5.5865921787709549E-2</v>
      </c>
      <c r="BP310" s="14">
        <f t="shared" si="47"/>
        <v>-6.4223507678261904E-2</v>
      </c>
      <c r="BQ310" s="14">
        <f t="shared" si="48"/>
        <v>-5.7127010537992295E-2</v>
      </c>
      <c r="BR310" s="14">
        <f t="shared" si="49"/>
        <v>-1.170472070585038E-2</v>
      </c>
      <c r="BS310" s="14">
        <f t="shared" si="50"/>
        <v>-3.3747356923809368E-2</v>
      </c>
      <c r="BT310" s="14">
        <f t="shared" si="51"/>
        <v>3.1083254251929038E-3</v>
      </c>
      <c r="BV310" s="749">
        <v>43609</v>
      </c>
      <c r="BW310">
        <f t="shared" si="52"/>
        <v>1.357912338192756</v>
      </c>
      <c r="BX310">
        <f t="shared" si="53"/>
        <v>1.8847731895967179</v>
      </c>
    </row>
    <row r="311" spans="1:76" x14ac:dyDescent="0.3">
      <c r="A311" s="749">
        <v>43602</v>
      </c>
      <c r="B311">
        <v>71600</v>
      </c>
      <c r="C311">
        <v>1402.01</v>
      </c>
      <c r="D311">
        <v>41200</v>
      </c>
      <c r="E311">
        <v>36.06</v>
      </c>
      <c r="F311">
        <v>7503.68</v>
      </c>
      <c r="G311">
        <v>2007.18</v>
      </c>
      <c r="H311">
        <v>714.13</v>
      </c>
      <c r="I311">
        <v>264.35000000000002</v>
      </c>
      <c r="J311">
        <v>1759.79</v>
      </c>
      <c r="K311">
        <v>14710000</v>
      </c>
      <c r="L311">
        <v>2859.53</v>
      </c>
      <c r="AO311" s="749">
        <v>43602</v>
      </c>
      <c r="AP311">
        <v>7503.68</v>
      </c>
      <c r="AQ311">
        <v>2007.18</v>
      </c>
      <c r="AR311">
        <f t="shared" si="44"/>
        <v>1.7242704168390091</v>
      </c>
      <c r="AS311">
        <f t="shared" si="45"/>
        <v>1.0240400804057019</v>
      </c>
      <c r="BF311" s="749">
        <v>43602</v>
      </c>
      <c r="BG311">
        <v>7503.68</v>
      </c>
      <c r="BH311">
        <v>71600</v>
      </c>
      <c r="BI311">
        <v>1402.01</v>
      </c>
      <c r="BJ311">
        <v>36.06</v>
      </c>
      <c r="BK311">
        <v>2859.53</v>
      </c>
      <c r="BL311">
        <v>714.13</v>
      </c>
      <c r="BM311">
        <v>1759.79</v>
      </c>
      <c r="BN311" s="14">
        <f t="shared" si="54"/>
        <v>-1.0920671242320212E-2</v>
      </c>
      <c r="BO311" s="14">
        <f t="shared" si="46"/>
        <v>-3.7634408602150504E-2</v>
      </c>
      <c r="BP311" s="14">
        <f t="shared" si="47"/>
        <v>-5.1970190693280682E-2</v>
      </c>
      <c r="BQ311" s="14">
        <f t="shared" si="48"/>
        <v>-7.3959938366717881E-2</v>
      </c>
      <c r="BR311" s="14">
        <f t="shared" si="49"/>
        <v>-7.5900603873116923E-3</v>
      </c>
      <c r="BS311" s="14">
        <f t="shared" si="50"/>
        <v>-1.1748913675237338E-2</v>
      </c>
      <c r="BT311" s="14">
        <f t="shared" si="51"/>
        <v>-3.0578967663747014E-2</v>
      </c>
      <c r="BV311" s="749">
        <v>43602</v>
      </c>
      <c r="BW311">
        <f t="shared" si="52"/>
        <v>1.3739945607780204</v>
      </c>
      <c r="BX311">
        <f t="shared" si="53"/>
        <v>2.0141275241061476</v>
      </c>
    </row>
    <row r="312" spans="1:76" x14ac:dyDescent="0.3">
      <c r="A312" s="749">
        <v>43595</v>
      </c>
      <c r="B312">
        <v>74400</v>
      </c>
      <c r="C312">
        <v>1478.867</v>
      </c>
      <c r="D312">
        <v>42900</v>
      </c>
      <c r="E312">
        <v>38.94</v>
      </c>
      <c r="F312">
        <v>7586.53</v>
      </c>
      <c r="G312">
        <v>2068.35</v>
      </c>
      <c r="H312">
        <v>722.62</v>
      </c>
      <c r="I312">
        <v>272.06</v>
      </c>
      <c r="J312">
        <v>1815.3</v>
      </c>
      <c r="K312">
        <v>17070000</v>
      </c>
      <c r="L312">
        <v>2881.4</v>
      </c>
      <c r="AO312" s="749">
        <v>43595</v>
      </c>
      <c r="AP312">
        <v>7586.53</v>
      </c>
      <c r="AQ312">
        <v>2068.35</v>
      </c>
      <c r="AR312">
        <f t="shared" si="44"/>
        <v>1.7433085160163608</v>
      </c>
      <c r="AS312">
        <f t="shared" si="45"/>
        <v>1.0552483087252431</v>
      </c>
      <c r="BF312" s="749">
        <v>43595</v>
      </c>
      <c r="BG312">
        <v>7586.53</v>
      </c>
      <c r="BH312">
        <v>74400</v>
      </c>
      <c r="BI312">
        <v>1478.867</v>
      </c>
      <c r="BJ312">
        <v>38.94</v>
      </c>
      <c r="BK312">
        <v>2881.4</v>
      </c>
      <c r="BL312">
        <v>722.62</v>
      </c>
      <c r="BM312">
        <v>1815.3</v>
      </c>
      <c r="BN312" s="14">
        <f t="shared" si="54"/>
        <v>-3.3037078767686356E-2</v>
      </c>
      <c r="BO312" s="14">
        <f t="shared" si="46"/>
        <v>-7.4626865671641784E-2</v>
      </c>
      <c r="BP312" s="14">
        <f t="shared" si="47"/>
        <v>-5.8468686652609292E-2</v>
      </c>
      <c r="BQ312" s="14">
        <f t="shared" si="48"/>
        <v>-0.10131548580660055</v>
      </c>
      <c r="BR312" s="14">
        <f t="shared" si="49"/>
        <v>-2.1808503415217007E-2</v>
      </c>
      <c r="BS312" s="14">
        <f t="shared" si="50"/>
        <v>-5.1455724449345097E-2</v>
      </c>
      <c r="BT312" s="14">
        <f t="shared" si="51"/>
        <v>-4.077232808091058E-2</v>
      </c>
      <c r="BV312" s="749">
        <v>43595</v>
      </c>
      <c r="BW312">
        <f t="shared" si="52"/>
        <v>1.3845030223238741</v>
      </c>
      <c r="BX312">
        <f t="shared" si="53"/>
        <v>2.1245402880095621</v>
      </c>
    </row>
    <row r="313" spans="1:76" x14ac:dyDescent="0.3">
      <c r="A313" s="749">
        <v>43588</v>
      </c>
      <c r="B313">
        <v>80400</v>
      </c>
      <c r="C313">
        <v>1570.704</v>
      </c>
      <c r="D313">
        <v>45300</v>
      </c>
      <c r="E313">
        <v>43.33</v>
      </c>
      <c r="F313">
        <v>7845.73</v>
      </c>
      <c r="G313">
        <v>2156.16</v>
      </c>
      <c r="H313">
        <v>761.82</v>
      </c>
      <c r="I313">
        <v>283.67</v>
      </c>
      <c r="J313">
        <v>1892.46</v>
      </c>
      <c r="K313">
        <v>11520000</v>
      </c>
      <c r="L313">
        <v>2945.64</v>
      </c>
      <c r="AO313" s="749">
        <v>43588</v>
      </c>
      <c r="AP313">
        <v>7845.73</v>
      </c>
      <c r="AQ313">
        <v>2156.16</v>
      </c>
      <c r="AR313">
        <f t="shared" si="44"/>
        <v>1.8028700767498504</v>
      </c>
      <c r="AS313">
        <f t="shared" si="45"/>
        <v>1.1000479577155802</v>
      </c>
      <c r="BF313" s="749">
        <v>43588</v>
      </c>
      <c r="BG313">
        <v>7845.73</v>
      </c>
      <c r="BH313">
        <v>80400</v>
      </c>
      <c r="BI313">
        <v>1570.704</v>
      </c>
      <c r="BJ313">
        <v>43.33</v>
      </c>
      <c r="BK313">
        <v>2945.64</v>
      </c>
      <c r="BL313">
        <v>761.82</v>
      </c>
      <c r="BM313">
        <v>1892.46</v>
      </c>
      <c r="BN313" s="14">
        <f t="shared" si="54"/>
        <v>2.4339822249024312E-3</v>
      </c>
      <c r="BO313" s="14">
        <f t="shared" si="46"/>
        <v>2.2900763358778553E-2</v>
      </c>
      <c r="BP313" s="14">
        <f t="shared" si="47"/>
        <v>1.5056820935695603E-2</v>
      </c>
      <c r="BQ313" s="14">
        <f t="shared" si="48"/>
        <v>2.9216152019002406E-2</v>
      </c>
      <c r="BR313" s="14">
        <f t="shared" si="49"/>
        <v>1.9592636434140331E-3</v>
      </c>
      <c r="BS313" s="14">
        <f t="shared" si="50"/>
        <v>2.8097165991902928E-2</v>
      </c>
      <c r="BT313" s="14">
        <f t="shared" si="51"/>
        <v>8.7417246783152436E-3</v>
      </c>
      <c r="BV313" s="749">
        <v>43588</v>
      </c>
      <c r="BW313">
        <f t="shared" si="52"/>
        <v>1.4153701265628154</v>
      </c>
      <c r="BX313">
        <f t="shared" si="53"/>
        <v>2.2564733194653548</v>
      </c>
    </row>
    <row r="314" spans="1:76" x14ac:dyDescent="0.3">
      <c r="A314" s="749">
        <v>43581</v>
      </c>
      <c r="B314">
        <v>78600</v>
      </c>
      <c r="C314">
        <v>1547.405</v>
      </c>
      <c r="D314">
        <v>44850</v>
      </c>
      <c r="E314">
        <v>42.1</v>
      </c>
      <c r="F314">
        <v>7826.68</v>
      </c>
      <c r="G314">
        <v>2138.36</v>
      </c>
      <c r="H314">
        <v>741</v>
      </c>
      <c r="I314">
        <v>281.33999999999997</v>
      </c>
      <c r="J314">
        <v>1876.06</v>
      </c>
      <c r="K314">
        <v>19750000</v>
      </c>
      <c r="L314">
        <v>2939.88</v>
      </c>
      <c r="AO314" s="749">
        <v>43581</v>
      </c>
      <c r="AP314">
        <v>7826.68</v>
      </c>
      <c r="AQ314">
        <v>2138.36</v>
      </c>
      <c r="AR314">
        <f t="shared" si="44"/>
        <v>1.7984925777839056</v>
      </c>
      <c r="AS314">
        <f t="shared" si="45"/>
        <v>1.0909666030631717</v>
      </c>
      <c r="BF314" s="749">
        <v>43581</v>
      </c>
      <c r="BG314">
        <v>7826.68</v>
      </c>
      <c r="BH314">
        <v>78600</v>
      </c>
      <c r="BI314">
        <v>1547.405</v>
      </c>
      <c r="BJ314">
        <v>42.1</v>
      </c>
      <c r="BK314">
        <v>2939.88</v>
      </c>
      <c r="BL314">
        <v>741</v>
      </c>
      <c r="BM314">
        <v>1876.06</v>
      </c>
      <c r="BN314" s="14">
        <f t="shared" si="54"/>
        <v>1.7810791550277427E-2</v>
      </c>
      <c r="BO314" s="14">
        <f t="shared" si="46"/>
        <v>-3.9119804400977953E-2</v>
      </c>
      <c r="BP314" s="14">
        <f t="shared" si="47"/>
        <v>-6.883251076611141E-3</v>
      </c>
      <c r="BQ314" s="14">
        <f t="shared" si="48"/>
        <v>-2.995391705069117E-2</v>
      </c>
      <c r="BR314" s="14">
        <f t="shared" si="49"/>
        <v>1.1996433771768178E-2</v>
      </c>
      <c r="BS314" s="14">
        <f t="shared" si="50"/>
        <v>-2.8285927849246661E-2</v>
      </c>
      <c r="BT314" s="14">
        <f t="shared" si="51"/>
        <v>-1.5811562270485857E-2</v>
      </c>
      <c r="BV314" s="749">
        <v>43581</v>
      </c>
      <c r="BW314">
        <f t="shared" si="52"/>
        <v>1.4126024659087635</v>
      </c>
      <c r="BX314">
        <f t="shared" si="53"/>
        <v>2.2230019767615588</v>
      </c>
    </row>
    <row r="315" spans="1:76" x14ac:dyDescent="0.3">
      <c r="A315" s="749">
        <v>43574</v>
      </c>
      <c r="B315">
        <v>81800</v>
      </c>
      <c r="C315">
        <v>1558.13</v>
      </c>
      <c r="D315">
        <v>45300</v>
      </c>
      <c r="E315">
        <v>43.4</v>
      </c>
      <c r="F315">
        <v>7689.72</v>
      </c>
      <c r="G315">
        <v>2171.42</v>
      </c>
      <c r="H315">
        <v>762.57</v>
      </c>
      <c r="I315">
        <v>285.89</v>
      </c>
      <c r="J315">
        <v>1906.2</v>
      </c>
      <c r="K315">
        <v>13450000</v>
      </c>
      <c r="L315">
        <v>2905.03</v>
      </c>
      <c r="AO315" s="749">
        <v>43574</v>
      </c>
      <c r="AP315">
        <v>7689.72</v>
      </c>
      <c r="AQ315">
        <v>2171.42</v>
      </c>
      <c r="AR315">
        <f t="shared" si="44"/>
        <v>1.7670205432234938</v>
      </c>
      <c r="AS315">
        <f t="shared" si="45"/>
        <v>1.1078334336703979</v>
      </c>
      <c r="BF315" s="749">
        <v>43574</v>
      </c>
      <c r="BG315">
        <v>7689.72</v>
      </c>
      <c r="BH315">
        <v>81800</v>
      </c>
      <c r="BI315">
        <v>1558.13</v>
      </c>
      <c r="BJ315">
        <v>43.4</v>
      </c>
      <c r="BK315">
        <v>2905.03</v>
      </c>
      <c r="BL315">
        <v>762.57</v>
      </c>
      <c r="BM315">
        <v>1906.2</v>
      </c>
      <c r="BN315" s="14">
        <f t="shared" si="54"/>
        <v>8.0714196758060464E-3</v>
      </c>
      <c r="BO315" s="14">
        <f t="shared" si="46"/>
        <v>4.7375160051216447E-2</v>
      </c>
      <c r="BP315" s="14">
        <f t="shared" si="47"/>
        <v>4.075296670001971E-2</v>
      </c>
      <c r="BQ315" s="14">
        <f t="shared" si="48"/>
        <v>3.3087360152344703E-2</v>
      </c>
      <c r="BR315" s="14">
        <f t="shared" si="49"/>
        <v>-8.1859799615457973E-4</v>
      </c>
      <c r="BS315" s="14">
        <f t="shared" si="50"/>
        <v>-6.8763430357491329E-3</v>
      </c>
      <c r="BT315" s="14">
        <f t="shared" si="51"/>
        <v>-7.1823290746305668E-3</v>
      </c>
      <c r="BV315" s="749">
        <v>43574</v>
      </c>
      <c r="BW315">
        <f t="shared" si="52"/>
        <v>1.395857157958466</v>
      </c>
      <c r="BX315">
        <f t="shared" si="53"/>
        <v>2.2384095114410822</v>
      </c>
    </row>
    <row r="316" spans="1:76" x14ac:dyDescent="0.3">
      <c r="A316" s="749">
        <v>43567</v>
      </c>
      <c r="B316">
        <v>78100</v>
      </c>
      <c r="C316">
        <v>1497.1179999999999</v>
      </c>
      <c r="D316">
        <v>46850</v>
      </c>
      <c r="E316">
        <v>42.01</v>
      </c>
      <c r="F316">
        <v>7628.15</v>
      </c>
      <c r="G316">
        <v>2189.64</v>
      </c>
      <c r="H316">
        <v>767.85</v>
      </c>
      <c r="I316">
        <v>288.37</v>
      </c>
      <c r="J316">
        <v>1919.99</v>
      </c>
      <c r="K316">
        <v>12610000</v>
      </c>
      <c r="L316">
        <v>2907.41</v>
      </c>
      <c r="AO316" s="749">
        <v>43567</v>
      </c>
      <c r="AP316">
        <v>7628.15</v>
      </c>
      <c r="AQ316">
        <v>2189.64</v>
      </c>
      <c r="AR316">
        <f t="shared" si="44"/>
        <v>1.7528723746495702</v>
      </c>
      <c r="AS316">
        <f t="shared" si="45"/>
        <v>1.1171290674775263</v>
      </c>
      <c r="BF316" s="749">
        <v>43567</v>
      </c>
      <c r="BG316">
        <v>7628.15</v>
      </c>
      <c r="BH316">
        <v>78100</v>
      </c>
      <c r="BI316">
        <v>1497.1179999999999</v>
      </c>
      <c r="BJ316">
        <v>42.01</v>
      </c>
      <c r="BK316">
        <v>2907.41</v>
      </c>
      <c r="BL316">
        <v>767.85</v>
      </c>
      <c r="BM316">
        <v>1919.99</v>
      </c>
      <c r="BN316" s="14">
        <f t="shared" si="54"/>
        <v>6.5062727277525045E-3</v>
      </c>
      <c r="BO316" s="14">
        <f t="shared" si="46"/>
        <v>-1.1392405063291089E-2</v>
      </c>
      <c r="BP316" s="14">
        <f t="shared" si="47"/>
        <v>1.3177716449000565E-2</v>
      </c>
      <c r="BQ316" s="14">
        <f t="shared" si="48"/>
        <v>-3.0240073868882833E-2</v>
      </c>
      <c r="BR316" s="14">
        <f t="shared" si="49"/>
        <v>5.0713164681237544E-3</v>
      </c>
      <c r="BS316" s="14">
        <f t="shared" si="50"/>
        <v>2.1471046015085538E-2</v>
      </c>
      <c r="BT316" s="14">
        <f t="shared" si="51"/>
        <v>5.0356737176568966E-3</v>
      </c>
      <c r="BV316" s="749">
        <v>43567</v>
      </c>
      <c r="BW316">
        <f t="shared" si="52"/>
        <v>1.3970007399648277</v>
      </c>
      <c r="BX316">
        <f t="shared" si="53"/>
        <v>2.150759674064199</v>
      </c>
    </row>
    <row r="317" spans="1:76" x14ac:dyDescent="0.3">
      <c r="A317" s="749">
        <v>43560</v>
      </c>
      <c r="B317">
        <v>79000</v>
      </c>
      <c r="C317">
        <v>1477.646</v>
      </c>
      <c r="D317">
        <v>46850</v>
      </c>
      <c r="E317">
        <v>43.32</v>
      </c>
      <c r="F317">
        <v>7578.84</v>
      </c>
      <c r="G317">
        <v>2177.08</v>
      </c>
      <c r="H317">
        <v>751.71</v>
      </c>
      <c r="I317">
        <v>286.68</v>
      </c>
      <c r="J317">
        <v>1910.37</v>
      </c>
      <c r="K317">
        <v>18600000</v>
      </c>
      <c r="L317">
        <v>2892.74</v>
      </c>
      <c r="AO317" s="749">
        <v>43560</v>
      </c>
      <c r="AP317">
        <v>7578.84</v>
      </c>
      <c r="AQ317">
        <v>2177.08</v>
      </c>
      <c r="AR317">
        <f t="shared" si="44"/>
        <v>1.7415414311319453</v>
      </c>
      <c r="AS317">
        <f t="shared" si="45"/>
        <v>1.1107211003744784</v>
      </c>
      <c r="BF317" s="749">
        <v>43560</v>
      </c>
      <c r="BG317">
        <v>7578.84</v>
      </c>
      <c r="BH317">
        <v>79000</v>
      </c>
      <c r="BI317">
        <v>1477.646</v>
      </c>
      <c r="BJ317">
        <v>43.32</v>
      </c>
      <c r="BK317">
        <v>2892.74</v>
      </c>
      <c r="BL317">
        <v>751.71</v>
      </c>
      <c r="BM317">
        <v>1910.37</v>
      </c>
      <c r="BN317" s="14">
        <f t="shared" si="54"/>
        <v>2.7114275143418132E-2</v>
      </c>
      <c r="BO317" s="14">
        <f t="shared" si="46"/>
        <v>6.4690026954177915E-2</v>
      </c>
      <c r="BP317" s="14">
        <f t="shared" si="47"/>
        <v>5.8856576551528539E-2</v>
      </c>
      <c r="BQ317" s="14">
        <f t="shared" si="48"/>
        <v>4.8149044277764341E-2</v>
      </c>
      <c r="BR317" s="14">
        <f t="shared" si="49"/>
        <v>2.0582839401636965E-2</v>
      </c>
      <c r="BS317" s="14">
        <f t="shared" si="50"/>
        <v>3.0713962512511905E-2</v>
      </c>
      <c r="BT317" s="14">
        <f t="shared" si="51"/>
        <v>3.9866530947728185E-2</v>
      </c>
      <c r="BV317" s="749">
        <v>43560</v>
      </c>
      <c r="BW317">
        <f t="shared" si="52"/>
        <v>1.389951854236539</v>
      </c>
      <c r="BX317">
        <f t="shared" si="53"/>
        <v>2.1227861994460473</v>
      </c>
    </row>
    <row r="318" spans="1:76" x14ac:dyDescent="0.3">
      <c r="A318" s="749">
        <v>43553</v>
      </c>
      <c r="B318">
        <v>74200</v>
      </c>
      <c r="C318">
        <v>1395.511</v>
      </c>
      <c r="D318">
        <v>44650</v>
      </c>
      <c r="E318">
        <v>41.33</v>
      </c>
      <c r="F318">
        <v>7378.77</v>
      </c>
      <c r="G318">
        <v>2097.06</v>
      </c>
      <c r="H318">
        <v>729.31</v>
      </c>
      <c r="I318">
        <v>276.48</v>
      </c>
      <c r="J318">
        <v>1837.13</v>
      </c>
      <c r="K318">
        <v>15470000</v>
      </c>
      <c r="L318">
        <v>2834.4</v>
      </c>
      <c r="AO318" s="749">
        <v>43553</v>
      </c>
      <c r="AP318">
        <v>7378.77</v>
      </c>
      <c r="AQ318">
        <v>2097.06</v>
      </c>
      <c r="AR318">
        <f t="shared" si="44"/>
        <v>1.6955673514407832</v>
      </c>
      <c r="AS318">
        <f t="shared" si="45"/>
        <v>1.0698958195157291</v>
      </c>
      <c r="BF318" s="749">
        <v>43553</v>
      </c>
      <c r="BG318">
        <v>7378.77</v>
      </c>
      <c r="BH318">
        <v>74200</v>
      </c>
      <c r="BI318">
        <v>1395.511</v>
      </c>
      <c r="BJ318">
        <v>41.33</v>
      </c>
      <c r="BK318">
        <v>2834.4</v>
      </c>
      <c r="BL318">
        <v>729.31</v>
      </c>
      <c r="BM318">
        <v>1837.13</v>
      </c>
      <c r="BN318" s="14">
        <f t="shared" si="54"/>
        <v>7.1948632689331493E-3</v>
      </c>
      <c r="BO318" s="14">
        <f t="shared" si="46"/>
        <v>-2.4967148488830526E-2</v>
      </c>
      <c r="BP318" s="14">
        <f t="shared" si="47"/>
        <v>-3.4697972678648936E-3</v>
      </c>
      <c r="BQ318" s="14">
        <f t="shared" si="48"/>
        <v>-6.9678039404132974E-3</v>
      </c>
      <c r="BR318" s="14">
        <f t="shared" si="49"/>
        <v>1.202909262294205E-2</v>
      </c>
      <c r="BS318" s="14">
        <f t="shared" si="50"/>
        <v>-1.9705095635576764E-2</v>
      </c>
      <c r="BT318" s="14">
        <f t="shared" si="51"/>
        <v>-2.8297445824936651E-2</v>
      </c>
      <c r="BV318" s="749">
        <v>43553</v>
      </c>
      <c r="BW318">
        <f t="shared" si="52"/>
        <v>1.3619196801814357</v>
      </c>
      <c r="BX318">
        <f t="shared" si="53"/>
        <v>2.0047910609003461</v>
      </c>
    </row>
    <row r="319" spans="1:76" x14ac:dyDescent="0.3">
      <c r="A319" s="749">
        <v>43546</v>
      </c>
      <c r="B319">
        <v>76100</v>
      </c>
      <c r="C319">
        <v>1400.37</v>
      </c>
      <c r="D319">
        <v>46550</v>
      </c>
      <c r="E319">
        <v>41.62</v>
      </c>
      <c r="F319">
        <v>7326.06</v>
      </c>
      <c r="G319">
        <v>2151.14</v>
      </c>
      <c r="H319">
        <v>743.97</v>
      </c>
      <c r="I319">
        <v>283.13</v>
      </c>
      <c r="J319">
        <v>1890.63</v>
      </c>
      <c r="K319">
        <v>23400000</v>
      </c>
      <c r="L319">
        <v>2800.71</v>
      </c>
      <c r="AO319" s="749">
        <v>43546</v>
      </c>
      <c r="AP319">
        <v>7326.06</v>
      </c>
      <c r="AQ319">
        <v>2151.14</v>
      </c>
      <c r="AR319">
        <f t="shared" si="44"/>
        <v>1.683455122018475</v>
      </c>
      <c r="AS319">
        <f t="shared" si="45"/>
        <v>1.0974868116282155</v>
      </c>
      <c r="BF319" s="749">
        <v>43546</v>
      </c>
      <c r="BG319">
        <v>7326.06</v>
      </c>
      <c r="BH319">
        <v>76100</v>
      </c>
      <c r="BI319">
        <v>1400.37</v>
      </c>
      <c r="BJ319">
        <v>41.62</v>
      </c>
      <c r="BK319">
        <v>2800.71</v>
      </c>
      <c r="BL319">
        <v>743.97</v>
      </c>
      <c r="BM319">
        <v>1890.63</v>
      </c>
      <c r="BN319" s="14">
        <f t="shared" si="54"/>
        <v>2.6098297657448644E-3</v>
      </c>
      <c r="BO319" s="14">
        <f t="shared" si="46"/>
        <v>0.11747430249632895</v>
      </c>
      <c r="BP319" s="14">
        <f t="shared" si="47"/>
        <v>5.7564342427038895E-3</v>
      </c>
      <c r="BQ319" s="14">
        <f t="shared" si="48"/>
        <v>5.2604957005564001E-2</v>
      </c>
      <c r="BR319" s="14">
        <f t="shared" si="49"/>
        <v>-7.7130750262180969E-3</v>
      </c>
      <c r="BS319" s="14">
        <f t="shared" si="50"/>
        <v>-5.8661606713346082E-3</v>
      </c>
      <c r="BT319" s="14">
        <f t="shared" si="51"/>
        <v>1.9438363403034842E-2</v>
      </c>
      <c r="BV319" s="749">
        <v>43546</v>
      </c>
      <c r="BW319">
        <f t="shared" si="52"/>
        <v>1.3457317483350792</v>
      </c>
      <c r="BX319">
        <f t="shared" si="53"/>
        <v>2.0117715001551528</v>
      </c>
    </row>
    <row r="320" spans="1:76" x14ac:dyDescent="0.3">
      <c r="A320" s="749">
        <v>43539</v>
      </c>
      <c r="B320">
        <v>68100</v>
      </c>
      <c r="C320">
        <v>1392.355</v>
      </c>
      <c r="D320">
        <v>44200</v>
      </c>
      <c r="E320">
        <v>39.54</v>
      </c>
      <c r="F320">
        <v>7306.99</v>
      </c>
      <c r="G320">
        <v>2119.36</v>
      </c>
      <c r="H320">
        <v>748.36</v>
      </c>
      <c r="I320">
        <v>279.87</v>
      </c>
      <c r="J320">
        <v>1854.58</v>
      </c>
      <c r="K320">
        <v>15230000</v>
      </c>
      <c r="L320">
        <v>2822.48</v>
      </c>
      <c r="AO320" s="749">
        <v>43539</v>
      </c>
      <c r="AP320">
        <v>7306.99</v>
      </c>
      <c r="AQ320">
        <v>2119.36</v>
      </c>
      <c r="AR320">
        <f t="shared" si="44"/>
        <v>1.6790730272530905</v>
      </c>
      <c r="AS320">
        <f t="shared" si="45"/>
        <v>1.0812730222544209</v>
      </c>
      <c r="BF320" s="749">
        <v>43539</v>
      </c>
      <c r="BG320">
        <v>7306.99</v>
      </c>
      <c r="BH320">
        <v>68100</v>
      </c>
      <c r="BI320">
        <v>1392.355</v>
      </c>
      <c r="BJ320">
        <v>39.54</v>
      </c>
      <c r="BK320">
        <v>2822.48</v>
      </c>
      <c r="BL320">
        <v>748.36</v>
      </c>
      <c r="BM320">
        <v>1854.58</v>
      </c>
      <c r="BN320" s="14">
        <f t="shared" si="54"/>
        <v>4.1521218867994536E-2</v>
      </c>
      <c r="BO320" s="14">
        <f t="shared" si="46"/>
        <v>2.0989505247376306E-2</v>
      </c>
      <c r="BP320" s="14">
        <f t="shared" si="47"/>
        <v>5.6249933621907333E-2</v>
      </c>
      <c r="BQ320" s="14">
        <f t="shared" si="48"/>
        <v>2.3027166882276795E-2</v>
      </c>
      <c r="BR320" s="14">
        <f t="shared" si="49"/>
        <v>2.894931591246297E-2</v>
      </c>
      <c r="BS320" s="14">
        <f t="shared" si="50"/>
        <v>1.6834925336630446E-2</v>
      </c>
      <c r="BT320" s="14">
        <f t="shared" si="51"/>
        <v>1.6386434881732637E-2</v>
      </c>
      <c r="BV320" s="749">
        <v>43539</v>
      </c>
      <c r="BW320">
        <f t="shared" si="52"/>
        <v>1.3561921602168001</v>
      </c>
      <c r="BX320">
        <f t="shared" si="53"/>
        <v>2.0002571513946514</v>
      </c>
    </row>
    <row r="321" spans="1:76" x14ac:dyDescent="0.3">
      <c r="A321" s="749">
        <v>43532</v>
      </c>
      <c r="B321">
        <v>66700</v>
      </c>
      <c r="C321">
        <v>1318.2059999999999</v>
      </c>
      <c r="D321">
        <v>43800</v>
      </c>
      <c r="E321">
        <v>38.65</v>
      </c>
      <c r="F321">
        <v>7015.69</v>
      </c>
      <c r="G321">
        <v>2082.8000000000002</v>
      </c>
      <c r="H321">
        <v>735.97</v>
      </c>
      <c r="I321">
        <v>274.83999999999997</v>
      </c>
      <c r="J321">
        <v>1824.68</v>
      </c>
      <c r="K321">
        <v>20330000</v>
      </c>
      <c r="L321">
        <v>2743.07</v>
      </c>
      <c r="AO321" s="749">
        <v>43532</v>
      </c>
      <c r="AP321">
        <v>7015.69</v>
      </c>
      <c r="AQ321">
        <v>2082.8000000000002</v>
      </c>
      <c r="AR321">
        <f t="shared" si="44"/>
        <v>1.6121352084195044</v>
      </c>
      <c r="AS321">
        <f t="shared" si="45"/>
        <v>1.0626205320245299</v>
      </c>
      <c r="BF321" s="749">
        <v>43532</v>
      </c>
      <c r="BG321">
        <v>7015.69</v>
      </c>
      <c r="BH321">
        <v>66700</v>
      </c>
      <c r="BI321">
        <v>1318.2059999999999</v>
      </c>
      <c r="BJ321">
        <v>38.65</v>
      </c>
      <c r="BK321">
        <v>2743.07</v>
      </c>
      <c r="BL321">
        <v>735.97</v>
      </c>
      <c r="BM321">
        <v>1824.68</v>
      </c>
      <c r="BN321" s="14">
        <f t="shared" si="54"/>
        <v>-1.9000023771004182E-2</v>
      </c>
      <c r="BO321" s="14">
        <f t="shared" si="46"/>
        <v>-4.7142857142857153E-2</v>
      </c>
      <c r="BP321" s="14">
        <f t="shared" si="47"/>
        <v>-3.2959342221674515E-2</v>
      </c>
      <c r="BQ321" s="14">
        <f t="shared" si="48"/>
        <v>-7.0466570466570455E-2</v>
      </c>
      <c r="BR321" s="14">
        <f t="shared" si="49"/>
        <v>-2.1621505943952402E-2</v>
      </c>
      <c r="BS321" s="14">
        <f t="shared" si="50"/>
        <v>6.454700854700901E-3</v>
      </c>
      <c r="BT321" s="14">
        <f t="shared" si="51"/>
        <v>-3.1573584124574783E-2</v>
      </c>
      <c r="BV321" s="749">
        <v>43532</v>
      </c>
      <c r="BW321">
        <f t="shared" si="52"/>
        <v>1.318035921928906</v>
      </c>
      <c r="BX321">
        <f t="shared" si="53"/>
        <v>1.8937347002103182</v>
      </c>
    </row>
    <row r="322" spans="1:76" x14ac:dyDescent="0.3">
      <c r="A322" s="749">
        <v>43525</v>
      </c>
      <c r="B322">
        <v>70000</v>
      </c>
      <c r="C322">
        <v>1363.134</v>
      </c>
      <c r="D322">
        <v>45100</v>
      </c>
      <c r="E322">
        <v>41.58</v>
      </c>
      <c r="F322">
        <v>7151.57</v>
      </c>
      <c r="G322">
        <v>2152.14</v>
      </c>
      <c r="H322">
        <v>731.25</v>
      </c>
      <c r="I322">
        <v>283.8</v>
      </c>
      <c r="J322">
        <v>1884.17</v>
      </c>
      <c r="K322">
        <v>16080000</v>
      </c>
      <c r="L322">
        <v>2803.69</v>
      </c>
      <c r="AO322" s="749">
        <v>43525</v>
      </c>
      <c r="AP322">
        <v>7151.57</v>
      </c>
      <c r="AQ322">
        <v>2152.14</v>
      </c>
      <c r="AR322">
        <f t="shared" si="44"/>
        <v>1.6433590698101934</v>
      </c>
      <c r="AS322">
        <f t="shared" si="45"/>
        <v>1.097997000091834</v>
      </c>
      <c r="BF322" s="749">
        <v>43525</v>
      </c>
      <c r="BG322">
        <v>7151.57</v>
      </c>
      <c r="BH322">
        <v>70000</v>
      </c>
      <c r="BI322">
        <v>1363.134</v>
      </c>
      <c r="BJ322">
        <v>41.58</v>
      </c>
      <c r="BK322">
        <v>2803.69</v>
      </c>
      <c r="BL322">
        <v>731.25</v>
      </c>
      <c r="BM322">
        <v>1884.17</v>
      </c>
      <c r="BN322" s="14">
        <f t="shared" si="54"/>
        <v>8.5944408324789556E-3</v>
      </c>
      <c r="BO322" s="14">
        <f t="shared" si="46"/>
        <v>-8.7353324641460284E-2</v>
      </c>
      <c r="BP322" s="14">
        <f t="shared" si="47"/>
        <v>-1.2038596781746014E-3</v>
      </c>
      <c r="BQ322" s="14">
        <f t="shared" si="48"/>
        <v>-2.3255813953488413E-2</v>
      </c>
      <c r="BR322" s="14">
        <f t="shared" si="49"/>
        <v>3.946044466406784E-3</v>
      </c>
      <c r="BS322" s="14">
        <f t="shared" si="50"/>
        <v>-1.631736124189509E-2</v>
      </c>
      <c r="BT322" s="14">
        <f t="shared" si="51"/>
        <v>-1.8559224919262318E-2</v>
      </c>
      <c r="BV322" s="749">
        <v>43525</v>
      </c>
      <c r="BW322">
        <f t="shared" si="52"/>
        <v>1.347163628326238</v>
      </c>
      <c r="BX322">
        <f t="shared" si="53"/>
        <v>1.9582782636678122</v>
      </c>
    </row>
    <row r="323" spans="1:76" x14ac:dyDescent="0.3">
      <c r="A323" s="749">
        <v>43518</v>
      </c>
      <c r="B323">
        <v>76700</v>
      </c>
      <c r="C323">
        <v>1364.777</v>
      </c>
      <c r="D323">
        <v>47150</v>
      </c>
      <c r="E323">
        <v>42.57</v>
      </c>
      <c r="F323">
        <v>7090.63</v>
      </c>
      <c r="G323">
        <v>2189.37</v>
      </c>
      <c r="H323">
        <v>743.38</v>
      </c>
      <c r="I323">
        <v>288.74</v>
      </c>
      <c r="J323">
        <v>1919.8</v>
      </c>
      <c r="K323">
        <v>11130000</v>
      </c>
      <c r="L323">
        <v>2792.67</v>
      </c>
      <c r="AO323" s="749">
        <v>43518</v>
      </c>
      <c r="AP323">
        <v>7090.63</v>
      </c>
      <c r="AQ323">
        <v>2189.37</v>
      </c>
      <c r="AR323">
        <f t="shared" ref="AR323:AR386" si="55">+AP323/$AP$524</f>
        <v>1.6293556689186084</v>
      </c>
      <c r="AS323">
        <f t="shared" ref="AS323:AS386" si="56">+AQ323/$AQ$524</f>
        <v>1.1169913165923493</v>
      </c>
      <c r="BF323" s="749">
        <v>43518</v>
      </c>
      <c r="BG323">
        <v>7090.63</v>
      </c>
      <c r="BH323">
        <v>76700</v>
      </c>
      <c r="BI323">
        <v>1364.777</v>
      </c>
      <c r="BJ323">
        <v>42.57</v>
      </c>
      <c r="BK323">
        <v>2792.67</v>
      </c>
      <c r="BL323">
        <v>743.38</v>
      </c>
      <c r="BM323">
        <v>1919.8</v>
      </c>
      <c r="BN323" s="14">
        <f t="shared" si="54"/>
        <v>5.0246769040620531E-3</v>
      </c>
      <c r="BO323" s="14">
        <f t="shared" ref="BO323:BO386" si="57">+BH323/BH324-1</f>
        <v>3.9295392953929476E-2</v>
      </c>
      <c r="BP323" s="14">
        <f t="shared" ref="BP323:BP386" si="58">+BI323/BI324-1</f>
        <v>1.006305599550017E-2</v>
      </c>
      <c r="BQ323" s="14">
        <f t="shared" ref="BQ323:BQ386" si="59">+BJ323/BJ324-1</f>
        <v>1.3812812574422351E-2</v>
      </c>
      <c r="BR323" s="14">
        <f t="shared" ref="BR323:BR386" si="60">+BK323/BK324-1</f>
        <v>6.1500216169476651E-3</v>
      </c>
      <c r="BS323" s="14">
        <f t="shared" ref="BS323:BS386" si="61">+BL323/BL324-1</f>
        <v>6.3899493677741503E-3</v>
      </c>
      <c r="BT323" s="14">
        <f t="shared" ref="BT323:BT386" si="62">+BM323/BM324-1</f>
        <v>1.6692439680555893E-2</v>
      </c>
      <c r="BV323" s="749">
        <v>43518</v>
      </c>
      <c r="BW323">
        <f t="shared" ref="BW323:BW386" si="63">+L323/$L$524</f>
        <v>1.3418685553387983</v>
      </c>
      <c r="BX323">
        <f t="shared" ref="BX323:BX386" si="64">+C323/$C$524</f>
        <v>1.9606385974187173</v>
      </c>
    </row>
    <row r="324" spans="1:76" x14ac:dyDescent="0.3">
      <c r="A324" s="749">
        <v>43511</v>
      </c>
      <c r="B324">
        <v>73800</v>
      </c>
      <c r="C324">
        <v>1351.18</v>
      </c>
      <c r="D324">
        <v>46050</v>
      </c>
      <c r="E324">
        <v>41.99</v>
      </c>
      <c r="F324">
        <v>7055.18</v>
      </c>
      <c r="G324">
        <v>2152.3200000000002</v>
      </c>
      <c r="H324">
        <v>738.66</v>
      </c>
      <c r="I324">
        <v>283.98</v>
      </c>
      <c r="J324">
        <v>1888.28</v>
      </c>
      <c r="K324">
        <v>15750000</v>
      </c>
      <c r="L324">
        <v>2775.6</v>
      </c>
      <c r="AO324" s="749">
        <v>43511</v>
      </c>
      <c r="AP324">
        <v>7055.18</v>
      </c>
      <c r="AQ324">
        <v>2152.3200000000002</v>
      </c>
      <c r="AR324">
        <f t="shared" si="55"/>
        <v>1.6212096144124271</v>
      </c>
      <c r="AS324">
        <f t="shared" si="56"/>
        <v>1.0980888340152855</v>
      </c>
      <c r="BF324" s="749">
        <v>43511</v>
      </c>
      <c r="BG324">
        <v>7055.18</v>
      </c>
      <c r="BH324">
        <v>73800</v>
      </c>
      <c r="BI324">
        <v>1351.18</v>
      </c>
      <c r="BJ324">
        <v>41.99</v>
      </c>
      <c r="BK324">
        <v>2775.6</v>
      </c>
      <c r="BL324">
        <v>738.66</v>
      </c>
      <c r="BM324">
        <v>1888.28</v>
      </c>
      <c r="BN324" s="14">
        <f t="shared" ref="BN324:BN387" si="65">+BG324/BG325-1</f>
        <v>2.0547856036267298E-2</v>
      </c>
      <c r="BO324" s="14">
        <f t="shared" si="57"/>
        <v>4.0816326530612734E-3</v>
      </c>
      <c r="BP324" s="14">
        <f t="shared" si="58"/>
        <v>3.7436406940300593E-2</v>
      </c>
      <c r="BQ324" s="14">
        <f t="shared" si="59"/>
        <v>8.8387765681700481E-2</v>
      </c>
      <c r="BR324" s="14">
        <f t="shared" si="60"/>
        <v>2.500849372941194E-2</v>
      </c>
      <c r="BS324" s="14">
        <f t="shared" si="61"/>
        <v>1.361253670719309E-2</v>
      </c>
      <c r="BT324" s="14">
        <f t="shared" si="62"/>
        <v>1.0121110968459801E-2</v>
      </c>
      <c r="BV324" s="749">
        <v>43511</v>
      </c>
      <c r="BW324">
        <f t="shared" si="63"/>
        <v>1.3336664776713212</v>
      </c>
      <c r="BX324">
        <f t="shared" si="64"/>
        <v>1.9411051476250132</v>
      </c>
    </row>
    <row r="325" spans="1:76" x14ac:dyDescent="0.3">
      <c r="A325" s="749">
        <v>43504</v>
      </c>
      <c r="B325">
        <v>73500</v>
      </c>
      <c r="C325">
        <v>1302.422</v>
      </c>
      <c r="D325">
        <v>44800</v>
      </c>
      <c r="E325">
        <v>38.58</v>
      </c>
      <c r="F325">
        <v>6913.13</v>
      </c>
      <c r="G325">
        <v>2133.6999999999998</v>
      </c>
      <c r="H325">
        <v>728.74</v>
      </c>
      <c r="I325">
        <v>281.49</v>
      </c>
      <c r="J325">
        <v>1869.36</v>
      </c>
      <c r="K325">
        <v>8260000</v>
      </c>
      <c r="L325">
        <v>2707.88</v>
      </c>
      <c r="AO325" s="749">
        <v>43504</v>
      </c>
      <c r="AP325">
        <v>6913.13</v>
      </c>
      <c r="AQ325">
        <v>2133.6999999999998</v>
      </c>
      <c r="AR325">
        <f t="shared" si="55"/>
        <v>1.5885679488947102</v>
      </c>
      <c r="AS325">
        <f t="shared" si="56"/>
        <v>1.0885891248227095</v>
      </c>
      <c r="BF325" s="749">
        <v>43504</v>
      </c>
      <c r="BG325">
        <v>6913.13</v>
      </c>
      <c r="BH325">
        <v>73500</v>
      </c>
      <c r="BI325">
        <v>1302.422</v>
      </c>
      <c r="BJ325">
        <v>38.58</v>
      </c>
      <c r="BK325">
        <v>2707.88</v>
      </c>
      <c r="BL325">
        <v>728.74</v>
      </c>
      <c r="BM325">
        <v>1869.36</v>
      </c>
      <c r="BN325" s="14">
        <f t="shared" si="65"/>
        <v>5.4701317136740535E-3</v>
      </c>
      <c r="BO325" s="14">
        <f t="shared" si="57"/>
        <v>-3.1620553359683834E-2</v>
      </c>
      <c r="BP325" s="14">
        <f t="shared" si="58"/>
        <v>1.1666907461694187E-2</v>
      </c>
      <c r="BQ325" s="14">
        <f t="shared" si="59"/>
        <v>-2.5757575757575868E-2</v>
      </c>
      <c r="BR325" s="14">
        <f t="shared" si="60"/>
        <v>4.9879365830052258E-4</v>
      </c>
      <c r="BS325" s="14">
        <f t="shared" si="61"/>
        <v>1.6487195224013984E-2</v>
      </c>
      <c r="BT325" s="14">
        <f t="shared" si="62"/>
        <v>-1.7677351550184017E-2</v>
      </c>
      <c r="BV325" s="749">
        <v>43504</v>
      </c>
      <c r="BW325">
        <f t="shared" si="63"/>
        <v>1.3011272451205567</v>
      </c>
      <c r="BX325">
        <f t="shared" si="64"/>
        <v>1.8710594062819645</v>
      </c>
    </row>
    <row r="326" spans="1:76" x14ac:dyDescent="0.3">
      <c r="A326" s="749">
        <v>43497</v>
      </c>
      <c r="B326">
        <v>75900</v>
      </c>
      <c r="C326">
        <v>1287.402</v>
      </c>
      <c r="D326">
        <v>46350</v>
      </c>
      <c r="E326">
        <v>39.6</v>
      </c>
      <c r="F326">
        <v>6875.52</v>
      </c>
      <c r="G326">
        <v>2169.4299999999998</v>
      </c>
      <c r="H326">
        <v>716.92</v>
      </c>
      <c r="I326">
        <v>285.79000000000002</v>
      </c>
      <c r="J326">
        <v>1903</v>
      </c>
      <c r="K326">
        <v>21440000</v>
      </c>
      <c r="L326">
        <v>2706.53</v>
      </c>
      <c r="AO326" s="749">
        <v>43497</v>
      </c>
      <c r="AP326">
        <v>6875.52</v>
      </c>
      <c r="AQ326">
        <v>2169.4299999999998</v>
      </c>
      <c r="AR326">
        <f t="shared" si="55"/>
        <v>1.5799255480490833</v>
      </c>
      <c r="AS326">
        <f t="shared" si="56"/>
        <v>1.106818158627797</v>
      </c>
      <c r="BF326" s="749">
        <v>43497</v>
      </c>
      <c r="BG326">
        <v>6875.52</v>
      </c>
      <c r="BH326">
        <v>75900</v>
      </c>
      <c r="BI326">
        <v>1287.402</v>
      </c>
      <c r="BJ326">
        <v>39.6</v>
      </c>
      <c r="BK326">
        <v>2706.53</v>
      </c>
      <c r="BL326">
        <v>716.92</v>
      </c>
      <c r="BM326">
        <v>1903</v>
      </c>
      <c r="BN326" s="14">
        <f t="shared" si="65"/>
        <v>1.2987357400583877E-2</v>
      </c>
      <c r="BO326" s="14">
        <f t="shared" si="57"/>
        <v>1.7426273458444941E-2</v>
      </c>
      <c r="BP326" s="14">
        <f t="shared" si="58"/>
        <v>4.8713627717358321E-3</v>
      </c>
      <c r="BQ326" s="14">
        <f t="shared" si="59"/>
        <v>1.6427104722792629E-2</v>
      </c>
      <c r="BR326" s="14">
        <f t="shared" si="60"/>
        <v>1.5674957594680183E-2</v>
      </c>
      <c r="BS326" s="14">
        <f t="shared" si="61"/>
        <v>7.7876802833927172E-3</v>
      </c>
      <c r="BT326" s="14">
        <f t="shared" si="62"/>
        <v>1.6646721942046305E-2</v>
      </c>
      <c r="BV326" s="749">
        <v>43497</v>
      </c>
      <c r="BW326">
        <f t="shared" si="63"/>
        <v>1.3004785746547634</v>
      </c>
      <c r="BX326">
        <f t="shared" si="64"/>
        <v>1.8494816747307814</v>
      </c>
    </row>
    <row r="327" spans="1:76" x14ac:dyDescent="0.3">
      <c r="A327" s="749">
        <v>43490</v>
      </c>
      <c r="B327">
        <v>74600</v>
      </c>
      <c r="C327">
        <v>1281.1610000000001</v>
      </c>
      <c r="D327">
        <v>44750</v>
      </c>
      <c r="E327">
        <v>38.96</v>
      </c>
      <c r="F327">
        <v>6787.37</v>
      </c>
      <c r="G327">
        <v>2136.71</v>
      </c>
      <c r="H327">
        <v>711.38</v>
      </c>
      <c r="I327">
        <v>281.67</v>
      </c>
      <c r="J327">
        <v>1871.84</v>
      </c>
      <c r="K327">
        <v>24930000</v>
      </c>
      <c r="L327">
        <v>2664.76</v>
      </c>
      <c r="AO327" s="749">
        <v>43490</v>
      </c>
      <c r="AP327">
        <v>6787.37</v>
      </c>
      <c r="AQ327">
        <v>2136.71</v>
      </c>
      <c r="AR327">
        <f t="shared" si="55"/>
        <v>1.5596695620203134</v>
      </c>
      <c r="AS327">
        <f t="shared" si="56"/>
        <v>1.0901247920982011</v>
      </c>
      <c r="BF327" s="749">
        <v>43490</v>
      </c>
      <c r="BG327">
        <v>6787.37</v>
      </c>
      <c r="BH327">
        <v>74600</v>
      </c>
      <c r="BI327">
        <v>1281.1610000000001</v>
      </c>
      <c r="BJ327">
        <v>38.96</v>
      </c>
      <c r="BK327">
        <v>2664.76</v>
      </c>
      <c r="BL327">
        <v>711.38</v>
      </c>
      <c r="BM327">
        <v>1871.84</v>
      </c>
      <c r="BN327" s="14">
        <f t="shared" si="65"/>
        <v>4.0680304394813405E-4</v>
      </c>
      <c r="BO327" s="14">
        <f t="shared" si="57"/>
        <v>0.15479876160990713</v>
      </c>
      <c r="BP327" s="14">
        <f t="shared" si="58"/>
        <v>4.3012127054011806E-2</v>
      </c>
      <c r="BQ327" s="14">
        <f t="shared" si="59"/>
        <v>8.948545861297541E-2</v>
      </c>
      <c r="BR327" s="14">
        <f t="shared" si="60"/>
        <v>-2.2278719890964638E-3</v>
      </c>
      <c r="BS327" s="14">
        <f t="shared" si="61"/>
        <v>2.1598644340408368E-2</v>
      </c>
      <c r="BT327" s="14">
        <f t="shared" si="62"/>
        <v>3.2078779925674983E-2</v>
      </c>
      <c r="BV327" s="749">
        <v>43490</v>
      </c>
      <c r="BW327">
        <f t="shared" si="63"/>
        <v>1.280408229946473</v>
      </c>
      <c r="BX327">
        <f t="shared" si="64"/>
        <v>1.8405158543172704</v>
      </c>
    </row>
    <row r="328" spans="1:76" x14ac:dyDescent="0.3">
      <c r="A328" s="749">
        <v>43483</v>
      </c>
      <c r="B328">
        <v>64600</v>
      </c>
      <c r="C328">
        <v>1228.328</v>
      </c>
      <c r="D328">
        <v>42300</v>
      </c>
      <c r="E328">
        <v>35.76</v>
      </c>
      <c r="F328">
        <v>6784.61</v>
      </c>
      <c r="G328">
        <v>2074.9699999999998</v>
      </c>
      <c r="H328">
        <v>696.34</v>
      </c>
      <c r="I328">
        <v>273.88</v>
      </c>
      <c r="J328">
        <v>1813.66</v>
      </c>
      <c r="K328">
        <v>13270000</v>
      </c>
      <c r="L328">
        <v>2670.71</v>
      </c>
      <c r="AO328" s="749">
        <v>43483</v>
      </c>
      <c r="AP328">
        <v>6784.61</v>
      </c>
      <c r="AQ328">
        <v>2074.9699999999998</v>
      </c>
      <c r="AR328">
        <f t="shared" si="55"/>
        <v>1.5590353416976881</v>
      </c>
      <c r="AS328">
        <f t="shared" si="56"/>
        <v>1.0586257563543973</v>
      </c>
      <c r="BF328" s="749">
        <v>43483</v>
      </c>
      <c r="BG328">
        <v>6784.61</v>
      </c>
      <c r="BH328">
        <v>64600</v>
      </c>
      <c r="BI328">
        <v>1228.328</v>
      </c>
      <c r="BJ328">
        <v>35.76</v>
      </c>
      <c r="BK328">
        <v>2670.71</v>
      </c>
      <c r="BL328">
        <v>696.34</v>
      </c>
      <c r="BM328">
        <v>1813.66</v>
      </c>
      <c r="BN328" s="14">
        <f t="shared" si="65"/>
        <v>2.7753203865846565E-2</v>
      </c>
      <c r="BO328" s="14">
        <f t="shared" si="57"/>
        <v>-7.6804915514593342E-3</v>
      </c>
      <c r="BP328" s="14">
        <f t="shared" si="58"/>
        <v>1.2600542602364539E-2</v>
      </c>
      <c r="BQ328" s="14">
        <f t="shared" si="59"/>
        <v>-6.9425159677867221E-3</v>
      </c>
      <c r="BR328" s="14">
        <f t="shared" si="60"/>
        <v>2.8675864512799132E-2</v>
      </c>
      <c r="BS328" s="14">
        <f t="shared" si="61"/>
        <v>1.4584820713068103E-2</v>
      </c>
      <c r="BT328" s="14">
        <f t="shared" si="62"/>
        <v>2.6807298832028481E-2</v>
      </c>
      <c r="BV328" s="749">
        <v>43483</v>
      </c>
      <c r="BW328">
        <f t="shared" si="63"/>
        <v>1.2832671849623771</v>
      </c>
      <c r="BX328">
        <f t="shared" si="64"/>
        <v>1.7646159680959879</v>
      </c>
    </row>
    <row r="329" spans="1:76" x14ac:dyDescent="0.3">
      <c r="A329" s="749">
        <v>43476</v>
      </c>
      <c r="B329">
        <v>65100</v>
      </c>
      <c r="C329">
        <v>1213.0429999999999</v>
      </c>
      <c r="D329">
        <v>40500</v>
      </c>
      <c r="E329">
        <v>36.01</v>
      </c>
      <c r="F329">
        <v>6601.4</v>
      </c>
      <c r="G329">
        <v>2020.26</v>
      </c>
      <c r="H329">
        <v>686.33</v>
      </c>
      <c r="I329">
        <v>267.13</v>
      </c>
      <c r="J329">
        <v>1766.31</v>
      </c>
      <c r="K329">
        <v>19190000</v>
      </c>
      <c r="L329">
        <v>2596.2600000000002</v>
      </c>
      <c r="AO329" s="749">
        <v>43476</v>
      </c>
      <c r="AP329">
        <v>6601.4</v>
      </c>
      <c r="AQ329">
        <v>2020.26</v>
      </c>
      <c r="AR329">
        <f t="shared" si="55"/>
        <v>1.5169355209338662</v>
      </c>
      <c r="AS329">
        <f t="shared" si="56"/>
        <v>1.0307133455098314</v>
      </c>
      <c r="BF329" s="749">
        <v>43476</v>
      </c>
      <c r="BG329">
        <v>6601.4</v>
      </c>
      <c r="BH329">
        <v>65100</v>
      </c>
      <c r="BI329">
        <v>1213.0429999999999</v>
      </c>
      <c r="BJ329">
        <v>36.01</v>
      </c>
      <c r="BK329">
        <v>2596.2600000000002</v>
      </c>
      <c r="BL329">
        <v>686.33</v>
      </c>
      <c r="BM329">
        <v>1766.31</v>
      </c>
      <c r="BN329" s="14">
        <f t="shared" si="65"/>
        <v>2.7827990539759817E-2</v>
      </c>
      <c r="BO329" s="14">
        <f t="shared" si="57"/>
        <v>0.11663807890222988</v>
      </c>
      <c r="BP329" s="14">
        <f t="shared" si="58"/>
        <v>6.0385641506201182E-2</v>
      </c>
      <c r="BQ329" s="14">
        <f t="shared" si="59"/>
        <v>0.1012232415902139</v>
      </c>
      <c r="BR329" s="14">
        <f t="shared" si="60"/>
        <v>2.5403445579279094E-2</v>
      </c>
      <c r="BS329" s="14">
        <f t="shared" si="61"/>
        <v>3.2867311772938779E-2</v>
      </c>
      <c r="BT329" s="14">
        <f t="shared" si="62"/>
        <v>4.1192386364306222E-2</v>
      </c>
      <c r="BV329" s="749">
        <v>43476</v>
      </c>
      <c r="BW329">
        <f t="shared" si="63"/>
        <v>1.2474942100154722</v>
      </c>
      <c r="BX329">
        <f t="shared" si="64"/>
        <v>1.7426575375527231</v>
      </c>
    </row>
    <row r="330" spans="1:76" x14ac:dyDescent="0.3">
      <c r="A330" s="749">
        <v>43469</v>
      </c>
      <c r="B330">
        <v>58300</v>
      </c>
      <c r="C330">
        <v>1143.9639999999999</v>
      </c>
      <c r="D330">
        <v>37450</v>
      </c>
      <c r="E330">
        <v>32.700000000000003</v>
      </c>
      <c r="F330">
        <v>6422.67</v>
      </c>
      <c r="G330">
        <v>1947.29</v>
      </c>
      <c r="H330">
        <v>664.49</v>
      </c>
      <c r="I330">
        <v>257.89</v>
      </c>
      <c r="J330">
        <v>1696.43</v>
      </c>
      <c r="K330">
        <v>8660000</v>
      </c>
      <c r="L330">
        <v>2531.94</v>
      </c>
      <c r="AO330" s="749">
        <v>43469</v>
      </c>
      <c r="AP330">
        <v>6422.67</v>
      </c>
      <c r="AQ330">
        <v>1947.29</v>
      </c>
      <c r="AR330">
        <f t="shared" si="55"/>
        <v>1.4758651592444505</v>
      </c>
      <c r="AS330">
        <f t="shared" si="56"/>
        <v>0.99348489331959222</v>
      </c>
      <c r="BF330" s="749">
        <v>43469</v>
      </c>
      <c r="BG330">
        <v>6422.67</v>
      </c>
      <c r="BH330">
        <v>58300</v>
      </c>
      <c r="BI330">
        <v>1143.9639999999999</v>
      </c>
      <c r="BJ330">
        <v>32.700000000000003</v>
      </c>
      <c r="BK330">
        <v>2531.94</v>
      </c>
      <c r="BL330">
        <v>664.49</v>
      </c>
      <c r="BM330">
        <v>1696.43</v>
      </c>
      <c r="BN330" s="14">
        <f t="shared" si="65"/>
        <v>2.1860636058594007E-2</v>
      </c>
      <c r="BO330" s="14">
        <f t="shared" si="57"/>
        <v>-3.6363636363636376E-2</v>
      </c>
      <c r="BP330" s="14">
        <f t="shared" si="58"/>
        <v>-2.9650521280917275E-3</v>
      </c>
      <c r="BQ330" s="14">
        <f t="shared" si="59"/>
        <v>3.5793474817865212E-2</v>
      </c>
      <c r="BR330" s="14">
        <f t="shared" si="60"/>
        <v>1.8586014627435032E-2</v>
      </c>
      <c r="BS330" s="14">
        <f t="shared" si="61"/>
        <v>-1.6517427662251172E-2</v>
      </c>
      <c r="BT330" s="14">
        <f t="shared" si="62"/>
        <v>-1.5546476944325094E-2</v>
      </c>
      <c r="BV330" s="749">
        <v>43469</v>
      </c>
      <c r="BW330">
        <f t="shared" si="63"/>
        <v>1.2165886660452245</v>
      </c>
      <c r="BX330">
        <f t="shared" si="64"/>
        <v>1.6434186482168922</v>
      </c>
    </row>
    <row r="331" spans="1:76" x14ac:dyDescent="0.3">
      <c r="A331" s="749">
        <v>43462</v>
      </c>
      <c r="B331">
        <v>60500</v>
      </c>
      <c r="C331">
        <v>1147.366</v>
      </c>
      <c r="D331">
        <v>38700</v>
      </c>
      <c r="E331">
        <v>31.57</v>
      </c>
      <c r="F331">
        <v>6285.27</v>
      </c>
      <c r="G331">
        <v>1979.09</v>
      </c>
      <c r="H331">
        <v>675.65</v>
      </c>
      <c r="I331">
        <v>261.98</v>
      </c>
      <c r="J331">
        <v>1723.22</v>
      </c>
      <c r="K331">
        <v>9250000</v>
      </c>
      <c r="L331">
        <v>2485.7399999999998</v>
      </c>
      <c r="AO331" s="749">
        <v>43462</v>
      </c>
      <c r="AP331">
        <v>6285.27</v>
      </c>
      <c r="AQ331">
        <v>1979.09</v>
      </c>
      <c r="AR331">
        <f t="shared" si="55"/>
        <v>1.444292017096374</v>
      </c>
      <c r="AS331">
        <f t="shared" si="56"/>
        <v>1.0097088864626593</v>
      </c>
      <c r="BF331" s="749">
        <v>43462</v>
      </c>
      <c r="BG331">
        <v>6285.27</v>
      </c>
      <c r="BH331">
        <v>60500</v>
      </c>
      <c r="BI331">
        <v>1147.366</v>
      </c>
      <c r="BJ331">
        <v>31.57</v>
      </c>
      <c r="BK331">
        <v>2485.7399999999998</v>
      </c>
      <c r="BL331">
        <v>675.65</v>
      </c>
      <c r="BM331">
        <v>1723.22</v>
      </c>
      <c r="BN331" s="14">
        <f t="shared" si="65"/>
        <v>3.9478645709295934E-2</v>
      </c>
      <c r="BO331" s="14">
        <f t="shared" si="57"/>
        <v>8.3333333333333037E-3</v>
      </c>
      <c r="BP331" s="14">
        <f t="shared" si="58"/>
        <v>4.1833477860155455E-2</v>
      </c>
      <c r="BQ331" s="14">
        <f t="shared" si="59"/>
        <v>4.1226912928759907E-2</v>
      </c>
      <c r="BR331" s="14">
        <f t="shared" si="60"/>
        <v>2.8601931623507104E-2</v>
      </c>
      <c r="BS331" s="14">
        <f t="shared" si="61"/>
        <v>2.9837895611899423E-3</v>
      </c>
      <c r="BT331" s="14">
        <f t="shared" si="62"/>
        <v>-1.0718242828192448E-2</v>
      </c>
      <c r="BV331" s="749">
        <v>43462</v>
      </c>
      <c r="BW331">
        <f t="shared" si="63"/>
        <v>1.1943897212158487</v>
      </c>
      <c r="BX331">
        <f t="shared" si="64"/>
        <v>1.648305961315236</v>
      </c>
    </row>
    <row r="332" spans="1:76" x14ac:dyDescent="0.3">
      <c r="A332" s="749">
        <v>43455</v>
      </c>
      <c r="B332">
        <v>60000</v>
      </c>
      <c r="C332">
        <v>1101.2950000000001</v>
      </c>
      <c r="D332">
        <v>38650</v>
      </c>
      <c r="E332">
        <v>30.32</v>
      </c>
      <c r="F332">
        <v>6046.56</v>
      </c>
      <c r="G332">
        <v>2002.68</v>
      </c>
      <c r="H332">
        <v>673.64</v>
      </c>
      <c r="I332">
        <v>265.06</v>
      </c>
      <c r="J332">
        <v>1741.89</v>
      </c>
      <c r="K332">
        <v>18000000</v>
      </c>
      <c r="L332">
        <v>2416.62</v>
      </c>
      <c r="AO332" s="749">
        <v>43455</v>
      </c>
      <c r="AP332">
        <v>6046.56</v>
      </c>
      <c r="AQ332">
        <v>2002.68</v>
      </c>
      <c r="AR332">
        <f t="shared" si="55"/>
        <v>1.38943885288846</v>
      </c>
      <c r="AS332">
        <f t="shared" si="56"/>
        <v>1.0217442323194188</v>
      </c>
      <c r="BF332" s="749">
        <v>43455</v>
      </c>
      <c r="BG332">
        <v>6046.56</v>
      </c>
      <c r="BH332">
        <v>60000</v>
      </c>
      <c r="BI332">
        <v>1101.2950000000001</v>
      </c>
      <c r="BJ332">
        <v>30.32</v>
      </c>
      <c r="BK332">
        <v>2416.62</v>
      </c>
      <c r="BL332">
        <v>673.64</v>
      </c>
      <c r="BM332">
        <v>1741.89</v>
      </c>
      <c r="BN332" s="14">
        <f t="shared" si="65"/>
        <v>-8.3154408821281667E-2</v>
      </c>
      <c r="BO332" s="14">
        <f t="shared" si="57"/>
        <v>-2.9126213592232997E-2</v>
      </c>
      <c r="BP332" s="14">
        <f t="shared" si="58"/>
        <v>-6.4769248406669644E-2</v>
      </c>
      <c r="BQ332" s="14">
        <f t="shared" si="59"/>
        <v>-0.11345029239766091</v>
      </c>
      <c r="BR332" s="14">
        <f t="shared" si="60"/>
        <v>-7.0512894478739985E-2</v>
      </c>
      <c r="BS332" s="14">
        <f t="shared" si="61"/>
        <v>1.095536813038378E-2</v>
      </c>
      <c r="BT332" s="14">
        <f t="shared" si="62"/>
        <v>-1.2671291783726835E-3</v>
      </c>
      <c r="BV332" s="749">
        <v>43455</v>
      </c>
      <c r="BW332">
        <f t="shared" si="63"/>
        <v>1.1611777933672245</v>
      </c>
      <c r="BX332">
        <f t="shared" si="64"/>
        <v>1.5821203640918966</v>
      </c>
    </row>
    <row r="333" spans="1:76" x14ac:dyDescent="0.3">
      <c r="A333" s="749">
        <v>43448</v>
      </c>
      <c r="B333">
        <v>61800</v>
      </c>
      <c r="C333">
        <v>1177.5650000000001</v>
      </c>
      <c r="D333">
        <v>38950</v>
      </c>
      <c r="E333">
        <v>34.200000000000003</v>
      </c>
      <c r="F333">
        <v>6594.96</v>
      </c>
      <c r="G333">
        <v>2006.67</v>
      </c>
      <c r="H333">
        <v>666.34</v>
      </c>
      <c r="I333">
        <v>265.55</v>
      </c>
      <c r="J333">
        <v>1744.1</v>
      </c>
      <c r="K333">
        <v>17250000</v>
      </c>
      <c r="L333">
        <v>2599.9499999999998</v>
      </c>
      <c r="AO333" s="749">
        <v>43448</v>
      </c>
      <c r="AP333">
        <v>6594.96</v>
      </c>
      <c r="AQ333">
        <v>2006.67</v>
      </c>
      <c r="AR333">
        <f t="shared" si="55"/>
        <v>1.5154556735144078</v>
      </c>
      <c r="AS333">
        <f t="shared" si="56"/>
        <v>1.0237798842892565</v>
      </c>
      <c r="BF333" s="749">
        <v>43448</v>
      </c>
      <c r="BG333">
        <v>6594.96</v>
      </c>
      <c r="BH333">
        <v>61800</v>
      </c>
      <c r="BI333">
        <v>1177.5650000000001</v>
      </c>
      <c r="BJ333">
        <v>34.200000000000003</v>
      </c>
      <c r="BK333">
        <v>2599.9499999999998</v>
      </c>
      <c r="BL333">
        <v>666.34</v>
      </c>
      <c r="BM333">
        <v>1744.1</v>
      </c>
      <c r="BN333" s="14">
        <f t="shared" si="65"/>
        <v>-2.7701836305130678E-3</v>
      </c>
      <c r="BO333" s="14">
        <f t="shared" si="57"/>
        <v>-7.4850299401197584E-2</v>
      </c>
      <c r="BP333" s="14">
        <f t="shared" si="58"/>
        <v>1.7016708381482504E-2</v>
      </c>
      <c r="BQ333" s="14">
        <f t="shared" si="59"/>
        <v>-3.1435853865760421E-2</v>
      </c>
      <c r="BR333" s="14">
        <f t="shared" si="60"/>
        <v>-1.2582223099943834E-2</v>
      </c>
      <c r="BS333" s="14">
        <f t="shared" si="61"/>
        <v>-2.7709278741628096E-2</v>
      </c>
      <c r="BT333" s="14">
        <f t="shared" si="62"/>
        <v>-1.5955946241776653E-2</v>
      </c>
      <c r="BV333" s="749">
        <v>43448</v>
      </c>
      <c r="BW333">
        <f t="shared" si="63"/>
        <v>1.249267242621974</v>
      </c>
      <c r="BX333">
        <f t="shared" si="64"/>
        <v>1.6916898438128514</v>
      </c>
    </row>
    <row r="334" spans="1:76" x14ac:dyDescent="0.3">
      <c r="A334" s="749">
        <v>43441</v>
      </c>
      <c r="B334">
        <v>66800</v>
      </c>
      <c r="C334">
        <v>1157.8620000000001</v>
      </c>
      <c r="D334">
        <v>40950</v>
      </c>
      <c r="E334">
        <v>35.31</v>
      </c>
      <c r="F334">
        <v>6613.28</v>
      </c>
      <c r="G334">
        <v>2031.72</v>
      </c>
      <c r="H334">
        <v>685.33</v>
      </c>
      <c r="I334">
        <v>268.27999999999997</v>
      </c>
      <c r="J334">
        <v>1772.38</v>
      </c>
      <c r="K334">
        <v>15480000</v>
      </c>
      <c r="L334">
        <v>2633.08</v>
      </c>
      <c r="AO334" s="749">
        <v>43441</v>
      </c>
      <c r="AP334">
        <v>6613.28</v>
      </c>
      <c r="AQ334">
        <v>2031.72</v>
      </c>
      <c r="AR334">
        <f t="shared" si="55"/>
        <v>1.519665425800818</v>
      </c>
      <c r="AS334">
        <f t="shared" si="56"/>
        <v>1.036560105302899</v>
      </c>
      <c r="BF334" s="749">
        <v>43441</v>
      </c>
      <c r="BG334">
        <v>6613.28</v>
      </c>
      <c r="BH334">
        <v>66800</v>
      </c>
      <c r="BI334">
        <v>1157.8620000000001</v>
      </c>
      <c r="BJ334">
        <v>35.31</v>
      </c>
      <c r="BK334">
        <v>2633.08</v>
      </c>
      <c r="BL334">
        <v>685.33</v>
      </c>
      <c r="BM334">
        <v>1772.38</v>
      </c>
      <c r="BN334" s="14">
        <f t="shared" si="65"/>
        <v>-4.8313356866661605E-2</v>
      </c>
      <c r="BO334" s="14">
        <f t="shared" si="57"/>
        <v>-4.0229885057471271E-2</v>
      </c>
      <c r="BP334" s="14">
        <f t="shared" si="58"/>
        <v>-6.5940519618393645E-2</v>
      </c>
      <c r="BQ334" s="14">
        <f t="shared" si="59"/>
        <v>-8.4284232365145262E-2</v>
      </c>
      <c r="BR334" s="14">
        <f t="shared" si="60"/>
        <v>-4.6044265389450723E-2</v>
      </c>
      <c r="BS334" s="14">
        <f t="shared" si="61"/>
        <v>-1.499080142577891E-2</v>
      </c>
      <c r="BT334" s="14">
        <f t="shared" si="62"/>
        <v>-1.2986579049952596E-2</v>
      </c>
      <c r="BV334" s="749">
        <v>43441</v>
      </c>
      <c r="BW334">
        <f t="shared" si="63"/>
        <v>1.2651860963491866</v>
      </c>
      <c r="BX334">
        <f t="shared" si="64"/>
        <v>1.6633845146016022</v>
      </c>
    </row>
    <row r="335" spans="1:76" x14ac:dyDescent="0.3">
      <c r="A335" s="749">
        <v>43434</v>
      </c>
      <c r="B335">
        <v>69600</v>
      </c>
      <c r="C335">
        <v>1239.6020000000001</v>
      </c>
      <c r="D335">
        <v>41850</v>
      </c>
      <c r="E335">
        <v>38.56</v>
      </c>
      <c r="F335">
        <v>6949.01</v>
      </c>
      <c r="G335">
        <v>2056.23</v>
      </c>
      <c r="H335">
        <v>695.76</v>
      </c>
      <c r="I335">
        <v>271.35000000000002</v>
      </c>
      <c r="J335">
        <v>1795.7</v>
      </c>
      <c r="K335">
        <v>14530000</v>
      </c>
      <c r="L335">
        <v>2760.17</v>
      </c>
      <c r="AO335" s="749">
        <v>43434</v>
      </c>
      <c r="AP335">
        <v>6949.01</v>
      </c>
      <c r="AQ335">
        <v>2056.23</v>
      </c>
      <c r="AR335">
        <f t="shared" si="55"/>
        <v>1.5968128130888368</v>
      </c>
      <c r="AS335">
        <f t="shared" si="56"/>
        <v>1.0490648245461873</v>
      </c>
      <c r="BF335" s="749">
        <v>43434</v>
      </c>
      <c r="BG335">
        <v>6949.01</v>
      </c>
      <c r="BH335">
        <v>69600</v>
      </c>
      <c r="BI335">
        <v>1239.6020000000001</v>
      </c>
      <c r="BJ335">
        <v>38.56</v>
      </c>
      <c r="BK335">
        <v>2760.17</v>
      </c>
      <c r="BL335">
        <v>695.76</v>
      </c>
      <c r="BM335">
        <v>1795.7</v>
      </c>
      <c r="BN335" s="14">
        <f t="shared" si="65"/>
        <v>6.459895669758775E-2</v>
      </c>
      <c r="BO335" s="14">
        <f t="shared" si="57"/>
        <v>4.3290043290042934E-3</v>
      </c>
      <c r="BP335" s="14">
        <f t="shared" si="58"/>
        <v>5.1187205318679929E-2</v>
      </c>
      <c r="BQ335" s="14">
        <f t="shared" si="59"/>
        <v>5.9340659340659352E-2</v>
      </c>
      <c r="BR335" s="14">
        <f t="shared" si="60"/>
        <v>4.8473728993831067E-2</v>
      </c>
      <c r="BS335" s="14">
        <f t="shared" si="61"/>
        <v>1.8592802974848555E-2</v>
      </c>
      <c r="BT335" s="14">
        <f t="shared" si="62"/>
        <v>1.7186296279512403E-2</v>
      </c>
      <c r="BV335" s="749">
        <v>43434</v>
      </c>
      <c r="BW335">
        <f t="shared" si="63"/>
        <v>1.3262524144956229</v>
      </c>
      <c r="BX335">
        <f t="shared" si="64"/>
        <v>1.7808121961591066</v>
      </c>
    </row>
    <row r="336" spans="1:76" x14ac:dyDescent="0.3">
      <c r="A336" s="749">
        <v>43427</v>
      </c>
      <c r="B336">
        <v>69300</v>
      </c>
      <c r="C336">
        <v>1179.24</v>
      </c>
      <c r="D336">
        <v>42400</v>
      </c>
      <c r="E336">
        <v>36.4</v>
      </c>
      <c r="F336">
        <v>6527.35</v>
      </c>
      <c r="G336">
        <v>2020</v>
      </c>
      <c r="H336">
        <v>683.06</v>
      </c>
      <c r="I336">
        <v>266.33</v>
      </c>
      <c r="J336">
        <v>1765.36</v>
      </c>
      <c r="K336">
        <v>12200000</v>
      </c>
      <c r="L336">
        <v>2632.56</v>
      </c>
      <c r="AO336" s="749">
        <v>43427</v>
      </c>
      <c r="AP336">
        <v>6527.35</v>
      </c>
      <c r="AQ336">
        <v>2020</v>
      </c>
      <c r="AR336">
        <f t="shared" si="55"/>
        <v>1.4999195735098121</v>
      </c>
      <c r="AS336">
        <f t="shared" si="56"/>
        <v>1.0305806965092905</v>
      </c>
      <c r="BF336" s="749">
        <v>43427</v>
      </c>
      <c r="BG336">
        <v>6527.35</v>
      </c>
      <c r="BH336">
        <v>69300</v>
      </c>
      <c r="BI336">
        <v>1179.24</v>
      </c>
      <c r="BJ336">
        <v>36.4</v>
      </c>
      <c r="BK336">
        <v>2632.56</v>
      </c>
      <c r="BL336">
        <v>683.06</v>
      </c>
      <c r="BM336">
        <v>1765.36</v>
      </c>
      <c r="BN336" s="14">
        <f t="shared" si="65"/>
        <v>-4.946395962149519E-2</v>
      </c>
      <c r="BO336" s="14">
        <f t="shared" si="57"/>
        <v>-1.1412268188302432E-2</v>
      </c>
      <c r="BP336" s="14">
        <f t="shared" si="58"/>
        <v>-3.3524704031078212E-2</v>
      </c>
      <c r="BQ336" s="14">
        <f t="shared" si="59"/>
        <v>-7.7079107505070965E-2</v>
      </c>
      <c r="BR336" s="14">
        <f t="shared" si="60"/>
        <v>-3.7901961429244957E-2</v>
      </c>
      <c r="BS336" s="14">
        <f t="shared" si="61"/>
        <v>-1.0316149410298792E-2</v>
      </c>
      <c r="BT336" s="14">
        <f t="shared" si="62"/>
        <v>-2.5475984123742079E-2</v>
      </c>
      <c r="BV336" s="749">
        <v>43427</v>
      </c>
      <c r="BW336">
        <f t="shared" si="63"/>
        <v>1.2649362380956959</v>
      </c>
      <c r="BX336">
        <f t="shared" si="64"/>
        <v>1.6940961487628001</v>
      </c>
    </row>
    <row r="337" spans="1:76" x14ac:dyDescent="0.3">
      <c r="A337" s="749">
        <v>43420</v>
      </c>
      <c r="B337">
        <v>70100</v>
      </c>
      <c r="C337">
        <v>1220.145</v>
      </c>
      <c r="D337">
        <v>44000</v>
      </c>
      <c r="E337">
        <v>39.44</v>
      </c>
      <c r="F337">
        <v>6867.02</v>
      </c>
      <c r="G337">
        <v>2064.67</v>
      </c>
      <c r="H337">
        <v>690.18</v>
      </c>
      <c r="I337">
        <v>271.64999999999998</v>
      </c>
      <c r="J337">
        <v>1811.51</v>
      </c>
      <c r="K337">
        <v>15300000</v>
      </c>
      <c r="L337">
        <v>2736.27</v>
      </c>
      <c r="AO337" s="749">
        <v>43420</v>
      </c>
      <c r="AP337">
        <v>6867.02</v>
      </c>
      <c r="AQ337">
        <v>2064.67</v>
      </c>
      <c r="AR337">
        <f t="shared" si="55"/>
        <v>1.5779723332873754</v>
      </c>
      <c r="AS337">
        <f t="shared" si="56"/>
        <v>1.0533708151791272</v>
      </c>
      <c r="BF337" s="749">
        <v>43420</v>
      </c>
      <c r="BG337">
        <v>6867.02</v>
      </c>
      <c r="BH337">
        <v>70100</v>
      </c>
      <c r="BI337">
        <v>1220.145</v>
      </c>
      <c r="BJ337">
        <v>39.44</v>
      </c>
      <c r="BK337">
        <v>2736.27</v>
      </c>
      <c r="BL337">
        <v>690.18</v>
      </c>
      <c r="BM337">
        <v>1811.51</v>
      </c>
      <c r="BN337" s="14">
        <f t="shared" si="65"/>
        <v>-2.4453236541343681E-2</v>
      </c>
      <c r="BO337" s="14">
        <f t="shared" si="57"/>
        <v>-3.84087791495199E-2</v>
      </c>
      <c r="BP337" s="14">
        <f t="shared" si="58"/>
        <v>-7.2494721554365871E-3</v>
      </c>
      <c r="BQ337" s="14">
        <f t="shared" si="59"/>
        <v>8.437739708514469E-3</v>
      </c>
      <c r="BR337" s="14">
        <f t="shared" si="60"/>
        <v>-1.6087680375115654E-2</v>
      </c>
      <c r="BS337" s="14">
        <f t="shared" si="61"/>
        <v>4.2049207758005913E-3</v>
      </c>
      <c r="BT337" s="14">
        <f t="shared" si="62"/>
        <v>-2.4724669603524152E-3</v>
      </c>
      <c r="BV337" s="749">
        <v>43420</v>
      </c>
      <c r="BW337">
        <f t="shared" si="63"/>
        <v>1.3147685447678721</v>
      </c>
      <c r="BX337">
        <f t="shared" si="64"/>
        <v>1.7528602705405065</v>
      </c>
    </row>
    <row r="338" spans="1:76" x14ac:dyDescent="0.3">
      <c r="A338" s="749">
        <v>43413</v>
      </c>
      <c r="B338">
        <v>72900</v>
      </c>
      <c r="C338">
        <v>1229.0550000000001</v>
      </c>
      <c r="D338">
        <v>44300</v>
      </c>
      <c r="E338">
        <v>39.11</v>
      </c>
      <c r="F338">
        <v>7039.15</v>
      </c>
      <c r="G338">
        <v>2065.8200000000002</v>
      </c>
      <c r="H338">
        <v>687.29</v>
      </c>
      <c r="I338">
        <v>271.33</v>
      </c>
      <c r="J338">
        <v>1816</v>
      </c>
      <c r="K338">
        <v>17130000</v>
      </c>
      <c r="L338">
        <v>2781.01</v>
      </c>
      <c r="AO338" s="749">
        <v>43413</v>
      </c>
      <c r="AP338">
        <v>7039.15</v>
      </c>
      <c r="AQ338">
        <v>2065.8200000000002</v>
      </c>
      <c r="AR338">
        <f t="shared" si="55"/>
        <v>1.617526081161818</v>
      </c>
      <c r="AS338">
        <f t="shared" si="56"/>
        <v>1.0539575319122885</v>
      </c>
      <c r="BF338" s="749">
        <v>43413</v>
      </c>
      <c r="BG338">
        <v>7039.15</v>
      </c>
      <c r="BH338">
        <v>72900</v>
      </c>
      <c r="BI338">
        <v>1229.0550000000001</v>
      </c>
      <c r="BJ338">
        <v>39.11</v>
      </c>
      <c r="BK338">
        <v>2781.01</v>
      </c>
      <c r="BL338">
        <v>687.29</v>
      </c>
      <c r="BM338">
        <v>1816</v>
      </c>
      <c r="BN338" s="14">
        <f t="shared" si="65"/>
        <v>1.0604009309016504E-2</v>
      </c>
      <c r="BO338" s="14">
        <f t="shared" si="57"/>
        <v>4.1322314049587749E-3</v>
      </c>
      <c r="BP338" s="14">
        <f t="shared" si="58"/>
        <v>-8.1547177119984937E-3</v>
      </c>
      <c r="BQ338" s="14">
        <f t="shared" si="59"/>
        <v>-3.0009920634920695E-2</v>
      </c>
      <c r="BR338" s="14">
        <f t="shared" si="60"/>
        <v>2.1281205702408323E-2</v>
      </c>
      <c r="BS338" s="14">
        <f t="shared" si="61"/>
        <v>-4.8649822630855155E-3</v>
      </c>
      <c r="BT338" s="14">
        <f t="shared" si="62"/>
        <v>-5.3075823387321863E-3</v>
      </c>
      <c r="BV338" s="749">
        <v>43413</v>
      </c>
      <c r="BW338">
        <f t="shared" si="63"/>
        <v>1.3362659645009083</v>
      </c>
      <c r="BX338">
        <f t="shared" si="64"/>
        <v>1.7656603762742644</v>
      </c>
    </row>
    <row r="339" spans="1:76" x14ac:dyDescent="0.3">
      <c r="A339" s="749">
        <v>43406</v>
      </c>
      <c r="B339">
        <v>72600</v>
      </c>
      <c r="C339">
        <v>1239.1600000000001</v>
      </c>
      <c r="D339">
        <v>44150</v>
      </c>
      <c r="E339">
        <v>40.32</v>
      </c>
      <c r="F339">
        <v>6965.29</v>
      </c>
      <c r="G339">
        <v>2074.83</v>
      </c>
      <c r="H339">
        <v>690.65</v>
      </c>
      <c r="I339">
        <v>272.56</v>
      </c>
      <c r="J339">
        <v>1825.69</v>
      </c>
      <c r="K339">
        <v>23950000</v>
      </c>
      <c r="L339">
        <v>2723.06</v>
      </c>
      <c r="AO339" s="749">
        <v>43406</v>
      </c>
      <c r="AP339">
        <v>6965.29</v>
      </c>
      <c r="AQ339">
        <v>2074.83</v>
      </c>
      <c r="AR339">
        <f t="shared" si="55"/>
        <v>1.600553793832437</v>
      </c>
      <c r="AS339">
        <f t="shared" si="56"/>
        <v>1.0585543299694906</v>
      </c>
      <c r="BF339" s="749">
        <v>43406</v>
      </c>
      <c r="BG339">
        <v>6965.29</v>
      </c>
      <c r="BH339">
        <v>72600</v>
      </c>
      <c r="BI339">
        <v>1239.1600000000001</v>
      </c>
      <c r="BJ339">
        <v>40.32</v>
      </c>
      <c r="BK339">
        <v>2723.06</v>
      </c>
      <c r="BL339">
        <v>690.65</v>
      </c>
      <c r="BM339">
        <v>1825.69</v>
      </c>
      <c r="BN339" s="14">
        <f t="shared" si="65"/>
        <v>1.6474519876247706E-2</v>
      </c>
      <c r="BO339" s="14">
        <f t="shared" si="57"/>
        <v>8.3582089552238781E-2</v>
      </c>
      <c r="BP339" s="14">
        <f t="shared" si="58"/>
        <v>7.4727731767330274E-2</v>
      </c>
      <c r="BQ339" s="14">
        <f t="shared" si="59"/>
        <v>0.13898305084745766</v>
      </c>
      <c r="BR339" s="14">
        <f t="shared" si="60"/>
        <v>2.4211171667249509E-2</v>
      </c>
      <c r="BS339" s="14">
        <f t="shared" si="61"/>
        <v>4.1594401797698577E-2</v>
      </c>
      <c r="BT339" s="14">
        <f t="shared" si="62"/>
        <v>3.9296164311819037E-2</v>
      </c>
      <c r="BV339" s="749">
        <v>43406</v>
      </c>
      <c r="BW339">
        <f t="shared" si="63"/>
        <v>1.308421184135923</v>
      </c>
      <c r="BX339">
        <f t="shared" si="64"/>
        <v>1.780177218972314</v>
      </c>
    </row>
    <row r="340" spans="1:76" x14ac:dyDescent="0.3">
      <c r="A340" s="749">
        <v>43399</v>
      </c>
      <c r="B340">
        <v>67000</v>
      </c>
      <c r="C340">
        <v>1152.999</v>
      </c>
      <c r="D340">
        <v>41000</v>
      </c>
      <c r="E340">
        <v>35.4</v>
      </c>
      <c r="F340">
        <v>6852.4</v>
      </c>
      <c r="G340">
        <v>1997.85</v>
      </c>
      <c r="H340">
        <v>663.07</v>
      </c>
      <c r="I340">
        <v>262.69</v>
      </c>
      <c r="J340">
        <v>1756.66</v>
      </c>
      <c r="K340">
        <v>23330000</v>
      </c>
      <c r="L340">
        <v>2658.69</v>
      </c>
      <c r="AO340" s="749">
        <v>43399</v>
      </c>
      <c r="AP340">
        <v>6852.4</v>
      </c>
      <c r="AQ340">
        <v>1997.85</v>
      </c>
      <c r="AR340">
        <f t="shared" si="55"/>
        <v>1.5746128038972378</v>
      </c>
      <c r="AS340">
        <f t="shared" si="56"/>
        <v>1.0192800220401417</v>
      </c>
      <c r="BF340" s="749">
        <v>43399</v>
      </c>
      <c r="BG340">
        <v>6852.4</v>
      </c>
      <c r="BH340">
        <v>67000</v>
      </c>
      <c r="BI340">
        <v>1152.999</v>
      </c>
      <c r="BJ340">
        <v>35.4</v>
      </c>
      <c r="BK340">
        <v>2658.69</v>
      </c>
      <c r="BL340">
        <v>663.07</v>
      </c>
      <c r="BM340">
        <v>1756.66</v>
      </c>
      <c r="BN340" s="14">
        <f t="shared" si="65"/>
        <v>-3.5855037757326014E-2</v>
      </c>
      <c r="BO340" s="14">
        <f t="shared" si="57"/>
        <v>-5.3672316384180796E-2</v>
      </c>
      <c r="BP340" s="14">
        <f t="shared" si="58"/>
        <v>-5.9498785014939548E-2</v>
      </c>
      <c r="BQ340" s="14">
        <f t="shared" si="59"/>
        <v>-0.12484548825710762</v>
      </c>
      <c r="BR340" s="14">
        <f t="shared" si="60"/>
        <v>-3.9414259803886242E-2</v>
      </c>
      <c r="BS340" s="14">
        <f t="shared" si="61"/>
        <v>-0.10454029818496102</v>
      </c>
      <c r="BT340" s="14">
        <f t="shared" si="62"/>
        <v>-5.4435646655434655E-2</v>
      </c>
      <c r="BV340" s="749">
        <v>43399</v>
      </c>
      <c r="BW340">
        <f t="shared" si="63"/>
        <v>1.2774916153336089</v>
      </c>
      <c r="BX340">
        <f t="shared" si="64"/>
        <v>1.6563983289469149</v>
      </c>
    </row>
    <row r="341" spans="1:76" x14ac:dyDescent="0.3">
      <c r="A341" s="749">
        <v>43392</v>
      </c>
      <c r="B341">
        <v>70800</v>
      </c>
      <c r="C341">
        <v>1225.941</v>
      </c>
      <c r="D341">
        <v>43900</v>
      </c>
      <c r="E341">
        <v>40.450000000000003</v>
      </c>
      <c r="F341">
        <v>7107.23</v>
      </c>
      <c r="G341">
        <v>2115.4499999999998</v>
      </c>
      <c r="H341">
        <v>740.48</v>
      </c>
      <c r="I341">
        <v>278.63</v>
      </c>
      <c r="J341">
        <v>1857.79</v>
      </c>
      <c r="K341">
        <v>14130000</v>
      </c>
      <c r="L341">
        <v>2767.78</v>
      </c>
      <c r="AO341" s="749">
        <v>43392</v>
      </c>
      <c r="AP341">
        <v>7107.23</v>
      </c>
      <c r="AQ341">
        <v>2115.4499999999998</v>
      </c>
      <c r="AR341">
        <f t="shared" si="55"/>
        <v>1.6331701824532376</v>
      </c>
      <c r="AS341">
        <f t="shared" si="56"/>
        <v>1.0792781853616726</v>
      </c>
      <c r="BF341" s="749">
        <v>43392</v>
      </c>
      <c r="BG341">
        <v>7107.23</v>
      </c>
      <c r="BH341">
        <v>70800</v>
      </c>
      <c r="BI341">
        <v>1225.941</v>
      </c>
      <c r="BJ341">
        <v>40.450000000000003</v>
      </c>
      <c r="BK341">
        <v>2767.78</v>
      </c>
      <c r="BL341">
        <v>740.48</v>
      </c>
      <c r="BM341">
        <v>1857.79</v>
      </c>
      <c r="BN341" s="14">
        <f t="shared" si="65"/>
        <v>-6.9831680221763559E-3</v>
      </c>
      <c r="BO341" s="14">
        <f t="shared" si="57"/>
        <v>-2.2099447513812209E-2</v>
      </c>
      <c r="BP341" s="14">
        <f t="shared" si="58"/>
        <v>-2.2045713984860882E-2</v>
      </c>
      <c r="BQ341" s="14">
        <f t="shared" si="59"/>
        <v>-4.7562985636920074E-2</v>
      </c>
      <c r="BR341" s="14">
        <f t="shared" si="60"/>
        <v>2.3490042029106206E-4</v>
      </c>
      <c r="BS341" s="14">
        <f t="shared" si="61"/>
        <v>1.2276144907723774E-2</v>
      </c>
      <c r="BT341" s="14">
        <f t="shared" si="62"/>
        <v>-3.3582790161208464E-3</v>
      </c>
      <c r="BV341" s="749">
        <v>43392</v>
      </c>
      <c r="BW341">
        <f t="shared" si="63"/>
        <v>1.3299089939361326</v>
      </c>
      <c r="BX341">
        <f t="shared" si="64"/>
        <v>1.7611868039673146</v>
      </c>
    </row>
    <row r="342" spans="1:76" x14ac:dyDescent="0.3">
      <c r="A342" s="749">
        <v>43385</v>
      </c>
      <c r="B342">
        <v>72400</v>
      </c>
      <c r="C342">
        <v>1253.577</v>
      </c>
      <c r="D342">
        <v>44000</v>
      </c>
      <c r="E342">
        <v>42.47</v>
      </c>
      <c r="F342">
        <v>7157.21</v>
      </c>
      <c r="G342">
        <v>2121.4299999999998</v>
      </c>
      <c r="H342">
        <v>731.5</v>
      </c>
      <c r="I342">
        <v>279.37</v>
      </c>
      <c r="J342">
        <v>1864.05</v>
      </c>
      <c r="K342">
        <v>16840000</v>
      </c>
      <c r="L342">
        <v>2767.13</v>
      </c>
      <c r="AO342" s="749">
        <v>43385</v>
      </c>
      <c r="AP342">
        <v>7157.21</v>
      </c>
      <c r="AQ342">
        <v>2121.4299999999998</v>
      </c>
      <c r="AR342">
        <f t="shared" si="55"/>
        <v>1.6446550852520796</v>
      </c>
      <c r="AS342">
        <f t="shared" si="56"/>
        <v>1.082329112374111</v>
      </c>
      <c r="BF342" s="749">
        <v>43385</v>
      </c>
      <c r="BG342">
        <v>7157.21</v>
      </c>
      <c r="BH342">
        <v>72400</v>
      </c>
      <c r="BI342">
        <v>1253.577</v>
      </c>
      <c r="BJ342">
        <v>42.47</v>
      </c>
      <c r="BK342">
        <v>2767.13</v>
      </c>
      <c r="BL342">
        <v>731.5</v>
      </c>
      <c r="BM342">
        <v>1864.05</v>
      </c>
      <c r="BN342" s="14">
        <f t="shared" si="65"/>
        <v>-3.2680047736116102E-2</v>
      </c>
      <c r="BO342" s="14">
        <f t="shared" si="57"/>
        <v>2.9871977240398362E-2</v>
      </c>
      <c r="BP342" s="14">
        <f t="shared" si="58"/>
        <v>-4.7318786996301099E-2</v>
      </c>
      <c r="BQ342" s="14">
        <f t="shared" si="59"/>
        <v>-2.5470399265718258E-2</v>
      </c>
      <c r="BR342" s="14">
        <f t="shared" si="60"/>
        <v>-4.1045616637267468E-2</v>
      </c>
      <c r="BS342" s="14">
        <f t="shared" si="61"/>
        <v>-5.4543104562492006E-2</v>
      </c>
      <c r="BT342" s="14">
        <f t="shared" si="62"/>
        <v>-3.4236035914679386E-2</v>
      </c>
      <c r="BV342" s="749">
        <v>43385</v>
      </c>
      <c r="BW342">
        <f t="shared" si="63"/>
        <v>1.329596671119269</v>
      </c>
      <c r="BX342">
        <f t="shared" si="64"/>
        <v>1.8008886807415154</v>
      </c>
    </row>
    <row r="343" spans="1:76" x14ac:dyDescent="0.3">
      <c r="A343" s="749">
        <v>43378</v>
      </c>
      <c r="B343">
        <v>70300</v>
      </c>
      <c r="C343">
        <v>1315.8409999999999</v>
      </c>
      <c r="D343">
        <v>44700</v>
      </c>
      <c r="E343">
        <v>43.58</v>
      </c>
      <c r="F343">
        <v>7399.01</v>
      </c>
      <c r="G343">
        <v>2205.39</v>
      </c>
      <c r="H343">
        <v>773.7</v>
      </c>
      <c r="I343">
        <v>291.27999999999997</v>
      </c>
      <c r="J343">
        <v>1930.13</v>
      </c>
      <c r="K343">
        <v>18350000</v>
      </c>
      <c r="L343">
        <v>2885.57</v>
      </c>
      <c r="AO343" s="749">
        <v>43378</v>
      </c>
      <c r="AP343">
        <v>7399.01</v>
      </c>
      <c r="AQ343">
        <v>2205.39</v>
      </c>
      <c r="AR343">
        <f t="shared" si="55"/>
        <v>1.7002183004733673</v>
      </c>
      <c r="AS343">
        <f t="shared" si="56"/>
        <v>1.125164535779517</v>
      </c>
      <c r="BF343" s="749">
        <v>43378</v>
      </c>
      <c r="BG343">
        <v>7399.01</v>
      </c>
      <c r="BH343">
        <v>70300</v>
      </c>
      <c r="BI343">
        <v>1315.8409999999999</v>
      </c>
      <c r="BJ343">
        <v>43.58</v>
      </c>
      <c r="BK343">
        <v>2885.57</v>
      </c>
      <c r="BL343">
        <v>773.7</v>
      </c>
      <c r="BM343">
        <v>1930.13</v>
      </c>
      <c r="BN343" s="14">
        <f t="shared" si="65"/>
        <v>-2.9975156175230833E-2</v>
      </c>
      <c r="BO343" s="14">
        <f t="shared" si="57"/>
        <v>-3.8303693570451491E-2</v>
      </c>
      <c r="BP343" s="14">
        <f t="shared" si="58"/>
        <v>-3.7242581262593832E-2</v>
      </c>
      <c r="BQ343" s="14">
        <f t="shared" si="59"/>
        <v>-3.6480212248507615E-2</v>
      </c>
      <c r="BR343" s="14">
        <f t="shared" si="60"/>
        <v>-9.749552158902941E-3</v>
      </c>
      <c r="BS343" s="14">
        <f t="shared" si="61"/>
        <v>-5.906818928089308E-2</v>
      </c>
      <c r="BT343" s="14">
        <f t="shared" si="62"/>
        <v>-3.136072106071397E-2</v>
      </c>
      <c r="BV343" s="749">
        <v>43378</v>
      </c>
      <c r="BW343">
        <f t="shared" si="63"/>
        <v>1.386506693318214</v>
      </c>
      <c r="BX343">
        <f t="shared" si="64"/>
        <v>1.8903371412809875</v>
      </c>
    </row>
    <row r="344" spans="1:76" x14ac:dyDescent="0.3">
      <c r="A344" s="749">
        <v>43371</v>
      </c>
      <c r="B344">
        <v>73100</v>
      </c>
      <c r="C344">
        <v>1366.742</v>
      </c>
      <c r="D344">
        <v>46450</v>
      </c>
      <c r="E344">
        <v>45.23</v>
      </c>
      <c r="F344">
        <v>7627.65</v>
      </c>
      <c r="G344">
        <v>2276.0300000000002</v>
      </c>
      <c r="H344">
        <v>822.27</v>
      </c>
      <c r="I344">
        <v>300.51</v>
      </c>
      <c r="J344">
        <v>1992.62</v>
      </c>
      <c r="K344">
        <v>11670000</v>
      </c>
      <c r="L344">
        <v>2913.98</v>
      </c>
      <c r="AO344" s="749">
        <v>43371</v>
      </c>
      <c r="AP344">
        <v>7627.65</v>
      </c>
      <c r="AQ344">
        <v>2276.0300000000002</v>
      </c>
      <c r="AR344">
        <f t="shared" si="55"/>
        <v>1.7527574796635874</v>
      </c>
      <c r="AS344">
        <f t="shared" si="56"/>
        <v>1.1612042488495251</v>
      </c>
      <c r="BF344" s="749">
        <v>43371</v>
      </c>
      <c r="BG344">
        <v>7627.65</v>
      </c>
      <c r="BH344">
        <v>73100</v>
      </c>
      <c r="BI344">
        <v>1366.742</v>
      </c>
      <c r="BJ344">
        <v>45.23</v>
      </c>
      <c r="BK344">
        <v>2913.98</v>
      </c>
      <c r="BL344">
        <v>822.27</v>
      </c>
      <c r="BM344">
        <v>1992.62</v>
      </c>
      <c r="BN344" s="14">
        <f t="shared" si="65"/>
        <v>1.282420691880426E-2</v>
      </c>
      <c r="BO344" s="14">
        <f t="shared" si="57"/>
        <v>-4.6936114732724854E-2</v>
      </c>
      <c r="BP344" s="14">
        <f t="shared" si="58"/>
        <v>-1.1817767067436868E-2</v>
      </c>
      <c r="BQ344" s="14">
        <f t="shared" si="59"/>
        <v>1.0952168082252856E-2</v>
      </c>
      <c r="BR344" s="14">
        <f t="shared" si="60"/>
        <v>-5.3555519904971982E-3</v>
      </c>
      <c r="BS344" s="14">
        <f t="shared" si="61"/>
        <v>-6.7283533049865563E-3</v>
      </c>
      <c r="BT344" s="14">
        <f t="shared" si="62"/>
        <v>-3.7398130093495574E-3</v>
      </c>
      <c r="BV344" s="749">
        <v>43371</v>
      </c>
      <c r="BW344">
        <f t="shared" si="63"/>
        <v>1.4001576028983558</v>
      </c>
      <c r="BX344">
        <f t="shared" si="64"/>
        <v>1.9634615163600004</v>
      </c>
    </row>
    <row r="345" spans="1:76" x14ac:dyDescent="0.3">
      <c r="A345" s="749">
        <v>43364</v>
      </c>
      <c r="B345">
        <v>76700</v>
      </c>
      <c r="C345">
        <v>1383.087</v>
      </c>
      <c r="D345">
        <v>47400</v>
      </c>
      <c r="E345">
        <v>44.74</v>
      </c>
      <c r="F345">
        <v>7531.07</v>
      </c>
      <c r="G345">
        <v>2278.52</v>
      </c>
      <c r="H345">
        <v>827.84</v>
      </c>
      <c r="I345">
        <v>300.81</v>
      </c>
      <c r="J345">
        <v>2000.1</v>
      </c>
      <c r="K345">
        <v>16690000</v>
      </c>
      <c r="L345">
        <v>2929.67</v>
      </c>
      <c r="AO345" s="749">
        <v>43364</v>
      </c>
      <c r="AP345">
        <v>7531.07</v>
      </c>
      <c r="AQ345">
        <v>2278.52</v>
      </c>
      <c r="AR345">
        <f t="shared" si="55"/>
        <v>1.7305643641711475</v>
      </c>
      <c r="AS345">
        <f t="shared" si="56"/>
        <v>1.1624746181239349</v>
      </c>
      <c r="BF345" s="749">
        <v>43364</v>
      </c>
      <c r="BG345">
        <v>7531.07</v>
      </c>
      <c r="BH345">
        <v>76700</v>
      </c>
      <c r="BI345">
        <v>1383.087</v>
      </c>
      <c r="BJ345">
        <v>44.74</v>
      </c>
      <c r="BK345">
        <v>2929.67</v>
      </c>
      <c r="BL345">
        <v>827.84</v>
      </c>
      <c r="BM345">
        <v>2000.1</v>
      </c>
      <c r="BN345" s="14">
        <f t="shared" si="65"/>
        <v>-1.9123981180836358E-3</v>
      </c>
      <c r="BO345" s="14">
        <f t="shared" si="57"/>
        <v>-1.2870012870012881E-2</v>
      </c>
      <c r="BP345" s="14">
        <f t="shared" si="58"/>
        <v>4.19732434186737E-3</v>
      </c>
      <c r="BQ345" s="14">
        <f t="shared" si="59"/>
        <v>9.9322799097065761E-3</v>
      </c>
      <c r="BR345" s="14">
        <f t="shared" si="60"/>
        <v>8.4991979290736097E-3</v>
      </c>
      <c r="BS345" s="14">
        <f t="shared" si="61"/>
        <v>-8.4679785845179767E-3</v>
      </c>
      <c r="BT345" s="14">
        <f t="shared" si="62"/>
        <v>1.6362620051831867E-2</v>
      </c>
      <c r="BV345" s="749">
        <v>43364</v>
      </c>
      <c r="BW345">
        <f t="shared" si="63"/>
        <v>1.4076965952007996</v>
      </c>
      <c r="BX345">
        <f t="shared" si="64"/>
        <v>1.9869427428715911</v>
      </c>
    </row>
    <row r="346" spans="1:76" x14ac:dyDescent="0.3">
      <c r="A346" s="749">
        <v>43357</v>
      </c>
      <c r="B346">
        <v>77700</v>
      </c>
      <c r="C346">
        <v>1377.306</v>
      </c>
      <c r="D346">
        <v>45850</v>
      </c>
      <c r="E346">
        <v>44.3</v>
      </c>
      <c r="F346">
        <v>7545.5</v>
      </c>
      <c r="G346">
        <v>2247.25</v>
      </c>
      <c r="H346">
        <v>834.91</v>
      </c>
      <c r="I346">
        <v>297.29000000000002</v>
      </c>
      <c r="J346">
        <v>1967.9</v>
      </c>
      <c r="K346">
        <v>21080000</v>
      </c>
      <c r="L346">
        <v>2904.98</v>
      </c>
      <c r="AO346" s="749">
        <v>43357</v>
      </c>
      <c r="AP346">
        <v>7545.5</v>
      </c>
      <c r="AQ346">
        <v>2247.25</v>
      </c>
      <c r="AR346">
        <f t="shared" si="55"/>
        <v>1.7338802334666115</v>
      </c>
      <c r="AS346">
        <f t="shared" si="56"/>
        <v>1.1465210248665858</v>
      </c>
      <c r="BF346" s="749">
        <v>43357</v>
      </c>
      <c r="BG346">
        <v>7545.5</v>
      </c>
      <c r="BH346">
        <v>77700</v>
      </c>
      <c r="BI346">
        <v>1377.306</v>
      </c>
      <c r="BJ346">
        <v>44.3</v>
      </c>
      <c r="BK346">
        <v>2904.98</v>
      </c>
      <c r="BL346">
        <v>834.91</v>
      </c>
      <c r="BM346">
        <v>1967.9</v>
      </c>
      <c r="BN346" s="14">
        <f t="shared" si="65"/>
        <v>1.5509551482720596E-2</v>
      </c>
      <c r="BO346" s="14">
        <f t="shared" si="57"/>
        <v>2.3715415019762931E-2</v>
      </c>
      <c r="BP346" s="14">
        <f t="shared" si="58"/>
        <v>1.2153431003668613E-2</v>
      </c>
      <c r="BQ346" s="14">
        <f t="shared" si="59"/>
        <v>-1.2483281319661255E-2</v>
      </c>
      <c r="BR346" s="14">
        <f t="shared" si="60"/>
        <v>1.1595999554268044E-2</v>
      </c>
      <c r="BS346" s="14">
        <f t="shared" si="61"/>
        <v>1.9600420096231197E-2</v>
      </c>
      <c r="BT346" s="14">
        <f t="shared" si="62"/>
        <v>1.2757898420573399E-2</v>
      </c>
      <c r="BV346" s="749">
        <v>43357</v>
      </c>
      <c r="BW346">
        <f t="shared" si="63"/>
        <v>1.3958331331263996</v>
      </c>
      <c r="BX346">
        <f t="shared" si="64"/>
        <v>1.9786377584443349</v>
      </c>
    </row>
    <row r="347" spans="1:76" x14ac:dyDescent="0.3">
      <c r="A347" s="749">
        <v>43350</v>
      </c>
      <c r="B347">
        <v>75900</v>
      </c>
      <c r="C347">
        <v>1360.768</v>
      </c>
      <c r="D347">
        <v>44900</v>
      </c>
      <c r="E347">
        <v>44.86</v>
      </c>
      <c r="F347">
        <v>7430.26</v>
      </c>
      <c r="G347">
        <v>2216.09</v>
      </c>
      <c r="H347">
        <v>818.86</v>
      </c>
      <c r="I347">
        <v>292.86</v>
      </c>
      <c r="J347">
        <v>1943.11</v>
      </c>
      <c r="K347">
        <v>20050000</v>
      </c>
      <c r="L347">
        <v>2871.68</v>
      </c>
      <c r="AO347" s="749">
        <v>43350</v>
      </c>
      <c r="AP347">
        <v>7430.26</v>
      </c>
      <c r="AQ347">
        <v>2216.09</v>
      </c>
      <c r="AR347">
        <f t="shared" si="55"/>
        <v>1.707399237097293</v>
      </c>
      <c r="AS347">
        <f t="shared" si="56"/>
        <v>1.1306235523402346</v>
      </c>
      <c r="BF347" s="749">
        <v>43350</v>
      </c>
      <c r="BG347">
        <v>7430.26</v>
      </c>
      <c r="BH347">
        <v>75900</v>
      </c>
      <c r="BI347">
        <v>1360.768</v>
      </c>
      <c r="BJ347">
        <v>44.86</v>
      </c>
      <c r="BK347">
        <v>2871.68</v>
      </c>
      <c r="BL347">
        <v>818.86</v>
      </c>
      <c r="BM347">
        <v>1943.11</v>
      </c>
      <c r="BN347" s="14">
        <f t="shared" si="65"/>
        <v>-2.9301526543036527E-2</v>
      </c>
      <c r="BO347" s="14">
        <f t="shared" si="57"/>
        <v>-8.5542168674698771E-2</v>
      </c>
      <c r="BP347" s="14">
        <f t="shared" si="58"/>
        <v>-2.8857346151842322E-2</v>
      </c>
      <c r="BQ347" s="14">
        <f t="shared" si="59"/>
        <v>-0.14584920030464588</v>
      </c>
      <c r="BR347" s="14">
        <f t="shared" si="60"/>
        <v>-1.0284264799139797E-2</v>
      </c>
      <c r="BS347" s="14">
        <f t="shared" si="61"/>
        <v>2.3134264416073691E-3</v>
      </c>
      <c r="BT347" s="14">
        <f t="shared" si="62"/>
        <v>-3.0166454543185894E-2</v>
      </c>
      <c r="BV347" s="749">
        <v>43350</v>
      </c>
      <c r="BW347">
        <f t="shared" si="63"/>
        <v>1.3798325949701611</v>
      </c>
      <c r="BX347">
        <f t="shared" si="64"/>
        <v>1.9548792681385114</v>
      </c>
    </row>
    <row r="348" spans="1:76" x14ac:dyDescent="0.3">
      <c r="A348" s="749">
        <v>43343</v>
      </c>
      <c r="B348">
        <v>83000</v>
      </c>
      <c r="C348">
        <v>1401.203</v>
      </c>
      <c r="D348">
        <v>48450</v>
      </c>
      <c r="E348">
        <v>52.52</v>
      </c>
      <c r="F348">
        <v>7654.55</v>
      </c>
      <c r="G348">
        <v>2276.62</v>
      </c>
      <c r="H348">
        <v>816.97</v>
      </c>
      <c r="I348">
        <v>300.07</v>
      </c>
      <c r="J348">
        <v>2003.55</v>
      </c>
      <c r="K348">
        <v>14510000</v>
      </c>
      <c r="L348">
        <v>2901.52</v>
      </c>
      <c r="AO348" s="749">
        <v>43343</v>
      </c>
      <c r="AP348">
        <v>7654.55</v>
      </c>
      <c r="AQ348">
        <v>2276.62</v>
      </c>
      <c r="AR348">
        <f t="shared" si="55"/>
        <v>1.7589388299094628</v>
      </c>
      <c r="AS348">
        <f t="shared" si="56"/>
        <v>1.16150526004306</v>
      </c>
      <c r="BF348" s="749">
        <v>43343</v>
      </c>
      <c r="BG348">
        <v>7654.55</v>
      </c>
      <c r="BH348">
        <v>83000</v>
      </c>
      <c r="BI348">
        <v>1401.203</v>
      </c>
      <c r="BJ348">
        <v>52.52</v>
      </c>
      <c r="BK348">
        <v>2901.52</v>
      </c>
      <c r="BL348">
        <v>816.97</v>
      </c>
      <c r="BM348">
        <v>2003.55</v>
      </c>
      <c r="BN348" s="14">
        <f t="shared" si="65"/>
        <v>2.2597322788361351E-2</v>
      </c>
      <c r="BO348" s="14">
        <f t="shared" si="57"/>
        <v>1.4669926650366705E-2</v>
      </c>
      <c r="BP348" s="14">
        <f t="shared" si="58"/>
        <v>1.8403467739239288E-2</v>
      </c>
      <c r="BQ348" s="14">
        <f t="shared" si="59"/>
        <v>3.5897435897435992E-2</v>
      </c>
      <c r="BR348" s="14">
        <f t="shared" si="60"/>
        <v>9.3331802733511715E-3</v>
      </c>
      <c r="BS348" s="14">
        <f t="shared" si="61"/>
        <v>2.347694273580303E-2</v>
      </c>
      <c r="BT348" s="14">
        <f t="shared" si="62"/>
        <v>1.7231837774990932E-2</v>
      </c>
      <c r="BV348" s="749">
        <v>43343</v>
      </c>
      <c r="BW348">
        <f t="shared" si="63"/>
        <v>1.3941706147474031</v>
      </c>
      <c r="BX348">
        <f t="shared" si="64"/>
        <v>2.0129681879302619</v>
      </c>
    </row>
    <row r="349" spans="1:76" x14ac:dyDescent="0.3">
      <c r="A349" s="749">
        <v>43336</v>
      </c>
      <c r="B349">
        <v>81800</v>
      </c>
      <c r="C349">
        <v>1375.8820000000001</v>
      </c>
      <c r="D349">
        <v>46150</v>
      </c>
      <c r="E349">
        <v>50.7</v>
      </c>
      <c r="F349">
        <v>7485.4</v>
      </c>
      <c r="G349">
        <v>2240.17</v>
      </c>
      <c r="H349">
        <v>798.23</v>
      </c>
      <c r="I349">
        <v>295.54000000000002</v>
      </c>
      <c r="J349">
        <v>1969.61</v>
      </c>
      <c r="K349">
        <v>19890000</v>
      </c>
      <c r="L349">
        <v>2874.69</v>
      </c>
      <c r="AO349" s="749">
        <v>43336</v>
      </c>
      <c r="AP349">
        <v>7485.4</v>
      </c>
      <c r="AQ349">
        <v>2240.17</v>
      </c>
      <c r="AR349">
        <f t="shared" si="55"/>
        <v>1.7200698561514773</v>
      </c>
      <c r="AS349">
        <f t="shared" si="56"/>
        <v>1.1429088905441671</v>
      </c>
      <c r="BF349" s="749">
        <v>43336</v>
      </c>
      <c r="BG349">
        <v>7485.4</v>
      </c>
      <c r="BH349">
        <v>81800</v>
      </c>
      <c r="BI349">
        <v>1375.8820000000001</v>
      </c>
      <c r="BJ349">
        <v>50.7</v>
      </c>
      <c r="BK349">
        <v>2874.69</v>
      </c>
      <c r="BL349">
        <v>798.23</v>
      </c>
      <c r="BM349">
        <v>1969.61</v>
      </c>
      <c r="BN349" s="14">
        <f t="shared" si="65"/>
        <v>1.4620049501595345E-2</v>
      </c>
      <c r="BO349" s="14">
        <f t="shared" si="57"/>
        <v>9.7986577181208068E-2</v>
      </c>
      <c r="BP349" s="14">
        <f t="shared" si="58"/>
        <v>3.9645160437202343E-2</v>
      </c>
      <c r="BQ349" s="14">
        <f t="shared" si="59"/>
        <v>7.6204627467629127E-2</v>
      </c>
      <c r="BR349" s="14">
        <f t="shared" si="60"/>
        <v>8.6171507966303906E-3</v>
      </c>
      <c r="BS349" s="14">
        <f t="shared" si="61"/>
        <v>3.3575035607924519E-2</v>
      </c>
      <c r="BT349" s="14">
        <f t="shared" si="62"/>
        <v>2.5988164940720537E-2</v>
      </c>
      <c r="BV349" s="749">
        <v>43336</v>
      </c>
      <c r="BW349">
        <f t="shared" si="63"/>
        <v>1.3812788898605599</v>
      </c>
      <c r="BX349">
        <f t="shared" si="64"/>
        <v>1.9765920400868857</v>
      </c>
    </row>
    <row r="350" spans="1:76" x14ac:dyDescent="0.3">
      <c r="A350" s="749">
        <v>43329</v>
      </c>
      <c r="B350">
        <v>74500</v>
      </c>
      <c r="C350">
        <v>1323.415</v>
      </c>
      <c r="D350">
        <v>44100</v>
      </c>
      <c r="E350">
        <v>47.11</v>
      </c>
      <c r="F350">
        <v>7377.54</v>
      </c>
      <c r="G350">
        <v>2185.04</v>
      </c>
      <c r="H350">
        <v>772.3</v>
      </c>
      <c r="I350">
        <v>288.57</v>
      </c>
      <c r="J350">
        <v>1919.72</v>
      </c>
      <c r="K350">
        <v>15140000</v>
      </c>
      <c r="L350">
        <v>2850.13</v>
      </c>
      <c r="AO350" s="749">
        <v>43329</v>
      </c>
      <c r="AP350">
        <v>7377.54</v>
      </c>
      <c r="AQ350">
        <v>2185.04</v>
      </c>
      <c r="AR350">
        <f t="shared" si="55"/>
        <v>1.6952847097752652</v>
      </c>
      <c r="AS350">
        <f t="shared" si="56"/>
        <v>1.1147822005448813</v>
      </c>
      <c r="BF350" s="749">
        <v>43329</v>
      </c>
      <c r="BG350">
        <v>7377.54</v>
      </c>
      <c r="BH350">
        <v>74500</v>
      </c>
      <c r="BI350">
        <v>1323.415</v>
      </c>
      <c r="BJ350">
        <v>47.11</v>
      </c>
      <c r="BK350">
        <v>2850.13</v>
      </c>
      <c r="BL350">
        <v>772.3</v>
      </c>
      <c r="BM350">
        <v>1919.72</v>
      </c>
      <c r="BN350" s="14">
        <f t="shared" si="65"/>
        <v>-4.1520996719895953E-3</v>
      </c>
      <c r="BO350" s="14">
        <f t="shared" si="57"/>
        <v>-7.9893475366178413E-3</v>
      </c>
      <c r="BP350" s="14">
        <f t="shared" si="58"/>
        <v>-2.3165780927074109E-2</v>
      </c>
      <c r="BQ350" s="14">
        <f t="shared" si="59"/>
        <v>-8.2927778859256396E-2</v>
      </c>
      <c r="BR350" s="14">
        <f t="shared" si="60"/>
        <v>5.9471707702731802E-3</v>
      </c>
      <c r="BS350" s="14">
        <f t="shared" si="61"/>
        <v>-1.5940163861316692E-2</v>
      </c>
      <c r="BT350" s="14">
        <f t="shared" si="62"/>
        <v>-1.839248551662076E-2</v>
      </c>
      <c r="BV350" s="749">
        <v>43329</v>
      </c>
      <c r="BW350">
        <f t="shared" si="63"/>
        <v>1.3694778923495325</v>
      </c>
      <c r="BX350">
        <f t="shared" si="64"/>
        <v>1.9012179494546666</v>
      </c>
    </row>
    <row r="351" spans="1:76" x14ac:dyDescent="0.3">
      <c r="A351" s="749">
        <v>43322</v>
      </c>
      <c r="B351">
        <v>75100</v>
      </c>
      <c r="C351">
        <v>1354.8</v>
      </c>
      <c r="D351">
        <v>45400</v>
      </c>
      <c r="E351">
        <v>51.37</v>
      </c>
      <c r="F351">
        <v>7408.3</v>
      </c>
      <c r="G351">
        <v>2225.65</v>
      </c>
      <c r="H351">
        <v>784.81</v>
      </c>
      <c r="I351">
        <v>293.64</v>
      </c>
      <c r="J351">
        <v>1955.69</v>
      </c>
      <c r="K351">
        <v>24380000</v>
      </c>
      <c r="L351">
        <v>2833.28</v>
      </c>
      <c r="AO351" s="749">
        <v>43322</v>
      </c>
      <c r="AP351">
        <v>7408.3</v>
      </c>
      <c r="AQ351">
        <v>2225.65</v>
      </c>
      <c r="AR351">
        <f t="shared" si="55"/>
        <v>1.702353049312928</v>
      </c>
      <c r="AS351">
        <f t="shared" si="56"/>
        <v>1.135500954052427</v>
      </c>
      <c r="BF351" s="749">
        <v>43322</v>
      </c>
      <c r="BG351">
        <v>7408.3</v>
      </c>
      <c r="BH351">
        <v>75100</v>
      </c>
      <c r="BI351">
        <v>1354.8</v>
      </c>
      <c r="BJ351">
        <v>51.37</v>
      </c>
      <c r="BK351">
        <v>2833.28</v>
      </c>
      <c r="BL351">
        <v>784.81</v>
      </c>
      <c r="BM351">
        <v>1955.69</v>
      </c>
      <c r="BN351" s="14">
        <f t="shared" si="65"/>
        <v>1.7321367482074912E-3</v>
      </c>
      <c r="BO351" s="14">
        <f t="shared" si="57"/>
        <v>-9.8439375750300151E-2</v>
      </c>
      <c r="BP351" s="14">
        <f t="shared" si="58"/>
        <v>-1.9423350289077601E-2</v>
      </c>
      <c r="BQ351" s="14">
        <f t="shared" si="59"/>
        <v>-2.726756296156041E-2</v>
      </c>
      <c r="BR351" s="14">
        <f t="shared" si="60"/>
        <v>-2.4891298607564449E-3</v>
      </c>
      <c r="BS351" s="14">
        <f t="shared" si="61"/>
        <v>-5.0709296281741256E-3</v>
      </c>
      <c r="BT351" s="14">
        <f t="shared" si="62"/>
        <v>-5.9621229833995981E-3</v>
      </c>
      <c r="BV351" s="749">
        <v>43322</v>
      </c>
      <c r="BW351">
        <f t="shared" si="63"/>
        <v>1.3613815239431479</v>
      </c>
      <c r="BX351">
        <f t="shared" si="64"/>
        <v>1.9463056395168428</v>
      </c>
    </row>
    <row r="352" spans="1:76" x14ac:dyDescent="0.3">
      <c r="A352" s="749">
        <v>43315</v>
      </c>
      <c r="B352">
        <v>83300</v>
      </c>
      <c r="C352">
        <v>1381.636</v>
      </c>
      <c r="D352">
        <v>45750</v>
      </c>
      <c r="E352">
        <v>52.81</v>
      </c>
      <c r="F352">
        <v>7395.49</v>
      </c>
      <c r="G352">
        <v>2241.4899999999998</v>
      </c>
      <c r="H352">
        <v>788.81</v>
      </c>
      <c r="I352">
        <v>295.61</v>
      </c>
      <c r="J352">
        <v>1967.42</v>
      </c>
      <c r="K352">
        <v>12670000</v>
      </c>
      <c r="L352">
        <v>2840.35</v>
      </c>
      <c r="AO352" s="749">
        <v>43315</v>
      </c>
      <c r="AP352">
        <v>7395.49</v>
      </c>
      <c r="AQ352">
        <v>2241.4899999999998</v>
      </c>
      <c r="AR352">
        <f t="shared" si="55"/>
        <v>1.6994094397720483</v>
      </c>
      <c r="AS352">
        <f t="shared" si="56"/>
        <v>1.1435823393161433</v>
      </c>
      <c r="BF352" s="749">
        <v>43315</v>
      </c>
      <c r="BG352">
        <v>7395.49</v>
      </c>
      <c r="BH352">
        <v>83300</v>
      </c>
      <c r="BI352">
        <v>1381.636</v>
      </c>
      <c r="BJ352">
        <v>52.81</v>
      </c>
      <c r="BK352">
        <v>2840.35</v>
      </c>
      <c r="BL352">
        <v>788.81</v>
      </c>
      <c r="BM352">
        <v>1967.42</v>
      </c>
      <c r="BN352" s="14">
        <f t="shared" si="65"/>
        <v>1.3527884902655662E-2</v>
      </c>
      <c r="BO352" s="14">
        <f t="shared" si="57"/>
        <v>-3.2520325203251987E-2</v>
      </c>
      <c r="BP352" s="14">
        <f t="shared" si="58"/>
        <v>6.8501336504798171E-3</v>
      </c>
      <c r="BQ352" s="14">
        <f t="shared" si="59"/>
        <v>-2.1312083024462525E-2</v>
      </c>
      <c r="BR352" s="14">
        <f t="shared" si="60"/>
        <v>7.6379477937575935E-3</v>
      </c>
      <c r="BS352" s="14">
        <f t="shared" si="61"/>
        <v>1.9160701826920423E-2</v>
      </c>
      <c r="BT352" s="14">
        <f t="shared" si="62"/>
        <v>-1.2165792182361357E-2</v>
      </c>
      <c r="BV352" s="749">
        <v>43315</v>
      </c>
      <c r="BW352">
        <f t="shared" si="63"/>
        <v>1.3647786351973401</v>
      </c>
      <c r="BX352">
        <f t="shared" si="64"/>
        <v>1.9848582363149487</v>
      </c>
    </row>
    <row r="353" spans="1:76" x14ac:dyDescent="0.3">
      <c r="A353" s="749">
        <v>43308</v>
      </c>
      <c r="B353">
        <v>86100</v>
      </c>
      <c r="C353">
        <v>1372.2360000000001</v>
      </c>
      <c r="D353">
        <v>46900</v>
      </c>
      <c r="E353">
        <v>53.96</v>
      </c>
      <c r="F353">
        <v>7296.78</v>
      </c>
      <c r="G353">
        <v>2261.4</v>
      </c>
      <c r="H353">
        <v>773.98</v>
      </c>
      <c r="I353">
        <v>297.77999999999997</v>
      </c>
      <c r="J353">
        <v>1991.65</v>
      </c>
      <c r="K353">
        <v>26420000</v>
      </c>
      <c r="L353">
        <v>2818.82</v>
      </c>
      <c r="AO353" s="749">
        <v>43308</v>
      </c>
      <c r="AP353">
        <v>7296.78</v>
      </c>
      <c r="AQ353">
        <v>2261.4</v>
      </c>
      <c r="AR353">
        <f t="shared" si="55"/>
        <v>1.6767268716393215</v>
      </c>
      <c r="AS353">
        <f t="shared" si="56"/>
        <v>1.1537401916267871</v>
      </c>
      <c r="BF353" s="749">
        <v>43308</v>
      </c>
      <c r="BG353">
        <v>7296.78</v>
      </c>
      <c r="BH353">
        <v>86100</v>
      </c>
      <c r="BI353">
        <v>1372.2360000000001</v>
      </c>
      <c r="BJ353">
        <v>53.96</v>
      </c>
      <c r="BK353">
        <v>2818.82</v>
      </c>
      <c r="BL353">
        <v>773.98</v>
      </c>
      <c r="BM353">
        <v>1991.65</v>
      </c>
      <c r="BN353" s="14">
        <f t="shared" si="65"/>
        <v>-7.2718812880685491E-3</v>
      </c>
      <c r="BO353" s="14">
        <f t="shared" si="57"/>
        <v>-2.0477815699658675E-2</v>
      </c>
      <c r="BP353" s="14">
        <f t="shared" si="58"/>
        <v>9.6020777156899939E-3</v>
      </c>
      <c r="BQ353" s="14">
        <f t="shared" si="59"/>
        <v>-1.9265721555797977E-2</v>
      </c>
      <c r="BR353" s="14">
        <f t="shared" si="60"/>
        <v>6.0638939550223814E-3</v>
      </c>
      <c r="BS353" s="14">
        <f t="shared" si="61"/>
        <v>-2.2271067823802171E-2</v>
      </c>
      <c r="BT353" s="14">
        <f t="shared" si="62"/>
        <v>-2.4542335528786596E-3</v>
      </c>
      <c r="BV353" s="749">
        <v>43308</v>
      </c>
      <c r="BW353">
        <f t="shared" si="63"/>
        <v>1.354433542509538</v>
      </c>
      <c r="BX353">
        <f t="shared" si="64"/>
        <v>1.971354196595833</v>
      </c>
    </row>
    <row r="354" spans="1:76" x14ac:dyDescent="0.3">
      <c r="A354" s="749">
        <v>43301</v>
      </c>
      <c r="B354">
        <v>87900</v>
      </c>
      <c r="C354">
        <v>1359.1849999999999</v>
      </c>
      <c r="D354">
        <v>47450</v>
      </c>
      <c r="E354">
        <v>55.02</v>
      </c>
      <c r="F354">
        <v>7350.23</v>
      </c>
      <c r="G354">
        <v>2259.5100000000002</v>
      </c>
      <c r="H354">
        <v>791.61</v>
      </c>
      <c r="I354">
        <v>296.95</v>
      </c>
      <c r="J354">
        <v>1996.55</v>
      </c>
      <c r="K354">
        <v>11510000</v>
      </c>
      <c r="L354">
        <v>2801.83</v>
      </c>
      <c r="AO354" s="749">
        <v>43301</v>
      </c>
      <c r="AP354">
        <v>7350.23</v>
      </c>
      <c r="AQ354">
        <v>2259.5100000000002</v>
      </c>
      <c r="AR354">
        <f t="shared" si="55"/>
        <v>1.689009145640884</v>
      </c>
      <c r="AS354">
        <f t="shared" si="56"/>
        <v>1.1527759354305482</v>
      </c>
      <c r="BF354" s="749">
        <v>43301</v>
      </c>
      <c r="BG354">
        <v>7350.23</v>
      </c>
      <c r="BH354">
        <v>87900</v>
      </c>
      <c r="BI354">
        <v>1359.1849999999999</v>
      </c>
      <c r="BJ354">
        <v>55.02</v>
      </c>
      <c r="BK354">
        <v>2801.83</v>
      </c>
      <c r="BL354">
        <v>791.61</v>
      </c>
      <c r="BM354">
        <v>1996.55</v>
      </c>
      <c r="BN354" s="14">
        <f t="shared" si="65"/>
        <v>-3.4694447532613859E-3</v>
      </c>
      <c r="BO354" s="14">
        <f t="shared" si="57"/>
        <v>-1.0135135135135087E-2</v>
      </c>
      <c r="BP354" s="14">
        <f t="shared" si="58"/>
        <v>1.3686257955869197E-2</v>
      </c>
      <c r="BQ354" s="14">
        <f t="shared" si="59"/>
        <v>-2.3602484472049712E-2</v>
      </c>
      <c r="BR354" s="14">
        <f t="shared" si="60"/>
        <v>1.8562743859118491E-4</v>
      </c>
      <c r="BS354" s="14">
        <f t="shared" si="61"/>
        <v>-4.3822246916860874E-2</v>
      </c>
      <c r="BT354" s="14">
        <f t="shared" si="62"/>
        <v>2.2791050245731803E-3</v>
      </c>
      <c r="BV354" s="749">
        <v>43301</v>
      </c>
      <c r="BW354">
        <f t="shared" si="63"/>
        <v>1.346269904573367</v>
      </c>
      <c r="BX354">
        <f t="shared" si="64"/>
        <v>1.9526051303858134</v>
      </c>
    </row>
    <row r="355" spans="1:76" x14ac:dyDescent="0.3">
      <c r="A355" s="749">
        <v>43294</v>
      </c>
      <c r="B355">
        <v>88800</v>
      </c>
      <c r="C355">
        <v>1340.8340000000001</v>
      </c>
      <c r="D355">
        <v>46500</v>
      </c>
      <c r="E355">
        <v>56.35</v>
      </c>
      <c r="F355">
        <v>7375.82</v>
      </c>
      <c r="G355">
        <v>2267.08</v>
      </c>
      <c r="H355">
        <v>827.89</v>
      </c>
      <c r="I355">
        <v>298.64999999999998</v>
      </c>
      <c r="J355">
        <v>1992.01</v>
      </c>
      <c r="K355">
        <v>13740000</v>
      </c>
      <c r="L355">
        <v>2801.31</v>
      </c>
      <c r="AO355" s="749">
        <v>43294</v>
      </c>
      <c r="AP355">
        <v>7375.82</v>
      </c>
      <c r="AQ355">
        <v>2267.08</v>
      </c>
      <c r="AR355">
        <f t="shared" si="55"/>
        <v>1.6948894710234843</v>
      </c>
      <c r="AS355">
        <f t="shared" si="56"/>
        <v>1.1566380621001398</v>
      </c>
      <c r="BF355" s="749">
        <v>43294</v>
      </c>
      <c r="BG355">
        <v>7375.82</v>
      </c>
      <c r="BH355">
        <v>88800</v>
      </c>
      <c r="BI355">
        <v>1340.8340000000001</v>
      </c>
      <c r="BJ355">
        <v>56.35</v>
      </c>
      <c r="BK355">
        <v>2801.31</v>
      </c>
      <c r="BL355">
        <v>827.89</v>
      </c>
      <c r="BM355">
        <v>1992.01</v>
      </c>
      <c r="BN355" s="14">
        <f t="shared" si="65"/>
        <v>2.3377589204323979E-2</v>
      </c>
      <c r="BO355" s="14">
        <f t="shared" si="57"/>
        <v>4.1031652989448997E-2</v>
      </c>
      <c r="BP355" s="14">
        <f t="shared" si="58"/>
        <v>-6.192609041431596E-3</v>
      </c>
      <c r="BQ355" s="14">
        <f t="shared" si="59"/>
        <v>5.8613563779823519E-2</v>
      </c>
      <c r="BR355" s="14">
        <f t="shared" si="60"/>
        <v>1.5033589147118276E-2</v>
      </c>
      <c r="BS355" s="14">
        <f t="shared" si="61"/>
        <v>2.3488978723930298E-2</v>
      </c>
      <c r="BT355" s="14">
        <f t="shared" si="62"/>
        <v>2.3669672910403561E-2</v>
      </c>
      <c r="BV355" s="749">
        <v>43294</v>
      </c>
      <c r="BW355">
        <f t="shared" si="63"/>
        <v>1.3460200463198764</v>
      </c>
      <c r="BX355">
        <f t="shared" si="64"/>
        <v>1.9262420843341648</v>
      </c>
    </row>
    <row r="356" spans="1:76" x14ac:dyDescent="0.3">
      <c r="A356" s="749">
        <v>43287</v>
      </c>
      <c r="B356">
        <v>85300</v>
      </c>
      <c r="C356">
        <v>1349.1890000000001</v>
      </c>
      <c r="D356">
        <v>44900</v>
      </c>
      <c r="E356">
        <v>53.23</v>
      </c>
      <c r="F356">
        <v>7207.33</v>
      </c>
      <c r="G356">
        <v>2221.13</v>
      </c>
      <c r="H356">
        <v>808.89</v>
      </c>
      <c r="I356">
        <v>293.11</v>
      </c>
      <c r="J356">
        <v>1945.95</v>
      </c>
      <c r="K356">
        <v>13140000</v>
      </c>
      <c r="L356">
        <v>2759.82</v>
      </c>
      <c r="AO356" s="749">
        <v>43287</v>
      </c>
      <c r="AP356">
        <v>7207.33</v>
      </c>
      <c r="AQ356">
        <v>2221.13</v>
      </c>
      <c r="AR356">
        <f t="shared" si="55"/>
        <v>1.6561721586469966</v>
      </c>
      <c r="AS356">
        <f t="shared" si="56"/>
        <v>1.1331949021968717</v>
      </c>
      <c r="BF356" s="749">
        <v>43287</v>
      </c>
      <c r="BG356">
        <v>7207.33</v>
      </c>
      <c r="BH356">
        <v>85300</v>
      </c>
      <c r="BI356">
        <v>1349.1890000000001</v>
      </c>
      <c r="BJ356">
        <v>53.23</v>
      </c>
      <c r="BK356">
        <v>2759.82</v>
      </c>
      <c r="BL356">
        <v>808.89</v>
      </c>
      <c r="BM356">
        <v>1945.95</v>
      </c>
      <c r="BN356" s="14">
        <f t="shared" si="65"/>
        <v>2.3652141802067872E-2</v>
      </c>
      <c r="BO356" s="14">
        <f t="shared" si="57"/>
        <v>-4.667444574095736E-3</v>
      </c>
      <c r="BP356" s="14">
        <f t="shared" si="58"/>
        <v>2.701141200757573E-2</v>
      </c>
      <c r="BQ356" s="14">
        <f t="shared" si="59"/>
        <v>1.5064836003051196E-2</v>
      </c>
      <c r="BR356" s="14">
        <f t="shared" si="60"/>
        <v>1.5248108241335823E-2</v>
      </c>
      <c r="BS356" s="14">
        <f t="shared" si="61"/>
        <v>-1.1402801202610613E-2</v>
      </c>
      <c r="BT356" s="14">
        <f t="shared" si="62"/>
        <v>-2.216516084942155E-2</v>
      </c>
      <c r="BV356" s="749">
        <v>43287</v>
      </c>
      <c r="BW356">
        <f t="shared" si="63"/>
        <v>1.3260842406711579</v>
      </c>
      <c r="BX356">
        <f t="shared" si="64"/>
        <v>1.9382448770845067</v>
      </c>
    </row>
    <row r="357" spans="1:76" x14ac:dyDescent="0.3">
      <c r="A357" s="749">
        <v>43280</v>
      </c>
      <c r="B357">
        <v>85700</v>
      </c>
      <c r="C357">
        <v>1313.704</v>
      </c>
      <c r="D357">
        <v>46650</v>
      </c>
      <c r="E357">
        <v>52.44</v>
      </c>
      <c r="F357">
        <v>7040.8</v>
      </c>
      <c r="G357">
        <v>2271.63</v>
      </c>
      <c r="H357">
        <v>818.22</v>
      </c>
      <c r="I357">
        <v>299.66000000000003</v>
      </c>
      <c r="J357">
        <v>1990.06</v>
      </c>
      <c r="K357">
        <v>20580000</v>
      </c>
      <c r="L357">
        <v>2718.37</v>
      </c>
      <c r="AO357" s="749">
        <v>43280</v>
      </c>
      <c r="AP357">
        <v>7040.8</v>
      </c>
      <c r="AQ357">
        <v>2271.63</v>
      </c>
      <c r="AR357">
        <f t="shared" si="55"/>
        <v>1.6179052346155613</v>
      </c>
      <c r="AS357">
        <f t="shared" si="56"/>
        <v>1.1589594196096038</v>
      </c>
      <c r="BF357" s="749">
        <v>43280</v>
      </c>
      <c r="BG357">
        <v>7040.8</v>
      </c>
      <c r="BH357">
        <v>85700</v>
      </c>
      <c r="BI357">
        <v>1313.704</v>
      </c>
      <c r="BJ357">
        <v>52.44</v>
      </c>
      <c r="BK357">
        <v>2718.37</v>
      </c>
      <c r="BL357">
        <v>818.22</v>
      </c>
      <c r="BM357">
        <v>1990.06</v>
      </c>
      <c r="BN357" s="14">
        <f t="shared" si="65"/>
        <v>-2.1772807540385464E-2</v>
      </c>
      <c r="BO357" s="14">
        <f t="shared" si="57"/>
        <v>-4.2458100558659173E-2</v>
      </c>
      <c r="BP357" s="14">
        <f t="shared" si="58"/>
        <v>-4.1792092055366825E-2</v>
      </c>
      <c r="BQ357" s="14">
        <f t="shared" si="59"/>
        <v>-8.1611208406304758E-2</v>
      </c>
      <c r="BR357" s="14">
        <f t="shared" si="60"/>
        <v>-1.3252845858984896E-2</v>
      </c>
      <c r="BS357" s="14">
        <f t="shared" si="61"/>
        <v>-1.4513351078564773E-2</v>
      </c>
      <c r="BT357" s="14">
        <f t="shared" si="62"/>
        <v>-1.4040824415378572E-2</v>
      </c>
      <c r="BV357" s="749">
        <v>43280</v>
      </c>
      <c r="BW357">
        <f t="shared" si="63"/>
        <v>1.3061676548880923</v>
      </c>
      <c r="BX357">
        <f t="shared" si="64"/>
        <v>1.8872671271448438</v>
      </c>
    </row>
    <row r="358" spans="1:76" x14ac:dyDescent="0.3">
      <c r="A358" s="749">
        <v>43273</v>
      </c>
      <c r="B358">
        <v>89500</v>
      </c>
      <c r="C358">
        <v>1371.001</v>
      </c>
      <c r="D358">
        <v>47250</v>
      </c>
      <c r="E358">
        <v>57.1</v>
      </c>
      <c r="F358">
        <v>7197.51</v>
      </c>
      <c r="G358">
        <v>2302.69</v>
      </c>
      <c r="H358">
        <v>830.27</v>
      </c>
      <c r="I358">
        <v>303.69</v>
      </c>
      <c r="J358">
        <v>2018.4</v>
      </c>
      <c r="K358">
        <v>18580000</v>
      </c>
      <c r="L358">
        <v>2754.88</v>
      </c>
      <c r="AO358" s="749">
        <v>43273</v>
      </c>
      <c r="AP358">
        <v>7197.51</v>
      </c>
      <c r="AQ358">
        <v>2302.69</v>
      </c>
      <c r="AR358">
        <f t="shared" si="55"/>
        <v>1.6539156211222943</v>
      </c>
      <c r="AS358">
        <f t="shared" si="56"/>
        <v>1.1748058732895932</v>
      </c>
      <c r="BF358" s="749">
        <v>43273</v>
      </c>
      <c r="BG358">
        <v>7197.51</v>
      </c>
      <c r="BH358">
        <v>89500</v>
      </c>
      <c r="BI358">
        <v>1371.001</v>
      </c>
      <c r="BJ358">
        <v>57.1</v>
      </c>
      <c r="BK358">
        <v>2754.88</v>
      </c>
      <c r="BL358">
        <v>830.27</v>
      </c>
      <c r="BM358">
        <v>2018.4</v>
      </c>
      <c r="BN358" s="14">
        <f t="shared" si="65"/>
        <v>-8.0281045679569951E-3</v>
      </c>
      <c r="BO358" s="14">
        <f t="shared" si="57"/>
        <v>2.8735632183908066E-2</v>
      </c>
      <c r="BP358" s="14">
        <f t="shared" si="58"/>
        <v>-3.5889361528567809E-2</v>
      </c>
      <c r="BQ358" s="14">
        <f t="shared" si="59"/>
        <v>-1.9405804568091933E-2</v>
      </c>
      <c r="BR358" s="14">
        <f t="shared" si="60"/>
        <v>-8.9147593590581664E-3</v>
      </c>
      <c r="BS358" s="14">
        <f t="shared" si="61"/>
        <v>-4.1502158804922584E-2</v>
      </c>
      <c r="BT358" s="14">
        <f t="shared" si="62"/>
        <v>-1.2316681102188753E-2</v>
      </c>
      <c r="BV358" s="749">
        <v>43273</v>
      </c>
      <c r="BW358">
        <f t="shared" si="63"/>
        <v>1.3237105872629953</v>
      </c>
      <c r="BX358">
        <f t="shared" si="64"/>
        <v>1.9695799956327362</v>
      </c>
    </row>
    <row r="359" spans="1:76" x14ac:dyDescent="0.3">
      <c r="A359" s="749">
        <v>43266</v>
      </c>
      <c r="B359">
        <v>87000</v>
      </c>
      <c r="C359">
        <v>1422.037</v>
      </c>
      <c r="D359">
        <v>47650</v>
      </c>
      <c r="E359">
        <v>58.23</v>
      </c>
      <c r="F359">
        <v>7255.76</v>
      </c>
      <c r="G359">
        <v>2335.25</v>
      </c>
      <c r="H359">
        <v>866.22</v>
      </c>
      <c r="I359">
        <v>308.73</v>
      </c>
      <c r="J359">
        <v>2043.57</v>
      </c>
      <c r="K359">
        <v>12000000</v>
      </c>
      <c r="L359">
        <v>2779.66</v>
      </c>
      <c r="AO359" s="749">
        <v>43266</v>
      </c>
      <c r="AP359">
        <v>7255.76</v>
      </c>
      <c r="AQ359">
        <v>2335.25</v>
      </c>
      <c r="AR359">
        <f t="shared" si="55"/>
        <v>1.6673008869892918</v>
      </c>
      <c r="AS359">
        <f t="shared" si="56"/>
        <v>1.1914176096650102</v>
      </c>
      <c r="BF359" s="749">
        <v>43266</v>
      </c>
      <c r="BG359">
        <v>7255.76</v>
      </c>
      <c r="BH359">
        <v>87000</v>
      </c>
      <c r="BI359">
        <v>1422.037</v>
      </c>
      <c r="BJ359">
        <v>58.23</v>
      </c>
      <c r="BK359">
        <v>2779.66</v>
      </c>
      <c r="BL359">
        <v>866.22</v>
      </c>
      <c r="BM359">
        <v>2043.57</v>
      </c>
      <c r="BN359" s="14">
        <f t="shared" si="65"/>
        <v>1.441989089312723E-2</v>
      </c>
      <c r="BO359" s="14">
        <f t="shared" si="57"/>
        <v>-1.5837104072398245E-2</v>
      </c>
      <c r="BP359" s="14">
        <f t="shared" si="58"/>
        <v>6.9036959201635995E-3</v>
      </c>
      <c r="BQ359" s="14">
        <f t="shared" si="59"/>
        <v>-5.1474181462779045E-2</v>
      </c>
      <c r="BR359" s="14">
        <f t="shared" si="60"/>
        <v>2.2669780462947209E-4</v>
      </c>
      <c r="BS359" s="14">
        <f t="shared" si="61"/>
        <v>-1.3955923868500086E-2</v>
      </c>
      <c r="BT359" s="14">
        <f t="shared" si="62"/>
        <v>-2.1034932071205548E-2</v>
      </c>
      <c r="BV359" s="749">
        <v>43266</v>
      </c>
      <c r="BW359">
        <f t="shared" si="63"/>
        <v>1.3356172940351148</v>
      </c>
      <c r="BX359">
        <f t="shared" si="64"/>
        <v>2.0428983117077153</v>
      </c>
    </row>
    <row r="360" spans="1:76" x14ac:dyDescent="0.3">
      <c r="A360" s="749">
        <v>43259</v>
      </c>
      <c r="B360">
        <v>88400</v>
      </c>
      <c r="C360">
        <v>1412.287</v>
      </c>
      <c r="D360">
        <v>49650</v>
      </c>
      <c r="E360">
        <v>61.39</v>
      </c>
      <c r="F360">
        <v>7152.62</v>
      </c>
      <c r="G360">
        <v>2383.48</v>
      </c>
      <c r="H360">
        <v>878.48</v>
      </c>
      <c r="I360">
        <v>314.97000000000003</v>
      </c>
      <c r="J360">
        <v>2087.48</v>
      </c>
      <c r="K360">
        <v>13230000</v>
      </c>
      <c r="L360">
        <v>2779.03</v>
      </c>
      <c r="AO360" s="749">
        <v>43259</v>
      </c>
      <c r="AP360">
        <v>7152.62</v>
      </c>
      <c r="AQ360">
        <v>2383.48</v>
      </c>
      <c r="AR360">
        <f t="shared" si="55"/>
        <v>1.6436003492807574</v>
      </c>
      <c r="AS360">
        <f t="shared" si="56"/>
        <v>1.2160239992653286</v>
      </c>
      <c r="BF360" s="749">
        <v>43259</v>
      </c>
      <c r="BG360">
        <v>7152.62</v>
      </c>
      <c r="BH360">
        <v>88400</v>
      </c>
      <c r="BI360">
        <v>1412.287</v>
      </c>
      <c r="BJ360">
        <v>61.39</v>
      </c>
      <c r="BK360">
        <v>2779.03</v>
      </c>
      <c r="BL360">
        <v>878.48</v>
      </c>
      <c r="BM360">
        <v>2087.48</v>
      </c>
      <c r="BN360" s="14">
        <f t="shared" si="65"/>
        <v>9.6965949691767417E-3</v>
      </c>
      <c r="BO360" s="14">
        <f t="shared" si="57"/>
        <v>-3.2822757111597323E-2</v>
      </c>
      <c r="BP360" s="14">
        <f t="shared" si="58"/>
        <v>6.9510084985102694E-4</v>
      </c>
      <c r="BQ360" s="14">
        <f t="shared" si="59"/>
        <v>4.5114061967994612E-2</v>
      </c>
      <c r="BR360" s="14">
        <f t="shared" si="60"/>
        <v>1.6239916332068116E-2</v>
      </c>
      <c r="BS360" s="14">
        <f t="shared" si="61"/>
        <v>-5.3667262969588903E-3</v>
      </c>
      <c r="BT360" s="14">
        <f t="shared" si="62"/>
        <v>4.8667305294676222E-3</v>
      </c>
      <c r="BV360" s="749">
        <v>43259</v>
      </c>
      <c r="BW360">
        <f t="shared" si="63"/>
        <v>1.335314581151078</v>
      </c>
      <c r="BX360">
        <f t="shared" si="64"/>
        <v>2.0288914619990579</v>
      </c>
    </row>
    <row r="361" spans="1:76" x14ac:dyDescent="0.3">
      <c r="A361" s="749">
        <v>43252</v>
      </c>
      <c r="B361">
        <v>91400</v>
      </c>
      <c r="C361">
        <v>1411.306</v>
      </c>
      <c r="D361">
        <v>51300</v>
      </c>
      <c r="E361">
        <v>58.74</v>
      </c>
      <c r="F361">
        <v>7083.93</v>
      </c>
      <c r="G361">
        <v>2370.13</v>
      </c>
      <c r="H361">
        <v>883.22</v>
      </c>
      <c r="I361">
        <v>313.22000000000003</v>
      </c>
      <c r="J361">
        <v>2077.37</v>
      </c>
      <c r="K361">
        <v>19830000</v>
      </c>
      <c r="L361">
        <v>2734.62</v>
      </c>
      <c r="AO361" s="749">
        <v>43252</v>
      </c>
      <c r="AP361">
        <v>7083.93</v>
      </c>
      <c r="AQ361">
        <v>2370.13</v>
      </c>
      <c r="AR361">
        <f t="shared" si="55"/>
        <v>1.6278160761064386</v>
      </c>
      <c r="AS361">
        <f t="shared" si="56"/>
        <v>1.2092129832760223</v>
      </c>
      <c r="BF361" s="749">
        <v>43252</v>
      </c>
      <c r="BG361">
        <v>7083.93</v>
      </c>
      <c r="BH361">
        <v>91400</v>
      </c>
      <c r="BI361">
        <v>1411.306</v>
      </c>
      <c r="BJ361">
        <v>58.74</v>
      </c>
      <c r="BK361">
        <v>2734.62</v>
      </c>
      <c r="BL361">
        <v>883.22</v>
      </c>
      <c r="BM361">
        <v>2077.37</v>
      </c>
      <c r="BN361" s="14">
        <f t="shared" si="65"/>
        <v>1.7671514684840517E-2</v>
      </c>
      <c r="BO361" s="14">
        <f t="shared" si="57"/>
        <v>-3.9915966386554591E-2</v>
      </c>
      <c r="BP361" s="14">
        <f t="shared" si="58"/>
        <v>1.4717766868272086E-2</v>
      </c>
      <c r="BQ361" s="14">
        <f t="shared" si="59"/>
        <v>-4.2542787286063533E-2</v>
      </c>
      <c r="BR361" s="14">
        <f t="shared" si="60"/>
        <v>4.883641454729748E-3</v>
      </c>
      <c r="BS361" s="14">
        <f t="shared" si="61"/>
        <v>1.7124431392871564E-2</v>
      </c>
      <c r="BT361" s="14">
        <f t="shared" si="62"/>
        <v>-2.2575105276777974E-2</v>
      </c>
      <c r="BV361" s="749">
        <v>43252</v>
      </c>
      <c r="BW361">
        <f t="shared" si="63"/>
        <v>1.3139757253096802</v>
      </c>
      <c r="BX361">
        <f t="shared" si="64"/>
        <v>2.0274821574283712</v>
      </c>
    </row>
    <row r="362" spans="1:76" x14ac:dyDescent="0.3">
      <c r="A362" s="749">
        <v>43245</v>
      </c>
      <c r="B362">
        <v>95200</v>
      </c>
      <c r="C362">
        <v>1390.836</v>
      </c>
      <c r="D362">
        <v>52700</v>
      </c>
      <c r="E362">
        <v>61.35</v>
      </c>
      <c r="F362">
        <v>6960.92</v>
      </c>
      <c r="G362">
        <v>2414.5300000000002</v>
      </c>
      <c r="H362">
        <v>868.35</v>
      </c>
      <c r="I362">
        <v>318.05</v>
      </c>
      <c r="J362">
        <v>2125.35</v>
      </c>
      <c r="K362">
        <v>21010000</v>
      </c>
      <c r="L362">
        <v>2721.33</v>
      </c>
      <c r="AO362" s="749">
        <v>43245</v>
      </c>
      <c r="AP362">
        <v>6960.92</v>
      </c>
      <c r="AQ362">
        <v>2414.5300000000002</v>
      </c>
      <c r="AR362">
        <f t="shared" si="55"/>
        <v>1.5995496116549472</v>
      </c>
      <c r="AS362">
        <f t="shared" si="56"/>
        <v>1.2318653510606818</v>
      </c>
      <c r="BF362" s="749">
        <v>43245</v>
      </c>
      <c r="BG362">
        <v>6960.92</v>
      </c>
      <c r="BH362">
        <v>95200</v>
      </c>
      <c r="BI362">
        <v>1390.836</v>
      </c>
      <c r="BJ362">
        <v>61.35</v>
      </c>
      <c r="BK362">
        <v>2721.33</v>
      </c>
      <c r="BL362">
        <v>868.35</v>
      </c>
      <c r="BM362">
        <v>2125.35</v>
      </c>
      <c r="BN362" s="14">
        <f t="shared" si="65"/>
        <v>1.3787729837975604E-2</v>
      </c>
      <c r="BO362" s="14">
        <f t="shared" si="57"/>
        <v>8.304891922639368E-2</v>
      </c>
      <c r="BP362" s="14">
        <f t="shared" si="58"/>
        <v>3.3928141326617256E-2</v>
      </c>
      <c r="BQ362" s="14">
        <f t="shared" si="59"/>
        <v>0.14909159018542795</v>
      </c>
      <c r="BR362" s="14">
        <f t="shared" si="60"/>
        <v>3.0814937135317244E-3</v>
      </c>
      <c r="BS362" s="14">
        <f t="shared" si="61"/>
        <v>-1.2651676347116281E-3</v>
      </c>
      <c r="BT362" s="14">
        <f t="shared" si="62"/>
        <v>1.8951779156398896E-2</v>
      </c>
      <c r="BV362" s="749">
        <v>43245</v>
      </c>
      <c r="BW362">
        <f t="shared" si="63"/>
        <v>1.3075899249464247</v>
      </c>
      <c r="BX362">
        <f t="shared" si="64"/>
        <v>1.998074956040041</v>
      </c>
    </row>
    <row r="363" spans="1:76" x14ac:dyDescent="0.3">
      <c r="A363" s="749">
        <v>43238</v>
      </c>
      <c r="B363">
        <v>87900</v>
      </c>
      <c r="C363">
        <v>1345.1959999999999</v>
      </c>
      <c r="D363">
        <v>49500</v>
      </c>
      <c r="E363">
        <v>53.39</v>
      </c>
      <c r="F363">
        <v>6866.25</v>
      </c>
      <c r="G363">
        <v>2383.2399999999998</v>
      </c>
      <c r="H363">
        <v>869.45</v>
      </c>
      <c r="I363">
        <v>315.37</v>
      </c>
      <c r="J363">
        <v>2085.8200000000002</v>
      </c>
      <c r="K363">
        <v>12290000</v>
      </c>
      <c r="L363">
        <v>2712.97</v>
      </c>
      <c r="AO363" s="749">
        <v>43238</v>
      </c>
      <c r="AP363">
        <v>6866.25</v>
      </c>
      <c r="AQ363">
        <v>2383.2399999999998</v>
      </c>
      <c r="AR363">
        <f t="shared" si="55"/>
        <v>1.5777953950089618</v>
      </c>
      <c r="AS363">
        <f t="shared" si="56"/>
        <v>1.2159015540340601</v>
      </c>
      <c r="BF363" s="749">
        <v>43238</v>
      </c>
      <c r="BG363">
        <v>6866.25</v>
      </c>
      <c r="BH363">
        <v>87900</v>
      </c>
      <c r="BI363">
        <v>1345.1959999999999</v>
      </c>
      <c r="BJ363">
        <v>53.39</v>
      </c>
      <c r="BK363">
        <v>2712.97</v>
      </c>
      <c r="BL363">
        <v>869.45</v>
      </c>
      <c r="BM363">
        <v>2085.8200000000002</v>
      </c>
      <c r="BN363" s="14">
        <f t="shared" si="65"/>
        <v>-1.2414132348372409E-2</v>
      </c>
      <c r="BO363" s="14">
        <f t="shared" si="57"/>
        <v>2.0905923344947785E-2</v>
      </c>
      <c r="BP363" s="14">
        <f t="shared" si="58"/>
        <v>-3.9008814748116016E-3</v>
      </c>
      <c r="BQ363" s="14">
        <f t="shared" si="59"/>
        <v>3.0297182554998026E-2</v>
      </c>
      <c r="BR363" s="14">
        <f t="shared" si="60"/>
        <v>-5.4074465121053406E-3</v>
      </c>
      <c r="BS363" s="14">
        <f t="shared" si="61"/>
        <v>4.0649937061887353E-3</v>
      </c>
      <c r="BT363" s="14">
        <f t="shared" si="62"/>
        <v>-1.3185471852542152E-2</v>
      </c>
      <c r="BV363" s="749">
        <v>43238</v>
      </c>
      <c r="BW363">
        <f t="shared" si="63"/>
        <v>1.3035729730249186</v>
      </c>
      <c r="BX363">
        <f t="shared" si="64"/>
        <v>1.9325085334038226</v>
      </c>
    </row>
    <row r="364" spans="1:76" x14ac:dyDescent="0.3">
      <c r="A364" s="749">
        <v>43231</v>
      </c>
      <c r="B364">
        <v>86100</v>
      </c>
      <c r="C364">
        <v>1350.4639999999999</v>
      </c>
      <c r="D364">
        <v>51300</v>
      </c>
      <c r="E364">
        <v>51.82</v>
      </c>
      <c r="F364">
        <v>6952.56</v>
      </c>
      <c r="G364">
        <v>2410.14</v>
      </c>
      <c r="H364">
        <v>865.93</v>
      </c>
      <c r="I364">
        <v>318.51</v>
      </c>
      <c r="J364">
        <v>2113.69</v>
      </c>
      <c r="K364">
        <v>10650000</v>
      </c>
      <c r="L364">
        <v>2727.72</v>
      </c>
      <c r="AO364" s="749">
        <v>43231</v>
      </c>
      <c r="AP364">
        <v>6952.56</v>
      </c>
      <c r="AQ364">
        <v>2410.14</v>
      </c>
      <c r="AR364">
        <f t="shared" si="55"/>
        <v>1.5976285674893147</v>
      </c>
      <c r="AS364">
        <f t="shared" si="56"/>
        <v>1.2296256237053969</v>
      </c>
      <c r="BF364" s="749">
        <v>43231</v>
      </c>
      <c r="BG364">
        <v>6952.56</v>
      </c>
      <c r="BH364">
        <v>86100</v>
      </c>
      <c r="BI364">
        <v>1350.4639999999999</v>
      </c>
      <c r="BJ364">
        <v>51.82</v>
      </c>
      <c r="BK364">
        <v>2727.72</v>
      </c>
      <c r="BL364">
        <v>865.93</v>
      </c>
      <c r="BM364">
        <v>2113.69</v>
      </c>
      <c r="BN364" s="14">
        <f t="shared" si="65"/>
        <v>2.7099534356016752E-2</v>
      </c>
      <c r="BO364" s="14">
        <f t="shared" si="57"/>
        <v>3.7349397590361377E-2</v>
      </c>
      <c r="BP364" s="14">
        <f t="shared" si="58"/>
        <v>4.1438881986906928E-2</v>
      </c>
      <c r="BQ364" s="14">
        <f t="shared" si="59"/>
        <v>8.9113072719630093E-2</v>
      </c>
      <c r="BR364" s="14">
        <f t="shared" si="60"/>
        <v>2.4141892754428351E-2</v>
      </c>
      <c r="BS364" s="14">
        <f t="shared" si="61"/>
        <v>1.1198822897447114E-2</v>
      </c>
      <c r="BT364" s="14">
        <f t="shared" si="62"/>
        <v>1.1936509139480744E-3</v>
      </c>
      <c r="BV364" s="749">
        <v>43231</v>
      </c>
      <c r="BW364">
        <f t="shared" si="63"/>
        <v>1.3106602984845137</v>
      </c>
      <c r="BX364">
        <f t="shared" si="64"/>
        <v>1.9400765420464079</v>
      </c>
    </row>
    <row r="365" spans="1:76" x14ac:dyDescent="0.3">
      <c r="A365" s="749">
        <v>43224</v>
      </c>
      <c r="B365">
        <v>83000</v>
      </c>
      <c r="C365">
        <v>1296.729</v>
      </c>
      <c r="D365">
        <v>51900</v>
      </c>
      <c r="E365">
        <v>47.58</v>
      </c>
      <c r="F365">
        <v>6769.12</v>
      </c>
      <c r="G365">
        <v>2400.34</v>
      </c>
      <c r="H365">
        <v>856.34</v>
      </c>
      <c r="I365">
        <v>316.75</v>
      </c>
      <c r="J365">
        <v>2111.17</v>
      </c>
      <c r="K365">
        <v>15160000</v>
      </c>
      <c r="L365">
        <v>2663.42</v>
      </c>
      <c r="AO365" s="749">
        <v>43224</v>
      </c>
      <c r="AP365">
        <v>6769.12</v>
      </c>
      <c r="AQ365">
        <v>2400.34</v>
      </c>
      <c r="AR365">
        <f t="shared" si="55"/>
        <v>1.5554758950319407</v>
      </c>
      <c r="AS365">
        <f t="shared" si="56"/>
        <v>1.224625776761936</v>
      </c>
      <c r="BF365" s="749">
        <v>43224</v>
      </c>
      <c r="BG365">
        <v>6769.12</v>
      </c>
      <c r="BH365">
        <v>83000</v>
      </c>
      <c r="BI365">
        <v>1296.729</v>
      </c>
      <c r="BJ365">
        <v>47.58</v>
      </c>
      <c r="BK365">
        <v>2663.42</v>
      </c>
      <c r="BL365">
        <v>856.34</v>
      </c>
      <c r="BM365">
        <v>2111.17</v>
      </c>
      <c r="BN365" s="14">
        <f t="shared" si="65"/>
        <v>1.6941717307533244E-2</v>
      </c>
      <c r="BO365" s="14">
        <f t="shared" si="57"/>
        <v>-4.707233065442018E-2</v>
      </c>
      <c r="BP365" s="14">
        <f t="shared" si="58"/>
        <v>3.0700140290357281E-2</v>
      </c>
      <c r="BQ365" s="14">
        <f t="shared" si="59"/>
        <v>1.2626262626260765E-3</v>
      </c>
      <c r="BR365" s="14">
        <f t="shared" si="60"/>
        <v>-2.4307935473479869E-3</v>
      </c>
      <c r="BS365" s="14">
        <f t="shared" si="61"/>
        <v>-3.4010535933851505E-2</v>
      </c>
      <c r="BT365" s="14">
        <f t="shared" si="62"/>
        <v>-1.9665477915227103E-2</v>
      </c>
      <c r="BV365" s="749">
        <v>43224</v>
      </c>
      <c r="BW365">
        <f t="shared" si="63"/>
        <v>1.2797643644470926</v>
      </c>
      <c r="BX365">
        <f t="shared" si="64"/>
        <v>1.8628808426520787</v>
      </c>
    </row>
    <row r="366" spans="1:76" x14ac:dyDescent="0.3">
      <c r="A366" s="749">
        <v>43217</v>
      </c>
      <c r="B366">
        <v>87100</v>
      </c>
      <c r="C366">
        <v>1258.105</v>
      </c>
      <c r="D366">
        <v>53000</v>
      </c>
      <c r="E366">
        <v>47.52</v>
      </c>
      <c r="F366">
        <v>6656.35</v>
      </c>
      <c r="G366">
        <v>2438.09</v>
      </c>
      <c r="H366">
        <v>886.49</v>
      </c>
      <c r="I366">
        <v>320.8</v>
      </c>
      <c r="J366">
        <v>2153.52</v>
      </c>
      <c r="K366">
        <v>26170000</v>
      </c>
      <c r="L366">
        <v>2669.91</v>
      </c>
      <c r="AO366" s="749">
        <v>43217</v>
      </c>
      <c r="AP366">
        <v>6656.35</v>
      </c>
      <c r="AQ366">
        <v>2438.09</v>
      </c>
      <c r="AR366">
        <f t="shared" si="55"/>
        <v>1.5295624798933776</v>
      </c>
      <c r="AS366">
        <f t="shared" si="56"/>
        <v>1.2438853912635328</v>
      </c>
      <c r="BF366" s="749">
        <v>43217</v>
      </c>
      <c r="BG366">
        <v>6656.35</v>
      </c>
      <c r="BH366">
        <v>87100</v>
      </c>
      <c r="BI366">
        <v>1258.105</v>
      </c>
      <c r="BJ366">
        <v>47.52</v>
      </c>
      <c r="BK366">
        <v>2669.91</v>
      </c>
      <c r="BL366">
        <v>886.49</v>
      </c>
      <c r="BM366">
        <v>2153.52</v>
      </c>
      <c r="BN366" s="14">
        <f t="shared" si="65"/>
        <v>-1.7097221701473098E-3</v>
      </c>
      <c r="BO366" s="14">
        <f t="shared" si="57"/>
        <v>3.1990521327014187E-2</v>
      </c>
      <c r="BP366" s="14">
        <f t="shared" si="58"/>
        <v>-1.001158299943028E-2</v>
      </c>
      <c r="BQ366" s="14">
        <f t="shared" si="59"/>
        <v>-6.1240616357170929E-2</v>
      </c>
      <c r="BR366" s="14">
        <f t="shared" si="60"/>
        <v>-8.6137805508368359E-5</v>
      </c>
      <c r="BS366" s="14">
        <f t="shared" si="61"/>
        <v>-3.0140468076970128E-3</v>
      </c>
      <c r="BT366" s="14">
        <f t="shared" si="62"/>
        <v>1.105174696476019E-2</v>
      </c>
      <c r="BV366" s="749">
        <v>43217</v>
      </c>
      <c r="BW366">
        <f t="shared" si="63"/>
        <v>1.2828827876493143</v>
      </c>
      <c r="BX366">
        <f t="shared" si="64"/>
        <v>1.8073936054062132</v>
      </c>
    </row>
    <row r="367" spans="1:76" x14ac:dyDescent="0.3">
      <c r="A367" s="749">
        <v>43210</v>
      </c>
      <c r="B367">
        <v>84400</v>
      </c>
      <c r="C367">
        <v>1270.828</v>
      </c>
      <c r="D367">
        <v>51620</v>
      </c>
      <c r="E367">
        <v>50.62</v>
      </c>
      <c r="F367">
        <v>6667.75</v>
      </c>
      <c r="G367">
        <v>2412.4899999999998</v>
      </c>
      <c r="H367">
        <v>889.17</v>
      </c>
      <c r="I367">
        <v>317.89</v>
      </c>
      <c r="J367">
        <v>2129.98</v>
      </c>
      <c r="K367">
        <v>17860000</v>
      </c>
      <c r="L367">
        <v>2670.14</v>
      </c>
      <c r="AO367" s="749">
        <v>43210</v>
      </c>
      <c r="AP367">
        <v>6667.75</v>
      </c>
      <c r="AQ367">
        <v>2412.4899999999998</v>
      </c>
      <c r="AR367">
        <f t="shared" si="55"/>
        <v>1.5321820855737855</v>
      </c>
      <c r="AS367">
        <f t="shared" si="56"/>
        <v>1.2308245665949</v>
      </c>
      <c r="BF367" s="749">
        <v>43210</v>
      </c>
      <c r="BG367">
        <v>6667.75</v>
      </c>
      <c r="BH367">
        <v>84400</v>
      </c>
      <c r="BI367">
        <v>1270.828</v>
      </c>
      <c r="BJ367">
        <v>50.62</v>
      </c>
      <c r="BK367">
        <v>2670.14</v>
      </c>
      <c r="BL367">
        <v>889.17</v>
      </c>
      <c r="BM367">
        <v>2129.98</v>
      </c>
      <c r="BN367" s="14">
        <f t="shared" si="65"/>
        <v>5.9456817242324878E-3</v>
      </c>
      <c r="BO367" s="14">
        <f t="shared" si="57"/>
        <v>2.3752969121140222E-3</v>
      </c>
      <c r="BP367" s="14">
        <f t="shared" si="58"/>
        <v>-4.4056816737212401E-2</v>
      </c>
      <c r="BQ367" s="14">
        <f t="shared" si="59"/>
        <v>-3.0825196247367459E-2</v>
      </c>
      <c r="BR367" s="14">
        <f t="shared" si="60"/>
        <v>5.2102548657906311E-3</v>
      </c>
      <c r="BS367" s="14">
        <f t="shared" si="61"/>
        <v>-3.0273470348818332E-3</v>
      </c>
      <c r="BT367" s="14">
        <f t="shared" si="62"/>
        <v>8.5180327558369573E-3</v>
      </c>
      <c r="BV367" s="749">
        <v>43210</v>
      </c>
      <c r="BW367">
        <f t="shared" si="63"/>
        <v>1.2829933018768198</v>
      </c>
      <c r="BX367">
        <f t="shared" si="64"/>
        <v>1.8256714668260337</v>
      </c>
    </row>
    <row r="368" spans="1:76" x14ac:dyDescent="0.3">
      <c r="A368" s="749">
        <v>43203</v>
      </c>
      <c r="B368">
        <v>84200</v>
      </c>
      <c r="C368">
        <v>1329.3969999999999</v>
      </c>
      <c r="D368">
        <v>49800</v>
      </c>
      <c r="E368">
        <v>52.23</v>
      </c>
      <c r="F368">
        <v>6628.34</v>
      </c>
      <c r="G368">
        <v>2390.84</v>
      </c>
      <c r="H368">
        <v>891.87</v>
      </c>
      <c r="I368">
        <v>314.86</v>
      </c>
      <c r="J368">
        <v>2111.9899999999998</v>
      </c>
      <c r="K368">
        <v>17970000</v>
      </c>
      <c r="L368">
        <v>2656.3</v>
      </c>
      <c r="AO368" s="749">
        <v>43203</v>
      </c>
      <c r="AP368">
        <v>6628.34</v>
      </c>
      <c r="AQ368">
        <v>2390.84</v>
      </c>
      <c r="AR368">
        <f t="shared" si="55"/>
        <v>1.5231260627786203</v>
      </c>
      <c r="AS368">
        <f t="shared" si="56"/>
        <v>1.2197789863575605</v>
      </c>
      <c r="BF368" s="749">
        <v>43203</v>
      </c>
      <c r="BG368">
        <v>6628.34</v>
      </c>
      <c r="BH368">
        <v>84200</v>
      </c>
      <c r="BI368">
        <v>1329.3969999999999</v>
      </c>
      <c r="BJ368">
        <v>52.23</v>
      </c>
      <c r="BK368">
        <v>2656.3</v>
      </c>
      <c r="BL368">
        <v>891.87</v>
      </c>
      <c r="BM368">
        <v>2111.9899999999998</v>
      </c>
      <c r="BN368" s="14">
        <f t="shared" si="65"/>
        <v>3.0331669570867525E-2</v>
      </c>
      <c r="BO368" s="14">
        <f t="shared" si="57"/>
        <v>4.8567870485678677E-2</v>
      </c>
      <c r="BP368" s="14">
        <f t="shared" si="58"/>
        <v>5.0696580051578621E-2</v>
      </c>
      <c r="BQ368" s="14">
        <f t="shared" si="59"/>
        <v>7.7796120511762101E-2</v>
      </c>
      <c r="BR368" s="14">
        <f t="shared" si="60"/>
        <v>1.9900402001175044E-2</v>
      </c>
      <c r="BS368" s="14">
        <f t="shared" si="61"/>
        <v>2.7547352412553572E-2</v>
      </c>
      <c r="BT368" s="14">
        <f t="shared" si="62"/>
        <v>1.0105889442621585E-2</v>
      </c>
      <c r="BV368" s="749">
        <v>43203</v>
      </c>
      <c r="BW368">
        <f t="shared" si="63"/>
        <v>1.276343228360834</v>
      </c>
      <c r="BX368">
        <f t="shared" si="64"/>
        <v>1.9098116904759168</v>
      </c>
    </row>
    <row r="369" spans="1:76" x14ac:dyDescent="0.3">
      <c r="A369" s="749">
        <v>43196</v>
      </c>
      <c r="B369">
        <v>80300</v>
      </c>
      <c r="C369">
        <v>1265.2529999999999</v>
      </c>
      <c r="D369">
        <v>48400</v>
      </c>
      <c r="E369">
        <v>48.46</v>
      </c>
      <c r="F369">
        <v>6433.21</v>
      </c>
      <c r="G369">
        <v>2366.09</v>
      </c>
      <c r="H369">
        <v>867.96</v>
      </c>
      <c r="I369">
        <v>311.61</v>
      </c>
      <c r="J369">
        <v>2090.86</v>
      </c>
      <c r="K369">
        <v>17810000</v>
      </c>
      <c r="L369">
        <v>2604.4699999999998</v>
      </c>
      <c r="AO369" s="749">
        <v>43196</v>
      </c>
      <c r="AP369">
        <v>6433.21</v>
      </c>
      <c r="AQ369">
        <v>2366.09</v>
      </c>
      <c r="AR369">
        <f t="shared" si="55"/>
        <v>1.4782871455489681</v>
      </c>
      <c r="AS369">
        <f t="shared" si="56"/>
        <v>1.2071518218830037</v>
      </c>
      <c r="BF369" s="749">
        <v>43196</v>
      </c>
      <c r="BG369">
        <v>6433.21</v>
      </c>
      <c r="BH369">
        <v>80300</v>
      </c>
      <c r="BI369">
        <v>1265.2529999999999</v>
      </c>
      <c r="BJ369">
        <v>48.46</v>
      </c>
      <c r="BK369">
        <v>2604.4699999999998</v>
      </c>
      <c r="BL369">
        <v>867.96</v>
      </c>
      <c r="BM369">
        <v>2090.86</v>
      </c>
      <c r="BN369" s="14">
        <f t="shared" si="65"/>
        <v>-2.247638323509793E-2</v>
      </c>
      <c r="BO369" s="14">
        <f t="shared" si="57"/>
        <v>-1.2300123001230068E-2</v>
      </c>
      <c r="BP369" s="14">
        <f t="shared" si="58"/>
        <v>-4.7895932130435637E-2</v>
      </c>
      <c r="BQ369" s="14">
        <f t="shared" si="59"/>
        <v>-7.0579209819716104E-2</v>
      </c>
      <c r="BR369" s="14">
        <f t="shared" si="60"/>
        <v>-1.3783336551969616E-2</v>
      </c>
      <c r="BS369" s="14">
        <f t="shared" si="61"/>
        <v>-3.593199324983587E-3</v>
      </c>
      <c r="BT369" s="14">
        <f t="shared" si="62"/>
        <v>-1.1086411578300148E-2</v>
      </c>
      <c r="BV369" s="749">
        <v>43196</v>
      </c>
      <c r="BW369">
        <f t="shared" si="63"/>
        <v>1.2514390874407788</v>
      </c>
      <c r="BX369">
        <f t="shared" si="64"/>
        <v>1.8176624219926216</v>
      </c>
    </row>
    <row r="370" spans="1:76" x14ac:dyDescent="0.3">
      <c r="A370" s="749">
        <v>43189</v>
      </c>
      <c r="B370">
        <v>81300</v>
      </c>
      <c r="C370">
        <v>1328.902</v>
      </c>
      <c r="D370">
        <v>49220</v>
      </c>
      <c r="E370">
        <v>52.14</v>
      </c>
      <c r="F370">
        <v>6581.13</v>
      </c>
      <c r="G370">
        <v>2389.64</v>
      </c>
      <c r="H370">
        <v>871.09</v>
      </c>
      <c r="I370">
        <v>314.61</v>
      </c>
      <c r="J370">
        <v>2114.3000000000002</v>
      </c>
      <c r="K370">
        <v>25430000</v>
      </c>
      <c r="L370">
        <v>2640.87</v>
      </c>
      <c r="AO370" s="749">
        <v>43189</v>
      </c>
      <c r="AP370">
        <v>6581.13</v>
      </c>
      <c r="AQ370">
        <v>2389.64</v>
      </c>
      <c r="AR370">
        <f t="shared" si="55"/>
        <v>1.5122776782021232</v>
      </c>
      <c r="AS370">
        <f t="shared" si="56"/>
        <v>1.2191667602012184</v>
      </c>
      <c r="BF370" s="749">
        <v>43189</v>
      </c>
      <c r="BG370">
        <v>6581.13</v>
      </c>
      <c r="BH370">
        <v>81300</v>
      </c>
      <c r="BI370">
        <v>1328.902</v>
      </c>
      <c r="BJ370">
        <v>52.14</v>
      </c>
      <c r="BK370">
        <v>2640.87</v>
      </c>
      <c r="BL370">
        <v>871.09</v>
      </c>
      <c r="BM370">
        <v>2114.3000000000002</v>
      </c>
      <c r="BN370" s="14">
        <f t="shared" si="65"/>
        <v>1.1222954814699815E-2</v>
      </c>
      <c r="BO370" s="14">
        <f t="shared" si="57"/>
        <v>-2.166064981949456E-2</v>
      </c>
      <c r="BP370" s="14">
        <f t="shared" si="58"/>
        <v>3.7600345639177135E-3</v>
      </c>
      <c r="BQ370" s="14">
        <f t="shared" si="59"/>
        <v>-3.8184836745987827E-2</v>
      </c>
      <c r="BR370" s="14">
        <f t="shared" si="60"/>
        <v>2.0326396884393194E-2</v>
      </c>
      <c r="BS370" s="14">
        <f t="shared" si="61"/>
        <v>4.9910808986597388E-2</v>
      </c>
      <c r="BT370" s="14">
        <f t="shared" si="62"/>
        <v>2.3324389157004521E-3</v>
      </c>
      <c r="BV370" s="749">
        <v>43189</v>
      </c>
      <c r="BW370">
        <f t="shared" si="63"/>
        <v>1.2689291651851353</v>
      </c>
      <c r="BX370">
        <f t="shared" si="64"/>
        <v>1.9091005734907083</v>
      </c>
    </row>
    <row r="371" spans="1:76" x14ac:dyDescent="0.3">
      <c r="A371" s="749">
        <v>43182</v>
      </c>
      <c r="B371">
        <v>83100</v>
      </c>
      <c r="C371">
        <v>1323.924</v>
      </c>
      <c r="D371">
        <v>49720</v>
      </c>
      <c r="E371">
        <v>54.21</v>
      </c>
      <c r="F371">
        <v>6508.09</v>
      </c>
      <c r="G371">
        <v>2378.81</v>
      </c>
      <c r="H371">
        <v>829.68</v>
      </c>
      <c r="I371">
        <v>312.42</v>
      </c>
      <c r="J371">
        <v>2109.38</v>
      </c>
      <c r="K371">
        <v>19780000</v>
      </c>
      <c r="L371">
        <v>2588.2600000000002</v>
      </c>
      <c r="AO371" s="749">
        <v>43182</v>
      </c>
      <c r="AP371">
        <v>6508.09</v>
      </c>
      <c r="AQ371">
        <v>2378.81</v>
      </c>
      <c r="AR371">
        <f t="shared" si="55"/>
        <v>1.4954938186497542</v>
      </c>
      <c r="AS371">
        <f t="shared" si="56"/>
        <v>1.2136414191402305</v>
      </c>
      <c r="BF371" s="749">
        <v>43182</v>
      </c>
      <c r="BG371">
        <v>6508.09</v>
      </c>
      <c r="BH371">
        <v>83100</v>
      </c>
      <c r="BI371">
        <v>1323.924</v>
      </c>
      <c r="BJ371">
        <v>54.21</v>
      </c>
      <c r="BK371">
        <v>2588.2600000000002</v>
      </c>
      <c r="BL371">
        <v>829.68</v>
      </c>
      <c r="BM371">
        <v>2109.38</v>
      </c>
      <c r="BN371" s="14">
        <f t="shared" si="65"/>
        <v>-7.2915049252487485E-2</v>
      </c>
      <c r="BO371" s="14">
        <f t="shared" si="57"/>
        <v>-7.4610244988864149E-2</v>
      </c>
      <c r="BP371" s="14">
        <f t="shared" si="58"/>
        <v>-6.9325848146593705E-2</v>
      </c>
      <c r="BQ371" s="14">
        <f t="shared" si="59"/>
        <v>-0.10515021459227469</v>
      </c>
      <c r="BR371" s="14">
        <f t="shared" si="60"/>
        <v>-5.9501964019026077E-2</v>
      </c>
      <c r="BS371" s="14">
        <f t="shared" si="61"/>
        <v>-7.2392473418825376E-2</v>
      </c>
      <c r="BT371" s="14">
        <f t="shared" si="62"/>
        <v>-3.3352274810279581E-2</v>
      </c>
      <c r="BV371" s="749">
        <v>43182</v>
      </c>
      <c r="BW371">
        <f t="shared" si="63"/>
        <v>1.2436502368848443</v>
      </c>
      <c r="BX371">
        <f t="shared" si="64"/>
        <v>1.9019491788394571</v>
      </c>
    </row>
    <row r="372" spans="1:76" x14ac:dyDescent="0.3">
      <c r="A372" s="749">
        <v>43175</v>
      </c>
      <c r="B372">
        <v>89800</v>
      </c>
      <c r="C372">
        <v>1422.5429999999999</v>
      </c>
      <c r="D372">
        <v>51140</v>
      </c>
      <c r="E372">
        <v>60.58</v>
      </c>
      <c r="F372">
        <v>7019.95</v>
      </c>
      <c r="G372">
        <v>2457.9299999999998</v>
      </c>
      <c r="H372">
        <v>894.43</v>
      </c>
      <c r="I372">
        <v>322.88</v>
      </c>
      <c r="J372">
        <v>2182.16</v>
      </c>
      <c r="K372">
        <v>26570000</v>
      </c>
      <c r="L372">
        <v>2752.01</v>
      </c>
      <c r="AO372" s="749">
        <v>43175</v>
      </c>
      <c r="AP372">
        <v>7019.95</v>
      </c>
      <c r="AQ372">
        <v>2457.9299999999998</v>
      </c>
      <c r="AR372">
        <f t="shared" si="55"/>
        <v>1.613114113700078</v>
      </c>
      <c r="AS372">
        <f t="shared" si="56"/>
        <v>1.2540075303817229</v>
      </c>
      <c r="BF372" s="749">
        <v>43175</v>
      </c>
      <c r="BG372">
        <v>7019.95</v>
      </c>
      <c r="BH372">
        <v>89800</v>
      </c>
      <c r="BI372">
        <v>1422.5429999999999</v>
      </c>
      <c r="BJ372">
        <v>60.58</v>
      </c>
      <c r="BK372">
        <v>2752.01</v>
      </c>
      <c r="BL372">
        <v>894.43</v>
      </c>
      <c r="BM372">
        <v>2182.16</v>
      </c>
      <c r="BN372" s="14">
        <f t="shared" si="65"/>
        <v>-1.143894395016043E-2</v>
      </c>
      <c r="BO372" s="14">
        <f t="shared" si="57"/>
        <v>7.8031212484994006E-2</v>
      </c>
      <c r="BP372" s="14">
        <f t="shared" si="58"/>
        <v>-6.021684492520496E-3</v>
      </c>
      <c r="BQ372" s="14">
        <f t="shared" si="59"/>
        <v>0.10972705623740597</v>
      </c>
      <c r="BR372" s="14">
        <f t="shared" si="60"/>
        <v>-1.2402344100453266E-2</v>
      </c>
      <c r="BS372" s="14">
        <f t="shared" si="61"/>
        <v>3.306768306768304E-2</v>
      </c>
      <c r="BT372" s="14">
        <f t="shared" si="62"/>
        <v>1.9963074621982324E-2</v>
      </c>
      <c r="BV372" s="749">
        <v>43175</v>
      </c>
      <c r="BW372">
        <f t="shared" si="63"/>
        <v>1.3223315619023825</v>
      </c>
      <c r="BX372">
        <f t="shared" si="64"/>
        <v>2.0436252312925953</v>
      </c>
    </row>
    <row r="373" spans="1:76" x14ac:dyDescent="0.3">
      <c r="A373" s="749">
        <v>43168</v>
      </c>
      <c r="B373">
        <v>83300</v>
      </c>
      <c r="C373">
        <v>1431.1610000000001</v>
      </c>
      <c r="D373">
        <v>49740</v>
      </c>
      <c r="E373">
        <v>54.59</v>
      </c>
      <c r="F373">
        <v>7101.18</v>
      </c>
      <c r="G373">
        <v>2415.58</v>
      </c>
      <c r="H373">
        <v>865.8</v>
      </c>
      <c r="I373">
        <v>317.67</v>
      </c>
      <c r="J373">
        <v>2139.4499999999998</v>
      </c>
      <c r="K373">
        <v>25600000</v>
      </c>
      <c r="L373">
        <v>2786.57</v>
      </c>
      <c r="AO373" s="749">
        <v>43168</v>
      </c>
      <c r="AP373">
        <v>7101.18</v>
      </c>
      <c r="AQ373">
        <v>2415.58</v>
      </c>
      <c r="AR373">
        <f t="shared" si="55"/>
        <v>1.6317799531228456</v>
      </c>
      <c r="AS373">
        <f t="shared" si="56"/>
        <v>1.2324010489474813</v>
      </c>
      <c r="BF373" s="749">
        <v>43168</v>
      </c>
      <c r="BG373">
        <v>7101.18</v>
      </c>
      <c r="BH373">
        <v>83300</v>
      </c>
      <c r="BI373">
        <v>1431.1610000000001</v>
      </c>
      <c r="BJ373">
        <v>54.59</v>
      </c>
      <c r="BK373">
        <v>2786.57</v>
      </c>
      <c r="BL373">
        <v>865.8</v>
      </c>
      <c r="BM373">
        <v>2139.4499999999998</v>
      </c>
      <c r="BN373" s="14">
        <f t="shared" si="65"/>
        <v>4.2598487162019305E-2</v>
      </c>
      <c r="BO373" s="14">
        <f t="shared" si="57"/>
        <v>7.622739018087854E-2</v>
      </c>
      <c r="BP373" s="14">
        <f t="shared" si="58"/>
        <v>4.9406759589699645E-2</v>
      </c>
      <c r="BQ373" s="14">
        <f t="shared" si="59"/>
        <v>0.11158623498269193</v>
      </c>
      <c r="BR373" s="14">
        <f t="shared" si="60"/>
        <v>3.5418485833720537E-2</v>
      </c>
      <c r="BS373" s="14">
        <f t="shared" si="61"/>
        <v>6.4750124966577172E-3</v>
      </c>
      <c r="BT373" s="14">
        <f t="shared" si="62"/>
        <v>3.2488309131183613E-2</v>
      </c>
      <c r="BV373" s="749">
        <v>43168</v>
      </c>
      <c r="BW373">
        <f t="shared" si="63"/>
        <v>1.3389375258266947</v>
      </c>
      <c r="BX373">
        <f t="shared" si="64"/>
        <v>2.0560058498350786</v>
      </c>
    </row>
    <row r="374" spans="1:76" x14ac:dyDescent="0.3">
      <c r="A374" s="749">
        <v>43161</v>
      </c>
      <c r="B374">
        <v>77400</v>
      </c>
      <c r="C374">
        <v>1363.7809999999999</v>
      </c>
      <c r="D374">
        <v>46020</v>
      </c>
      <c r="E374">
        <v>49.11</v>
      </c>
      <c r="F374">
        <v>6811.04</v>
      </c>
      <c r="G374">
        <v>2341.83</v>
      </c>
      <c r="H374">
        <v>860.23</v>
      </c>
      <c r="I374">
        <v>308.35000000000002</v>
      </c>
      <c r="J374">
        <v>2072.13</v>
      </c>
      <c r="K374">
        <v>11500000</v>
      </c>
      <c r="L374">
        <v>2691.25</v>
      </c>
      <c r="AO374" s="749">
        <v>43161</v>
      </c>
      <c r="AP374">
        <v>6811.04</v>
      </c>
      <c r="AQ374">
        <v>2341.83</v>
      </c>
      <c r="AR374">
        <f t="shared" si="55"/>
        <v>1.5651086906567397</v>
      </c>
      <c r="AS374">
        <f t="shared" si="56"/>
        <v>1.1947746497556198</v>
      </c>
      <c r="BF374" s="749">
        <v>43161</v>
      </c>
      <c r="BG374">
        <v>6811.04</v>
      </c>
      <c r="BH374">
        <v>77400</v>
      </c>
      <c r="BI374">
        <v>1363.7809999999999</v>
      </c>
      <c r="BJ374">
        <v>49.11</v>
      </c>
      <c r="BK374">
        <v>2691.25</v>
      </c>
      <c r="BL374">
        <v>860.23</v>
      </c>
      <c r="BM374">
        <v>2072.13</v>
      </c>
      <c r="BN374" s="14">
        <f t="shared" si="65"/>
        <v>-1.2406113157207965E-2</v>
      </c>
      <c r="BO374" s="14">
        <f t="shared" si="57"/>
        <v>1.2936610608020871E-3</v>
      </c>
      <c r="BP374" s="14">
        <f t="shared" si="58"/>
        <v>9.391662447856941E-3</v>
      </c>
      <c r="BQ374" s="14">
        <f t="shared" si="59"/>
        <v>5.544809800128947E-2</v>
      </c>
      <c r="BR374" s="14">
        <f t="shared" si="60"/>
        <v>-2.0401849088195756E-2</v>
      </c>
      <c r="BS374" s="14">
        <f t="shared" si="61"/>
        <v>-1.6632753377992082E-2</v>
      </c>
      <c r="BT374" s="14">
        <f t="shared" si="62"/>
        <v>-2.455408630648348E-2</v>
      </c>
      <c r="BV374" s="749">
        <v>43161</v>
      </c>
      <c r="BW374">
        <f t="shared" si="63"/>
        <v>1.2931365859752642</v>
      </c>
      <c r="BX374">
        <f t="shared" si="64"/>
        <v>1.959207743848479</v>
      </c>
    </row>
    <row r="375" spans="1:76" x14ac:dyDescent="0.3">
      <c r="A375" s="749">
        <v>43154</v>
      </c>
      <c r="B375">
        <v>77300</v>
      </c>
      <c r="C375">
        <v>1351.0920000000001</v>
      </c>
      <c r="D375">
        <v>47220</v>
      </c>
      <c r="E375">
        <v>46.53</v>
      </c>
      <c r="F375">
        <v>6896.6</v>
      </c>
      <c r="G375">
        <v>2403.79</v>
      </c>
      <c r="H375">
        <v>874.78</v>
      </c>
      <c r="I375">
        <v>316.81</v>
      </c>
      <c r="J375">
        <v>2124.29</v>
      </c>
      <c r="K375">
        <v>12800000</v>
      </c>
      <c r="L375">
        <v>2747.3</v>
      </c>
      <c r="AO375" s="749">
        <v>43154</v>
      </c>
      <c r="AP375">
        <v>6896.6</v>
      </c>
      <c r="AQ375">
        <v>2403.79</v>
      </c>
      <c r="AR375">
        <f t="shared" si="55"/>
        <v>1.5847695206581185</v>
      </c>
      <c r="AS375">
        <f t="shared" si="56"/>
        <v>1.2263859269614195</v>
      </c>
      <c r="BF375" s="749">
        <v>43154</v>
      </c>
      <c r="BG375">
        <v>6896.6</v>
      </c>
      <c r="BH375">
        <v>77300</v>
      </c>
      <c r="BI375">
        <v>1351.0920000000001</v>
      </c>
      <c r="BJ375">
        <v>46.53</v>
      </c>
      <c r="BK375">
        <v>2747.3</v>
      </c>
      <c r="BL375">
        <v>874.78</v>
      </c>
      <c r="BM375">
        <v>2124.29</v>
      </c>
      <c r="BN375" s="14">
        <f t="shared" si="65"/>
        <v>1.8600845412411804E-2</v>
      </c>
      <c r="BO375" s="14">
        <f t="shared" si="57"/>
        <v>-3.8659793814432852E-3</v>
      </c>
      <c r="BP375" s="14">
        <f t="shared" si="58"/>
        <v>2.4858133944616112E-2</v>
      </c>
      <c r="BQ375" s="14">
        <f t="shared" si="59"/>
        <v>5.2476815200180882E-2</v>
      </c>
      <c r="BR375" s="14">
        <f t="shared" si="60"/>
        <v>5.5193212845232598E-3</v>
      </c>
      <c r="BS375" s="14">
        <f t="shared" si="61"/>
        <v>3.1543695388134951E-2</v>
      </c>
      <c r="BT375" s="14">
        <f t="shared" si="62"/>
        <v>3.9747055598615688E-3</v>
      </c>
      <c r="BV375" s="749">
        <v>43154</v>
      </c>
      <c r="BW375">
        <f t="shared" si="63"/>
        <v>1.3200684227217254</v>
      </c>
      <c r="BX375">
        <f t="shared" si="64"/>
        <v>1.9409787268276426</v>
      </c>
    </row>
    <row r="376" spans="1:76" x14ac:dyDescent="0.3">
      <c r="A376" s="749">
        <v>43147</v>
      </c>
      <c r="B376">
        <v>77600</v>
      </c>
      <c r="C376">
        <v>1318.3209999999999</v>
      </c>
      <c r="D376">
        <v>49000</v>
      </c>
      <c r="E376">
        <v>44.21</v>
      </c>
      <c r="F376">
        <v>6770.66</v>
      </c>
      <c r="G376">
        <v>2389.59</v>
      </c>
      <c r="H376">
        <v>848.03</v>
      </c>
      <c r="I376">
        <v>314.39999999999998</v>
      </c>
      <c r="J376">
        <v>2115.88</v>
      </c>
      <c r="K376">
        <v>15080000</v>
      </c>
      <c r="L376">
        <v>2732.22</v>
      </c>
      <c r="AO376" s="749">
        <v>43147</v>
      </c>
      <c r="AP376">
        <v>6770.66</v>
      </c>
      <c r="AQ376">
        <v>2389.59</v>
      </c>
      <c r="AR376">
        <f t="shared" si="55"/>
        <v>1.5558297715887677</v>
      </c>
      <c r="AS376">
        <f t="shared" si="56"/>
        <v>1.2191412507780375</v>
      </c>
      <c r="BF376" s="749">
        <v>43147</v>
      </c>
      <c r="BG376">
        <v>6770.66</v>
      </c>
      <c r="BH376">
        <v>77600</v>
      </c>
      <c r="BI376">
        <v>1318.3209999999999</v>
      </c>
      <c r="BJ376">
        <v>44.21</v>
      </c>
      <c r="BK376">
        <v>2732.22</v>
      </c>
      <c r="BL376">
        <v>848.03</v>
      </c>
      <c r="BM376">
        <v>2115.88</v>
      </c>
      <c r="BN376" s="14">
        <f t="shared" si="65"/>
        <v>5.5823774147470306E-2</v>
      </c>
      <c r="BO376" s="14">
        <f t="shared" si="57"/>
        <v>5.7220708446866553E-2</v>
      </c>
      <c r="BP376" s="14">
        <f t="shared" si="58"/>
        <v>4.9775762614149288E-2</v>
      </c>
      <c r="BQ376" s="14">
        <f t="shared" si="59"/>
        <v>9.4036129670873603E-2</v>
      </c>
      <c r="BR376" s="14">
        <f t="shared" si="60"/>
        <v>4.3011204214464138E-2</v>
      </c>
      <c r="BS376" s="14">
        <f t="shared" si="61"/>
        <v>6.4443389508663795E-3</v>
      </c>
      <c r="BT376" s="14">
        <f t="shared" si="62"/>
        <v>4.2618717939873596E-2</v>
      </c>
      <c r="BV376" s="749">
        <v>43147</v>
      </c>
      <c r="BW376">
        <f t="shared" si="63"/>
        <v>1.3128225333704917</v>
      </c>
      <c r="BX376">
        <f t="shared" si="64"/>
        <v>1.8938999092068818</v>
      </c>
    </row>
    <row r="377" spans="1:76" x14ac:dyDescent="0.3">
      <c r="A377" s="749">
        <v>43140</v>
      </c>
      <c r="B377">
        <v>73400</v>
      </c>
      <c r="C377">
        <v>1255.8119999999999</v>
      </c>
      <c r="D377">
        <v>44700</v>
      </c>
      <c r="E377">
        <v>40.409999999999997</v>
      </c>
      <c r="F377">
        <v>6412.68</v>
      </c>
      <c r="G377">
        <v>2306.2399999999998</v>
      </c>
      <c r="H377">
        <v>842.6</v>
      </c>
      <c r="I377">
        <v>304.83</v>
      </c>
      <c r="J377">
        <v>2029.39</v>
      </c>
      <c r="K377">
        <v>26450000</v>
      </c>
      <c r="L377">
        <v>2619.5500000000002</v>
      </c>
      <c r="AO377" s="749">
        <v>43140</v>
      </c>
      <c r="AP377">
        <v>6412.68</v>
      </c>
      <c r="AQ377">
        <v>2306.2399999999998</v>
      </c>
      <c r="AR377">
        <f t="shared" si="55"/>
        <v>1.473569557424514</v>
      </c>
      <c r="AS377">
        <f t="shared" si="56"/>
        <v>1.1766170423354387</v>
      </c>
      <c r="BF377" s="749">
        <v>43140</v>
      </c>
      <c r="BG377">
        <v>6412.68</v>
      </c>
      <c r="BH377">
        <v>73400</v>
      </c>
      <c r="BI377">
        <v>1255.8119999999999</v>
      </c>
      <c r="BJ377">
        <v>40.409999999999997</v>
      </c>
      <c r="BK377">
        <v>2619.5500000000002</v>
      </c>
      <c r="BL377">
        <v>842.6</v>
      </c>
      <c r="BM377">
        <v>2029.39</v>
      </c>
      <c r="BN377" s="14">
        <f t="shared" si="65"/>
        <v>-5.1419391771654666E-2</v>
      </c>
      <c r="BO377" s="14">
        <f t="shared" si="57"/>
        <v>1.6620498614958512E-2</v>
      </c>
      <c r="BP377" s="14">
        <f t="shared" si="58"/>
        <v>-4.7171321633131869E-2</v>
      </c>
      <c r="BQ377" s="14">
        <f t="shared" si="59"/>
        <v>-1.0044096031357252E-2</v>
      </c>
      <c r="BR377" s="14">
        <f t="shared" si="60"/>
        <v>-5.161958343741968E-2</v>
      </c>
      <c r="BS377" s="14">
        <f t="shared" si="61"/>
        <v>-6.3226122049651501E-2</v>
      </c>
      <c r="BT377" s="14">
        <f t="shared" si="62"/>
        <v>-6.6835575746985731E-2</v>
      </c>
      <c r="BV377" s="749">
        <v>43140</v>
      </c>
      <c r="BW377">
        <f t="shared" si="63"/>
        <v>1.2586849767920123</v>
      </c>
      <c r="BX377">
        <f t="shared" si="64"/>
        <v>1.8040994816747307</v>
      </c>
    </row>
    <row r="378" spans="1:76" x14ac:dyDescent="0.3">
      <c r="A378" s="749">
        <v>43133</v>
      </c>
      <c r="B378">
        <v>72200</v>
      </c>
      <c r="C378">
        <v>1317.9829999999999</v>
      </c>
      <c r="D378">
        <v>47700</v>
      </c>
      <c r="E378">
        <v>40.82</v>
      </c>
      <c r="F378">
        <v>6760.29</v>
      </c>
      <c r="G378">
        <v>2475.04</v>
      </c>
      <c r="H378">
        <v>899.47</v>
      </c>
      <c r="I378">
        <v>327.01</v>
      </c>
      <c r="J378">
        <v>2174.7399999999998</v>
      </c>
      <c r="K378">
        <v>22190000</v>
      </c>
      <c r="L378">
        <v>2762.13</v>
      </c>
      <c r="AO378" s="749">
        <v>43133</v>
      </c>
      <c r="AP378">
        <v>6760.29</v>
      </c>
      <c r="AQ378">
        <v>2475.04</v>
      </c>
      <c r="AR378">
        <f t="shared" si="55"/>
        <v>1.5534468495794842</v>
      </c>
      <c r="AS378">
        <f t="shared" si="56"/>
        <v>1.2627368549942348</v>
      </c>
      <c r="BF378" s="749">
        <v>43133</v>
      </c>
      <c r="BG378">
        <v>6760.29</v>
      </c>
      <c r="BH378">
        <v>72200</v>
      </c>
      <c r="BI378">
        <v>1317.9829999999999</v>
      </c>
      <c r="BJ378">
        <v>40.82</v>
      </c>
      <c r="BK378">
        <v>2762.13</v>
      </c>
      <c r="BL378">
        <v>899.47</v>
      </c>
      <c r="BM378">
        <v>2174.7399999999998</v>
      </c>
      <c r="BN378" s="14">
        <f t="shared" si="65"/>
        <v>-3.7402979081499699E-2</v>
      </c>
      <c r="BO378" s="14">
        <f t="shared" si="57"/>
        <v>-4.3708609271523202E-2</v>
      </c>
      <c r="BP378" s="14">
        <f t="shared" si="58"/>
        <v>-4.5820051503214776E-2</v>
      </c>
      <c r="BQ378" s="14">
        <f t="shared" si="59"/>
        <v>-6.5262193725669881E-2</v>
      </c>
      <c r="BR378" s="14">
        <f t="shared" si="60"/>
        <v>-3.8546819034623869E-2</v>
      </c>
      <c r="BS378" s="14">
        <f t="shared" si="61"/>
        <v>-1.4948747152619513E-2</v>
      </c>
      <c r="BT378" s="14">
        <f t="shared" si="62"/>
        <v>-2.8682959945689146E-2</v>
      </c>
      <c r="BV378" s="749">
        <v>43133</v>
      </c>
      <c r="BW378">
        <f t="shared" si="63"/>
        <v>1.3271941879126266</v>
      </c>
      <c r="BX378">
        <f t="shared" si="64"/>
        <v>1.8934143384169817</v>
      </c>
    </row>
    <row r="379" spans="1:76" x14ac:dyDescent="0.3">
      <c r="A379" s="749">
        <v>43126</v>
      </c>
      <c r="B379">
        <v>75500</v>
      </c>
      <c r="C379">
        <v>1381.2729999999999</v>
      </c>
      <c r="D379">
        <v>50780</v>
      </c>
      <c r="E379">
        <v>43.67</v>
      </c>
      <c r="F379">
        <v>7022.97</v>
      </c>
      <c r="G379">
        <v>2541.0300000000002</v>
      </c>
      <c r="H379">
        <v>913.12</v>
      </c>
      <c r="I379">
        <v>335.38</v>
      </c>
      <c r="J379">
        <v>2238.96</v>
      </c>
      <c r="K379">
        <v>27140000</v>
      </c>
      <c r="L379">
        <v>2872.87</v>
      </c>
      <c r="AO379" s="749">
        <v>43126</v>
      </c>
      <c r="AP379">
        <v>7022.97</v>
      </c>
      <c r="AQ379">
        <v>2541.0300000000002</v>
      </c>
      <c r="AR379">
        <f t="shared" si="55"/>
        <v>1.6138080794154144</v>
      </c>
      <c r="AS379">
        <f t="shared" si="56"/>
        <v>1.2964041917084173</v>
      </c>
      <c r="BF379" s="749">
        <v>43126</v>
      </c>
      <c r="BG379">
        <v>7022.97</v>
      </c>
      <c r="BH379">
        <v>75500</v>
      </c>
      <c r="BI379">
        <v>1381.2729999999999</v>
      </c>
      <c r="BJ379">
        <v>43.67</v>
      </c>
      <c r="BK379">
        <v>2872.87</v>
      </c>
      <c r="BL379">
        <v>913.12</v>
      </c>
      <c r="BM379">
        <v>2238.96</v>
      </c>
      <c r="BN379" s="14">
        <f t="shared" si="65"/>
        <v>2.7601827830965098E-2</v>
      </c>
      <c r="BO379" s="14">
        <f t="shared" si="57"/>
        <v>3.0013642564802101E-2</v>
      </c>
      <c r="BP379" s="14">
        <f t="shared" si="58"/>
        <v>6.735265649780775E-3</v>
      </c>
      <c r="BQ379" s="14">
        <f t="shared" si="59"/>
        <v>2.1520467836257273E-2</v>
      </c>
      <c r="BR379" s="14">
        <f t="shared" si="60"/>
        <v>2.2264526918834182E-2</v>
      </c>
      <c r="BS379" s="14">
        <f t="shared" si="61"/>
        <v>3.7648155092671498E-2</v>
      </c>
      <c r="BT379" s="14">
        <f t="shared" si="62"/>
        <v>1.3874800753513883E-2</v>
      </c>
      <c r="BV379" s="749">
        <v>43126</v>
      </c>
      <c r="BW379">
        <f t="shared" si="63"/>
        <v>1.3804043859733421</v>
      </c>
      <c r="BX379">
        <f t="shared" si="64"/>
        <v>1.9843367505257956</v>
      </c>
    </row>
    <row r="380" spans="1:76" x14ac:dyDescent="0.3">
      <c r="A380" s="749">
        <v>43119</v>
      </c>
      <c r="B380">
        <v>73300</v>
      </c>
      <c r="C380">
        <v>1372.0319999999999</v>
      </c>
      <c r="D380">
        <v>49320</v>
      </c>
      <c r="E380">
        <v>42.75</v>
      </c>
      <c r="F380">
        <v>6834.33</v>
      </c>
      <c r="G380">
        <v>2503.37</v>
      </c>
      <c r="H380">
        <v>879.99</v>
      </c>
      <c r="I380">
        <v>329.52</v>
      </c>
      <c r="J380">
        <v>2208.3200000000002</v>
      </c>
      <c r="K380">
        <v>21280000</v>
      </c>
      <c r="L380">
        <v>2810.3</v>
      </c>
      <c r="AO380" s="749">
        <v>43119</v>
      </c>
      <c r="AP380">
        <v>6834.33</v>
      </c>
      <c r="AQ380">
        <v>2503.37</v>
      </c>
      <c r="AR380">
        <f t="shared" si="55"/>
        <v>1.5704604991038191</v>
      </c>
      <c r="AS380">
        <f t="shared" si="56"/>
        <v>1.2771904941685459</v>
      </c>
      <c r="BF380" s="749">
        <v>43119</v>
      </c>
      <c r="BG380">
        <v>6834.33</v>
      </c>
      <c r="BH380">
        <v>73300</v>
      </c>
      <c r="BI380">
        <v>1372.0319999999999</v>
      </c>
      <c r="BJ380">
        <v>42.75</v>
      </c>
      <c r="BK380">
        <v>2810.3</v>
      </c>
      <c r="BL380">
        <v>879.99</v>
      </c>
      <c r="BM380">
        <v>2208.3200000000002</v>
      </c>
      <c r="BN380" s="14">
        <f t="shared" si="65"/>
        <v>1.1213960411568191E-2</v>
      </c>
      <c r="BO380" s="14">
        <f t="shared" si="57"/>
        <v>-1.4784946236559127E-2</v>
      </c>
      <c r="BP380" s="14">
        <f t="shared" si="58"/>
        <v>3.7763263885999931E-2</v>
      </c>
      <c r="BQ380" s="14">
        <f t="shared" si="59"/>
        <v>-1.4015416958654825E-3</v>
      </c>
      <c r="BR380" s="14">
        <f t="shared" si="60"/>
        <v>8.6352934420581562E-3</v>
      </c>
      <c r="BS380" s="14">
        <f t="shared" si="61"/>
        <v>7.9491438061967123E-3</v>
      </c>
      <c r="BT380" s="14">
        <f t="shared" si="62"/>
        <v>1.1408759692407955E-2</v>
      </c>
      <c r="BV380" s="749">
        <v>43119</v>
      </c>
      <c r="BW380">
        <f t="shared" si="63"/>
        <v>1.3503397111254194</v>
      </c>
      <c r="BX380">
        <f t="shared" si="64"/>
        <v>1.9710611302019285</v>
      </c>
    </row>
    <row r="381" spans="1:76" x14ac:dyDescent="0.3">
      <c r="A381" s="749">
        <v>43112</v>
      </c>
      <c r="B381">
        <v>74400</v>
      </c>
      <c r="C381">
        <v>1322.105</v>
      </c>
      <c r="D381">
        <v>48200</v>
      </c>
      <c r="E381">
        <v>42.81</v>
      </c>
      <c r="F381">
        <v>6758.54</v>
      </c>
      <c r="G381">
        <v>2479.62</v>
      </c>
      <c r="H381">
        <v>873.05</v>
      </c>
      <c r="I381">
        <v>326.72000000000003</v>
      </c>
      <c r="J381">
        <v>2183.41</v>
      </c>
      <c r="K381">
        <v>24870000</v>
      </c>
      <c r="L381">
        <v>2786.24</v>
      </c>
      <c r="AO381" s="749">
        <v>43112</v>
      </c>
      <c r="AP381">
        <v>6758.54</v>
      </c>
      <c r="AQ381">
        <v>2479.62</v>
      </c>
      <c r="AR381">
        <f t="shared" si="55"/>
        <v>1.5530447171285444</v>
      </c>
      <c r="AS381">
        <f t="shared" si="56"/>
        <v>1.2650735181576074</v>
      </c>
      <c r="BF381" s="749">
        <v>43112</v>
      </c>
      <c r="BG381">
        <v>6758.54</v>
      </c>
      <c r="BH381">
        <v>74400</v>
      </c>
      <c r="BI381">
        <v>1322.105</v>
      </c>
      <c r="BJ381">
        <v>42.81</v>
      </c>
      <c r="BK381">
        <v>2786.24</v>
      </c>
      <c r="BL381">
        <v>873.05</v>
      </c>
      <c r="BM381">
        <v>2183.41</v>
      </c>
      <c r="BN381" s="14">
        <f t="shared" si="65"/>
        <v>1.5819241307683862E-2</v>
      </c>
      <c r="BO381" s="14">
        <f t="shared" si="57"/>
        <v>-6.1790668348045363E-2</v>
      </c>
      <c r="BP381" s="14">
        <f t="shared" si="58"/>
        <v>-2.7177930585016163E-3</v>
      </c>
      <c r="BQ381" s="14">
        <f t="shared" si="59"/>
        <v>-6.5283842794759739E-2</v>
      </c>
      <c r="BR381" s="14">
        <f t="shared" si="60"/>
        <v>1.5708218653737394E-2</v>
      </c>
      <c r="BS381" s="14">
        <f t="shared" si="61"/>
        <v>5.4370010748402864E-2</v>
      </c>
      <c r="BT381" s="14">
        <f t="shared" si="62"/>
        <v>-1.5302118754904614E-2</v>
      </c>
      <c r="BV381" s="749">
        <v>43112</v>
      </c>
      <c r="BW381">
        <f t="shared" si="63"/>
        <v>1.3387789619350561</v>
      </c>
      <c r="BX381">
        <f t="shared" si="64"/>
        <v>1.8993360034938112</v>
      </c>
    </row>
    <row r="382" spans="1:76" x14ac:dyDescent="0.3">
      <c r="A382" s="749">
        <v>43105</v>
      </c>
      <c r="B382">
        <v>79300</v>
      </c>
      <c r="C382">
        <v>1325.7080000000001</v>
      </c>
      <c r="D382">
        <v>52120</v>
      </c>
      <c r="E382">
        <v>45.8</v>
      </c>
      <c r="F382">
        <v>6653.29</v>
      </c>
      <c r="G382">
        <v>2504.33</v>
      </c>
      <c r="H382">
        <v>828.03</v>
      </c>
      <c r="I382">
        <v>328.97</v>
      </c>
      <c r="J382">
        <v>2217.34</v>
      </c>
      <c r="K382">
        <v>12240000</v>
      </c>
      <c r="L382">
        <v>2743.15</v>
      </c>
      <c r="AO382" s="749">
        <v>43105</v>
      </c>
      <c r="AP382">
        <v>6653.29</v>
      </c>
      <c r="AQ382">
        <v>2504.33</v>
      </c>
      <c r="AR382">
        <f t="shared" si="55"/>
        <v>1.5288593225791627</v>
      </c>
      <c r="AS382">
        <f t="shared" si="56"/>
        <v>1.2776802750936196</v>
      </c>
      <c r="BF382" s="749">
        <v>43105</v>
      </c>
      <c r="BG382">
        <v>6653.29</v>
      </c>
      <c r="BH382">
        <v>79300</v>
      </c>
      <c r="BI382">
        <v>1325.7080000000001</v>
      </c>
      <c r="BJ382">
        <v>45.8</v>
      </c>
      <c r="BK382">
        <v>2743.15</v>
      </c>
      <c r="BL382">
        <v>828.03</v>
      </c>
      <c r="BM382">
        <v>2217.34</v>
      </c>
      <c r="BN382" s="14">
        <f t="shared" si="65"/>
        <v>4.0158401105618413E-2</v>
      </c>
      <c r="BO382" s="14">
        <f t="shared" si="57"/>
        <v>3.6601307189542576E-2</v>
      </c>
      <c r="BP382" s="14">
        <f t="shared" si="58"/>
        <v>5.7986605461243457E-2</v>
      </c>
      <c r="BQ382" s="14">
        <f t="shared" si="59"/>
        <v>0.11381322957198448</v>
      </c>
      <c r="BR382" s="14">
        <f t="shared" si="60"/>
        <v>2.6009777043024318E-2</v>
      </c>
      <c r="BS382" s="14">
        <f t="shared" si="61"/>
        <v>3.7085744345081606E-2</v>
      </c>
      <c r="BT382" s="14">
        <f t="shared" si="62"/>
        <v>1.1777160248775953E-2</v>
      </c>
      <c r="BV382" s="749">
        <v>43105</v>
      </c>
      <c r="BW382">
        <f t="shared" si="63"/>
        <v>1.3180743616602122</v>
      </c>
      <c r="BX382">
        <f t="shared" si="64"/>
        <v>1.9045120731861491</v>
      </c>
    </row>
    <row r="383" spans="1:76" x14ac:dyDescent="0.3">
      <c r="A383" s="749">
        <v>43098</v>
      </c>
      <c r="B383">
        <v>76500</v>
      </c>
      <c r="C383">
        <v>1253.048</v>
      </c>
      <c r="D383">
        <v>50960</v>
      </c>
      <c r="E383">
        <v>41.12</v>
      </c>
      <c r="F383">
        <v>6396.42</v>
      </c>
      <c r="G383">
        <v>2472.6799999999998</v>
      </c>
      <c r="H383">
        <v>798.42</v>
      </c>
      <c r="I383">
        <v>324.74</v>
      </c>
      <c r="J383">
        <v>2191.5300000000002</v>
      </c>
      <c r="K383">
        <v>13370000</v>
      </c>
      <c r="L383">
        <v>2673.61</v>
      </c>
      <c r="AO383" s="749">
        <v>43098</v>
      </c>
      <c r="AP383">
        <v>6396.42</v>
      </c>
      <c r="AQ383">
        <v>2472.6799999999998</v>
      </c>
      <c r="AR383">
        <f t="shared" si="55"/>
        <v>1.4698331724803528</v>
      </c>
      <c r="AS383">
        <f t="shared" si="56"/>
        <v>1.2615328102200953</v>
      </c>
      <c r="BF383" s="749">
        <v>43098</v>
      </c>
      <c r="BG383">
        <v>6396.42</v>
      </c>
      <c r="BH383">
        <v>76500</v>
      </c>
      <c r="BI383">
        <v>1253.048</v>
      </c>
      <c r="BJ383">
        <v>41.12</v>
      </c>
      <c r="BK383">
        <v>2673.61</v>
      </c>
      <c r="BL383">
        <v>798.42</v>
      </c>
      <c r="BM383">
        <v>2191.5300000000002</v>
      </c>
      <c r="BN383" s="14">
        <f t="shared" si="65"/>
        <v>-1.063390444489476E-2</v>
      </c>
      <c r="BO383" s="14">
        <f t="shared" si="57"/>
        <v>-2.6075619295958807E-3</v>
      </c>
      <c r="BP383" s="14">
        <f t="shared" si="58"/>
        <v>-1.4253831321926924E-2</v>
      </c>
      <c r="BQ383" s="14">
        <f t="shared" si="59"/>
        <v>-6.7996373526745257E-2</v>
      </c>
      <c r="BR383" s="14">
        <f t="shared" si="60"/>
        <v>-3.6260779476324778E-3</v>
      </c>
      <c r="BS383" s="14">
        <f t="shared" si="61"/>
        <v>4.8896479243299984E-2</v>
      </c>
      <c r="BT383" s="14">
        <f t="shared" si="62"/>
        <v>1.0298775118823267E-2</v>
      </c>
      <c r="BV383" s="749">
        <v>43098</v>
      </c>
      <c r="BW383">
        <f t="shared" si="63"/>
        <v>1.2846606252222299</v>
      </c>
      <c r="BX383">
        <f t="shared" si="64"/>
        <v>1.8001287193573228</v>
      </c>
    </row>
    <row r="384" spans="1:76" x14ac:dyDescent="0.3">
      <c r="A384" s="749">
        <v>43091</v>
      </c>
      <c r="B384">
        <v>76700</v>
      </c>
      <c r="C384">
        <v>1271.1669999999999</v>
      </c>
      <c r="D384">
        <v>49700</v>
      </c>
      <c r="E384">
        <v>44.12</v>
      </c>
      <c r="F384">
        <v>6465.17</v>
      </c>
      <c r="G384">
        <v>2445.8200000000002</v>
      </c>
      <c r="H384">
        <v>761.2</v>
      </c>
      <c r="I384">
        <v>321.20999999999998</v>
      </c>
      <c r="J384">
        <v>2169.19</v>
      </c>
      <c r="K384">
        <v>22610000</v>
      </c>
      <c r="L384">
        <v>2683.34</v>
      </c>
      <c r="AO384" s="749">
        <v>43091</v>
      </c>
      <c r="AP384">
        <v>6465.17</v>
      </c>
      <c r="AQ384">
        <v>2445.8200000000002</v>
      </c>
      <c r="AR384">
        <f t="shared" si="55"/>
        <v>1.4856312330529895</v>
      </c>
      <c r="AS384">
        <f t="shared" si="56"/>
        <v>1.2478291480873036</v>
      </c>
      <c r="BF384" s="749">
        <v>43091</v>
      </c>
      <c r="BG384">
        <v>6465.17</v>
      </c>
      <c r="BH384">
        <v>76700</v>
      </c>
      <c r="BI384">
        <v>1271.1669999999999</v>
      </c>
      <c r="BJ384">
        <v>44.12</v>
      </c>
      <c r="BK384">
        <v>2683.34</v>
      </c>
      <c r="BL384">
        <v>761.2</v>
      </c>
      <c r="BM384">
        <v>2169.19</v>
      </c>
      <c r="BN384" s="14">
        <f t="shared" si="65"/>
        <v>-1.7784458548286697E-4</v>
      </c>
      <c r="BO384" s="14">
        <f t="shared" si="57"/>
        <v>1.3210039630118908E-2</v>
      </c>
      <c r="BP384" s="14">
        <f t="shared" si="58"/>
        <v>1.6212495613112887E-2</v>
      </c>
      <c r="BQ384" s="14">
        <f t="shared" si="59"/>
        <v>4.0566037735848992E-2</v>
      </c>
      <c r="BR384" s="14">
        <f t="shared" si="60"/>
        <v>2.8141011506797042E-3</v>
      </c>
      <c r="BS384" s="14">
        <f t="shared" si="61"/>
        <v>-1.3759684900624514E-2</v>
      </c>
      <c r="BT384" s="14">
        <f t="shared" si="62"/>
        <v>-1.4497296806142312E-2</v>
      </c>
      <c r="BV384" s="749">
        <v>43091</v>
      </c>
      <c r="BW384">
        <f t="shared" si="63"/>
        <v>1.2893358575423559</v>
      </c>
      <c r="BX384">
        <f t="shared" si="64"/>
        <v>1.8261584742159036</v>
      </c>
    </row>
    <row r="385" spans="1:76" x14ac:dyDescent="0.3">
      <c r="A385" s="749">
        <v>43084</v>
      </c>
      <c r="B385">
        <v>75700</v>
      </c>
      <c r="C385">
        <v>1250.8869999999999</v>
      </c>
      <c r="D385">
        <v>50620</v>
      </c>
      <c r="E385">
        <v>42.4</v>
      </c>
      <c r="F385">
        <v>6466.32</v>
      </c>
      <c r="G385">
        <v>2483.44</v>
      </c>
      <c r="H385">
        <v>771.82</v>
      </c>
      <c r="I385">
        <v>326.23</v>
      </c>
      <c r="J385">
        <v>2201.1</v>
      </c>
      <c r="K385">
        <v>18650000</v>
      </c>
      <c r="L385">
        <v>2675.81</v>
      </c>
      <c r="AO385" s="749">
        <v>43084</v>
      </c>
      <c r="AP385">
        <v>6466.32</v>
      </c>
      <c r="AQ385">
        <v>2483.44</v>
      </c>
      <c r="AR385">
        <f t="shared" si="55"/>
        <v>1.4858954915207498</v>
      </c>
      <c r="AS385">
        <f t="shared" si="56"/>
        <v>1.2670224380886299</v>
      </c>
      <c r="BF385" s="749">
        <v>43084</v>
      </c>
      <c r="BG385">
        <v>6466.32</v>
      </c>
      <c r="BH385">
        <v>75700</v>
      </c>
      <c r="BI385">
        <v>1250.8869999999999</v>
      </c>
      <c r="BJ385">
        <v>42.4</v>
      </c>
      <c r="BK385">
        <v>2675.81</v>
      </c>
      <c r="BL385">
        <v>771.82</v>
      </c>
      <c r="BM385">
        <v>2201.1</v>
      </c>
      <c r="BN385" s="14">
        <f t="shared" si="65"/>
        <v>1.918963775322835E-2</v>
      </c>
      <c r="BO385" s="14">
        <f t="shared" si="57"/>
        <v>-3.8119440914866631E-2</v>
      </c>
      <c r="BP385" s="14">
        <f t="shared" si="58"/>
        <v>1.0209611183570333E-2</v>
      </c>
      <c r="BQ385" s="14">
        <f t="shared" si="59"/>
        <v>-1.8745660726683711E-2</v>
      </c>
      <c r="BR385" s="14">
        <f t="shared" si="60"/>
        <v>9.1683952479728603E-3</v>
      </c>
      <c r="BS385" s="14">
        <f t="shared" si="61"/>
        <v>3.7308819181248953E-2</v>
      </c>
      <c r="BT385" s="14">
        <f t="shared" si="62"/>
        <v>-5.131162503463349E-4</v>
      </c>
      <c r="BV385" s="749">
        <v>43084</v>
      </c>
      <c r="BW385">
        <f t="shared" si="63"/>
        <v>1.2857177178331525</v>
      </c>
      <c r="BX385">
        <f t="shared" si="64"/>
        <v>1.7970242268218961</v>
      </c>
    </row>
    <row r="386" spans="1:76" x14ac:dyDescent="0.3">
      <c r="A386" s="749">
        <v>43077</v>
      </c>
      <c r="B386">
        <v>78700</v>
      </c>
      <c r="C386">
        <v>1238.2449999999999</v>
      </c>
      <c r="D386">
        <v>52000</v>
      </c>
      <c r="E386">
        <v>43.21</v>
      </c>
      <c r="F386">
        <v>6344.57</v>
      </c>
      <c r="G386">
        <v>2477.6</v>
      </c>
      <c r="H386">
        <v>744.06</v>
      </c>
      <c r="I386">
        <v>324.68</v>
      </c>
      <c r="J386">
        <v>2202.23</v>
      </c>
      <c r="K386">
        <v>20610000</v>
      </c>
      <c r="L386">
        <v>2651.5</v>
      </c>
      <c r="AO386" s="749">
        <v>43077</v>
      </c>
      <c r="AP386">
        <v>6344.57</v>
      </c>
      <c r="AQ386">
        <v>2477.6</v>
      </c>
      <c r="AR386">
        <f t="shared" si="55"/>
        <v>1.4579185624339353</v>
      </c>
      <c r="AS386">
        <f t="shared" si="56"/>
        <v>1.2640429374610982</v>
      </c>
      <c r="BF386" s="749">
        <v>43077</v>
      </c>
      <c r="BG386">
        <v>6344.57</v>
      </c>
      <c r="BH386">
        <v>78700</v>
      </c>
      <c r="BI386">
        <v>1238.2449999999999</v>
      </c>
      <c r="BJ386">
        <v>43.21</v>
      </c>
      <c r="BK386">
        <v>2651.5</v>
      </c>
      <c r="BL386">
        <v>744.06</v>
      </c>
      <c r="BM386">
        <v>2202.23</v>
      </c>
      <c r="BN386" s="14">
        <f t="shared" si="65"/>
        <v>1.0571374925645305E-3</v>
      </c>
      <c r="BO386" s="14">
        <f t="shared" si="57"/>
        <v>1.6795865633074891E-2</v>
      </c>
      <c r="BP386" s="14">
        <f t="shared" si="58"/>
        <v>-1.6214159105011561E-2</v>
      </c>
      <c r="BQ386" s="14">
        <f t="shared" si="59"/>
        <v>2.9054536794474783E-2</v>
      </c>
      <c r="BR386" s="14">
        <f t="shared" si="60"/>
        <v>3.512198075860562E-3</v>
      </c>
      <c r="BS386" s="14">
        <f t="shared" si="61"/>
        <v>-5.5401802716770421E-2</v>
      </c>
      <c r="BT386" s="14">
        <f t="shared" si="62"/>
        <v>6.0714318345866936E-3</v>
      </c>
      <c r="BV386" s="749">
        <v>43077</v>
      </c>
      <c r="BW386">
        <f t="shared" si="63"/>
        <v>1.2740368444824572</v>
      </c>
      <c r="BX386">
        <f t="shared" si="64"/>
        <v>1.7788627299996551</v>
      </c>
    </row>
    <row r="387" spans="1:76" x14ac:dyDescent="0.3">
      <c r="A387" s="749">
        <v>43070</v>
      </c>
      <c r="B387">
        <v>77400</v>
      </c>
      <c r="C387">
        <v>1258.653</v>
      </c>
      <c r="D387">
        <v>50840</v>
      </c>
      <c r="E387">
        <v>41.99</v>
      </c>
      <c r="F387">
        <v>6337.87</v>
      </c>
      <c r="G387">
        <v>2471.14</v>
      </c>
      <c r="H387">
        <v>787.7</v>
      </c>
      <c r="I387">
        <v>324.77999999999997</v>
      </c>
      <c r="J387">
        <v>2188.94</v>
      </c>
      <c r="K387">
        <v>29160000</v>
      </c>
      <c r="L387">
        <v>2642.22</v>
      </c>
      <c r="AO387" s="749">
        <v>43070</v>
      </c>
      <c r="AP387">
        <v>6337.87</v>
      </c>
      <c r="AQ387">
        <v>2471.14</v>
      </c>
      <c r="AR387">
        <f t="shared" ref="AR387:AR450" si="66">+AP387/$AP$524</f>
        <v>1.4563789696217657</v>
      </c>
      <c r="AS387">
        <f t="shared" ref="AS387:AS450" si="67">+AQ387/$AQ$524</f>
        <v>1.2607471199861229</v>
      </c>
      <c r="BF387" s="749">
        <v>43070</v>
      </c>
      <c r="BG387">
        <v>6337.87</v>
      </c>
      <c r="BH387">
        <v>77400</v>
      </c>
      <c r="BI387">
        <v>1258.653</v>
      </c>
      <c r="BJ387">
        <v>41.99</v>
      </c>
      <c r="BK387">
        <v>2642.22</v>
      </c>
      <c r="BL387">
        <v>787.7</v>
      </c>
      <c r="BM387">
        <v>2188.94</v>
      </c>
      <c r="BN387" s="14">
        <f t="shared" si="65"/>
        <v>-1.1143199948824289E-2</v>
      </c>
      <c r="BO387" s="14">
        <f t="shared" ref="BO387:BO450" si="68">+BH387/BH388-1</f>
        <v>-9.0481786133960074E-2</v>
      </c>
      <c r="BP387" s="14">
        <f t="shared" ref="BP387:BP450" si="69">+BI387/BI388-1</f>
        <v>-6.1891253730364304E-2</v>
      </c>
      <c r="BQ387" s="14">
        <f t="shared" ref="BQ387:BQ450" si="70">+BJ387/BJ388-1</f>
        <v>-0.15479066022544274</v>
      </c>
      <c r="BR387" s="14">
        <f t="shared" ref="BR387:BR450" si="71">+BK387/BK388-1</f>
        <v>1.529345762790002E-2</v>
      </c>
      <c r="BS387" s="14">
        <f t="shared" ref="BS387:BS450" si="72">+BL387/BL388-1</f>
        <v>-6.357696092035181E-3</v>
      </c>
      <c r="BT387" s="14">
        <f t="shared" ref="BT387:BT450" si="73">+BM387/BM388-1</f>
        <v>-3.8099172101035195E-2</v>
      </c>
      <c r="BV387" s="749">
        <v>43070</v>
      </c>
      <c r="BW387">
        <f t="shared" ref="BW387:BW450" si="74">+L387/$L$524</f>
        <v>1.2695778356509289</v>
      </c>
      <c r="BX387">
        <f t="shared" ref="BX387:BX450" si="75">+C387/$C$524</f>
        <v>1.8081808621898381</v>
      </c>
    </row>
    <row r="388" spans="1:76" x14ac:dyDescent="0.3">
      <c r="A388" s="749">
        <v>43063</v>
      </c>
      <c r="B388">
        <v>85100</v>
      </c>
      <c r="C388">
        <v>1341.692</v>
      </c>
      <c r="D388">
        <v>55460</v>
      </c>
      <c r="E388">
        <v>49.68</v>
      </c>
      <c r="F388">
        <v>6409.29</v>
      </c>
      <c r="G388">
        <v>2559.34</v>
      </c>
      <c r="H388">
        <v>792.74</v>
      </c>
      <c r="I388">
        <v>335.44</v>
      </c>
      <c r="J388">
        <v>2275.64</v>
      </c>
      <c r="K388">
        <v>18040000</v>
      </c>
      <c r="L388">
        <v>2602.42</v>
      </c>
      <c r="AO388" s="749">
        <v>43063</v>
      </c>
      <c r="AP388">
        <v>6409.29</v>
      </c>
      <c r="AQ388">
        <v>2559.34</v>
      </c>
      <c r="AR388">
        <f t="shared" si="66"/>
        <v>1.4727905694195504</v>
      </c>
      <c r="AS388">
        <f t="shared" si="67"/>
        <v>1.3057457424772712</v>
      </c>
      <c r="BF388" s="749">
        <v>43063</v>
      </c>
      <c r="BG388">
        <v>6409.29</v>
      </c>
      <c r="BH388">
        <v>85100</v>
      </c>
      <c r="BI388">
        <v>1341.692</v>
      </c>
      <c r="BJ388">
        <v>49.68</v>
      </c>
      <c r="BK388">
        <v>2602.42</v>
      </c>
      <c r="BL388">
        <v>792.74</v>
      </c>
      <c r="BM388">
        <v>2275.64</v>
      </c>
      <c r="BN388" s="14">
        <f t="shared" ref="BN388:BN451" si="76">+BG388/BG389-1</f>
        <v>1.500987408365817E-2</v>
      </c>
      <c r="BO388" s="14">
        <f t="shared" si="68"/>
        <v>2.5301204819277112E-2</v>
      </c>
      <c r="BP388" s="14">
        <f t="shared" si="69"/>
        <v>2.6598996579002998E-2</v>
      </c>
      <c r="BQ388" s="14">
        <f t="shared" si="70"/>
        <v>7.6256499133448896E-2</v>
      </c>
      <c r="BR388" s="14">
        <f t="shared" si="71"/>
        <v>9.1397328266475952E-3</v>
      </c>
      <c r="BS388" s="14">
        <f t="shared" si="72"/>
        <v>2.1769671972675209E-2</v>
      </c>
      <c r="BT388" s="14">
        <f t="shared" si="73"/>
        <v>1.7784821271349394E-3</v>
      </c>
      <c r="BV388" s="749">
        <v>43063</v>
      </c>
      <c r="BW388">
        <f t="shared" si="74"/>
        <v>1.2504540693260555</v>
      </c>
      <c r="BX388">
        <f t="shared" si="75"/>
        <v>1.9274746871085267</v>
      </c>
    </row>
    <row r="389" spans="1:76" x14ac:dyDescent="0.3">
      <c r="A389" s="749">
        <v>43056</v>
      </c>
      <c r="B389">
        <v>83000</v>
      </c>
      <c r="C389">
        <v>1306.9290000000001</v>
      </c>
      <c r="D389">
        <v>55820</v>
      </c>
      <c r="E389">
        <v>46.16</v>
      </c>
      <c r="F389">
        <v>6314.51</v>
      </c>
      <c r="G389">
        <v>2551.7600000000002</v>
      </c>
      <c r="H389">
        <v>775.85</v>
      </c>
      <c r="I389">
        <v>334.18</v>
      </c>
      <c r="J389">
        <v>2271.6</v>
      </c>
      <c r="K389">
        <v>16960000</v>
      </c>
      <c r="L389">
        <v>2578.85</v>
      </c>
      <c r="AO389" s="749">
        <v>43056</v>
      </c>
      <c r="AP389">
        <v>6314.51</v>
      </c>
      <c r="AQ389">
        <v>2551.7600000000002</v>
      </c>
      <c r="AR389">
        <f t="shared" si="66"/>
        <v>1.4510110758766488</v>
      </c>
      <c r="AS389">
        <f t="shared" si="67"/>
        <v>1.3018785139230433</v>
      </c>
      <c r="BF389" s="749">
        <v>43056</v>
      </c>
      <c r="BG389">
        <v>6314.51</v>
      </c>
      <c r="BH389">
        <v>83000</v>
      </c>
      <c r="BI389">
        <v>1306.9290000000001</v>
      </c>
      <c r="BJ389">
        <v>46.16</v>
      </c>
      <c r="BK389">
        <v>2578.85</v>
      </c>
      <c r="BL389">
        <v>775.85</v>
      </c>
      <c r="BM389">
        <v>2271.6</v>
      </c>
      <c r="BN389" s="14">
        <f t="shared" si="76"/>
        <v>8.622506962199239E-4</v>
      </c>
      <c r="BO389" s="14">
        <f t="shared" si="68"/>
        <v>1.2195121951219523E-2</v>
      </c>
      <c r="BP389" s="14">
        <f t="shared" si="69"/>
        <v>2.966086086331865E-3</v>
      </c>
      <c r="BQ389" s="14">
        <f t="shared" si="70"/>
        <v>3.0817329164805507E-2</v>
      </c>
      <c r="BR389" s="14">
        <f t="shared" si="71"/>
        <v>-1.3360182782791163E-3</v>
      </c>
      <c r="BS389" s="14">
        <f t="shared" si="72"/>
        <v>7.638840716436146E-2</v>
      </c>
      <c r="BT389" s="14">
        <f t="shared" si="73"/>
        <v>-5.9295888672517005E-3</v>
      </c>
      <c r="BV389" s="749">
        <v>43056</v>
      </c>
      <c r="BW389">
        <f t="shared" si="74"/>
        <v>1.2391287634899433</v>
      </c>
      <c r="BX389">
        <f t="shared" si="75"/>
        <v>1.8775341623472896</v>
      </c>
    </row>
    <row r="390" spans="1:76" x14ac:dyDescent="0.3">
      <c r="A390" s="749">
        <v>43049</v>
      </c>
      <c r="B390">
        <v>82000</v>
      </c>
      <c r="C390">
        <v>1303.0640000000001</v>
      </c>
      <c r="D390">
        <v>56400</v>
      </c>
      <c r="E390">
        <v>44.78</v>
      </c>
      <c r="F390">
        <v>6309.07</v>
      </c>
      <c r="G390">
        <v>2565.27</v>
      </c>
      <c r="H390">
        <v>720.79</v>
      </c>
      <c r="I390">
        <v>335.96</v>
      </c>
      <c r="J390">
        <v>2285.15</v>
      </c>
      <c r="K390">
        <v>15630000</v>
      </c>
      <c r="L390">
        <v>2582.3000000000002</v>
      </c>
      <c r="AO390" s="749">
        <v>43049</v>
      </c>
      <c r="AP390">
        <v>6309.07</v>
      </c>
      <c r="AQ390">
        <v>2565.27</v>
      </c>
      <c r="AR390">
        <f t="shared" si="66"/>
        <v>1.4497610184291556</v>
      </c>
      <c r="AS390">
        <f t="shared" si="67"/>
        <v>1.3087711600665286</v>
      </c>
      <c r="BF390" s="749">
        <v>43049</v>
      </c>
      <c r="BG390">
        <v>6309.07</v>
      </c>
      <c r="BH390">
        <v>82000</v>
      </c>
      <c r="BI390">
        <v>1303.0640000000001</v>
      </c>
      <c r="BJ390">
        <v>44.78</v>
      </c>
      <c r="BK390">
        <v>2582.3000000000002</v>
      </c>
      <c r="BL390">
        <v>720.79</v>
      </c>
      <c r="BM390">
        <v>2285.15</v>
      </c>
      <c r="BN390" s="14">
        <f t="shared" si="76"/>
        <v>2.1427731837257991E-3</v>
      </c>
      <c r="BO390" s="14">
        <f t="shared" si="68"/>
        <v>-2.8436018957345932E-2</v>
      </c>
      <c r="BP390" s="14">
        <f t="shared" si="69"/>
        <v>2.3800549243444546E-3</v>
      </c>
      <c r="BQ390" s="14">
        <f t="shared" si="70"/>
        <v>2.4479524136353348E-2</v>
      </c>
      <c r="BR390" s="14">
        <f t="shared" si="71"/>
        <v>-2.1407815011746933E-3</v>
      </c>
      <c r="BS390" s="14">
        <f t="shared" si="72"/>
        <v>2.804044898948832E-2</v>
      </c>
      <c r="BT390" s="14">
        <f t="shared" si="73"/>
        <v>-1.0534839011379193E-2</v>
      </c>
      <c r="BV390" s="749">
        <v>43049</v>
      </c>
      <c r="BW390">
        <f t="shared" si="74"/>
        <v>1.2407864769025267</v>
      </c>
      <c r="BX390">
        <f t="shared" si="75"/>
        <v>1.8719817034627808</v>
      </c>
    </row>
    <row r="391" spans="1:76" x14ac:dyDescent="0.3">
      <c r="A391" s="749">
        <v>43042</v>
      </c>
      <c r="B391">
        <v>84400</v>
      </c>
      <c r="C391">
        <v>1299.97</v>
      </c>
      <c r="D391">
        <v>56380</v>
      </c>
      <c r="E391">
        <v>43.71</v>
      </c>
      <c r="F391">
        <v>6295.58</v>
      </c>
      <c r="G391">
        <v>2590.5100000000002</v>
      </c>
      <c r="H391">
        <v>701.13</v>
      </c>
      <c r="I391">
        <v>338.83</v>
      </c>
      <c r="J391">
        <v>2309.48</v>
      </c>
      <c r="K391">
        <v>28090000</v>
      </c>
      <c r="L391">
        <v>2587.84</v>
      </c>
      <c r="AO391" s="749">
        <v>43042</v>
      </c>
      <c r="AP391">
        <v>6295.58</v>
      </c>
      <c r="AQ391">
        <v>2590.5100000000002</v>
      </c>
      <c r="AR391">
        <f t="shared" si="66"/>
        <v>1.4466611517073393</v>
      </c>
      <c r="AS391">
        <f t="shared" si="67"/>
        <v>1.3216483168882587</v>
      </c>
      <c r="BF391" s="749">
        <v>43042</v>
      </c>
      <c r="BG391">
        <v>6295.58</v>
      </c>
      <c r="BH391">
        <v>84400</v>
      </c>
      <c r="BI391">
        <v>1299.97</v>
      </c>
      <c r="BJ391">
        <v>43.71</v>
      </c>
      <c r="BK391">
        <v>2587.84</v>
      </c>
      <c r="BL391">
        <v>701.13</v>
      </c>
      <c r="BM391">
        <v>2309.48</v>
      </c>
      <c r="BN391" s="14">
        <f t="shared" si="76"/>
        <v>1.3214838085642944E-2</v>
      </c>
      <c r="BO391" s="14">
        <f t="shared" si="68"/>
        <v>7.6530612244897878E-2</v>
      </c>
      <c r="BP391" s="14">
        <f t="shared" si="69"/>
        <v>2.8820295768918314E-2</v>
      </c>
      <c r="BQ391" s="14">
        <f t="shared" si="70"/>
        <v>7.0012239902080831E-2</v>
      </c>
      <c r="BR391" s="14">
        <f t="shared" si="71"/>
        <v>2.6229431979760687E-3</v>
      </c>
      <c r="BS391" s="14">
        <f t="shared" si="72"/>
        <v>1.6174616287664589E-2</v>
      </c>
      <c r="BT391" s="14">
        <f t="shared" si="73"/>
        <v>3.3953546677172763E-2</v>
      </c>
      <c r="BV391" s="749">
        <v>43042</v>
      </c>
      <c r="BW391">
        <f t="shared" si="74"/>
        <v>1.2434484282954863</v>
      </c>
      <c r="BX391">
        <f t="shared" si="75"/>
        <v>1.8675368631552334</v>
      </c>
    </row>
    <row r="392" spans="1:76" x14ac:dyDescent="0.3">
      <c r="A392" s="749">
        <v>43035</v>
      </c>
      <c r="B392">
        <v>78400</v>
      </c>
      <c r="C392">
        <v>1263.5540000000001</v>
      </c>
      <c r="D392">
        <v>53080</v>
      </c>
      <c r="E392">
        <v>40.85</v>
      </c>
      <c r="F392">
        <v>6213.47</v>
      </c>
      <c r="G392">
        <v>2513.52</v>
      </c>
      <c r="H392">
        <v>689.97</v>
      </c>
      <c r="I392">
        <v>329.23</v>
      </c>
      <c r="J392">
        <v>2233.64</v>
      </c>
      <c r="K392">
        <v>31000000</v>
      </c>
      <c r="L392">
        <v>2581.0700000000002</v>
      </c>
      <c r="AO392" s="749">
        <v>43035</v>
      </c>
      <c r="AP392">
        <v>6213.47</v>
      </c>
      <c r="AQ392">
        <v>2513.52</v>
      </c>
      <c r="AR392">
        <f t="shared" si="66"/>
        <v>1.4277930971092421</v>
      </c>
      <c r="AS392">
        <f t="shared" si="67"/>
        <v>1.2823689070742732</v>
      </c>
      <c r="BF392" s="749">
        <v>43035</v>
      </c>
      <c r="BG392">
        <v>6213.47</v>
      </c>
      <c r="BH392">
        <v>78400</v>
      </c>
      <c r="BI392">
        <v>1263.5540000000001</v>
      </c>
      <c r="BJ392">
        <v>40.85</v>
      </c>
      <c r="BK392">
        <v>2581.0700000000002</v>
      </c>
      <c r="BL392">
        <v>689.97</v>
      </c>
      <c r="BM392">
        <v>2233.64</v>
      </c>
      <c r="BN392" s="14">
        <f t="shared" si="76"/>
        <v>1.7130968010188541E-2</v>
      </c>
      <c r="BO392" s="14">
        <f t="shared" si="68"/>
        <v>-3.4482758620689613E-2</v>
      </c>
      <c r="BP392" s="14">
        <f t="shared" si="69"/>
        <v>2.6160909122655784E-2</v>
      </c>
      <c r="BQ392" s="14">
        <f t="shared" si="70"/>
        <v>-1.5662650602409567E-2</v>
      </c>
      <c r="BR392" s="14">
        <f t="shared" si="71"/>
        <v>2.2755425771101567E-3</v>
      </c>
      <c r="BS392" s="14">
        <f t="shared" si="72"/>
        <v>2.529162642098215E-2</v>
      </c>
      <c r="BT392" s="14">
        <f t="shared" si="73"/>
        <v>7.48217941997531E-4</v>
      </c>
      <c r="BV392" s="749">
        <v>43035</v>
      </c>
      <c r="BW392">
        <f t="shared" si="74"/>
        <v>1.2401954660336927</v>
      </c>
      <c r="BX392">
        <f t="shared" si="75"/>
        <v>1.8152216386433901</v>
      </c>
    </row>
    <row r="393" spans="1:76" x14ac:dyDescent="0.3">
      <c r="A393" s="749">
        <v>43028</v>
      </c>
      <c r="B393">
        <v>81200</v>
      </c>
      <c r="C393">
        <v>1231.3409999999999</v>
      </c>
      <c r="D393">
        <v>53840</v>
      </c>
      <c r="E393">
        <v>41.5</v>
      </c>
      <c r="F393">
        <v>6108.82</v>
      </c>
      <c r="G393">
        <v>2512.38</v>
      </c>
      <c r="H393">
        <v>672.95</v>
      </c>
      <c r="I393">
        <v>328.89</v>
      </c>
      <c r="J393">
        <v>2231.9699999999998</v>
      </c>
      <c r="K393">
        <v>37450000</v>
      </c>
      <c r="L393">
        <v>2575.21</v>
      </c>
      <c r="AO393" s="749">
        <v>43028</v>
      </c>
      <c r="AP393">
        <v>6108.82</v>
      </c>
      <c r="AQ393">
        <v>2512.38</v>
      </c>
      <c r="AR393">
        <f t="shared" si="66"/>
        <v>1.4037455765430396</v>
      </c>
      <c r="AS393">
        <f t="shared" si="67"/>
        <v>1.2817872922257483</v>
      </c>
      <c r="BF393" s="749">
        <v>43028</v>
      </c>
      <c r="BG393">
        <v>6108.82</v>
      </c>
      <c r="BH393">
        <v>81200</v>
      </c>
      <c r="BI393">
        <v>1231.3409999999999</v>
      </c>
      <c r="BJ393">
        <v>41.5</v>
      </c>
      <c r="BK393">
        <v>2575.21</v>
      </c>
      <c r="BL393">
        <v>672.95</v>
      </c>
      <c r="BM393">
        <v>2231.9699999999998</v>
      </c>
      <c r="BN393" s="14">
        <f t="shared" si="76"/>
        <v>2.6869321865587992E-3</v>
      </c>
      <c r="BO393" s="14">
        <f t="shared" si="68"/>
        <v>-5.6910569105691033E-2</v>
      </c>
      <c r="BP393" s="14">
        <f t="shared" si="69"/>
        <v>9.94657213581851E-3</v>
      </c>
      <c r="BQ393" s="14">
        <f t="shared" si="70"/>
        <v>2.7227722772277252E-2</v>
      </c>
      <c r="BR393" s="14">
        <f t="shared" si="71"/>
        <v>8.632405989417169E-3</v>
      </c>
      <c r="BS393" s="14">
        <f t="shared" si="72"/>
        <v>1.4885081739759887E-2</v>
      </c>
      <c r="BT393" s="14">
        <f t="shared" si="73"/>
        <v>2.5288141074586434E-3</v>
      </c>
      <c r="BV393" s="749">
        <v>43028</v>
      </c>
      <c r="BW393">
        <f t="shared" si="74"/>
        <v>1.2373797557155077</v>
      </c>
      <c r="BX393">
        <f t="shared" si="75"/>
        <v>1.7689444438059556</v>
      </c>
    </row>
    <row r="394" spans="1:76" x14ac:dyDescent="0.3">
      <c r="A394" s="749">
        <v>43021</v>
      </c>
      <c r="B394">
        <v>86100</v>
      </c>
      <c r="C394">
        <v>1219.2139999999999</v>
      </c>
      <c r="D394">
        <v>54000</v>
      </c>
      <c r="E394">
        <v>40.4</v>
      </c>
      <c r="F394">
        <v>6092.45</v>
      </c>
      <c r="G394">
        <v>2503.36</v>
      </c>
      <c r="H394">
        <v>663.08</v>
      </c>
      <c r="I394">
        <v>327.35000000000002</v>
      </c>
      <c r="J394">
        <v>2226.34</v>
      </c>
      <c r="K394">
        <v>23870000</v>
      </c>
      <c r="L394">
        <v>2553.17</v>
      </c>
      <c r="AO394" s="749">
        <v>43021</v>
      </c>
      <c r="AP394">
        <v>6092.45</v>
      </c>
      <c r="AQ394">
        <v>2503.36</v>
      </c>
      <c r="AR394">
        <f t="shared" si="66"/>
        <v>1.3999839147019624</v>
      </c>
      <c r="AS394">
        <f t="shared" si="67"/>
        <v>1.2771853922839098</v>
      </c>
      <c r="BF394" s="749">
        <v>43021</v>
      </c>
      <c r="BG394">
        <v>6092.45</v>
      </c>
      <c r="BH394">
        <v>86100</v>
      </c>
      <c r="BI394">
        <v>1219.2139999999999</v>
      </c>
      <c r="BJ394">
        <v>40.4</v>
      </c>
      <c r="BK394">
        <v>2553.17</v>
      </c>
      <c r="BL394">
        <v>663.08</v>
      </c>
      <c r="BM394">
        <v>2226.34</v>
      </c>
      <c r="BN394" s="14">
        <f t="shared" si="76"/>
        <v>4.5971932057837783E-3</v>
      </c>
      <c r="BO394" s="14">
        <f t="shared" si="68"/>
        <v>3.8600723763570599E-2</v>
      </c>
      <c r="BP394" s="14">
        <f t="shared" si="69"/>
        <v>2.3303557265145214E-2</v>
      </c>
      <c r="BQ394" s="14">
        <f t="shared" si="70"/>
        <v>1.8401814973531661E-2</v>
      </c>
      <c r="BR394" s="14">
        <f t="shared" si="71"/>
        <v>1.5062781201335973E-3</v>
      </c>
      <c r="BS394" s="14">
        <f t="shared" si="72"/>
        <v>1.5716430256425884E-2</v>
      </c>
      <c r="BT394" s="14">
        <f t="shared" si="73"/>
        <v>3.8525947521866E-2</v>
      </c>
      <c r="BV394" s="749">
        <v>43021</v>
      </c>
      <c r="BW394">
        <f t="shared" si="74"/>
        <v>1.2267896097406281</v>
      </c>
      <c r="BX394">
        <f t="shared" si="75"/>
        <v>1.7515227959683259</v>
      </c>
    </row>
    <row r="395" spans="1:76" x14ac:dyDescent="0.3">
      <c r="A395" s="749">
        <v>43014</v>
      </c>
      <c r="B395">
        <v>82900</v>
      </c>
      <c r="C395">
        <v>1191.4490000000001</v>
      </c>
      <c r="D395">
        <v>51280</v>
      </c>
      <c r="E395">
        <v>39.67</v>
      </c>
      <c r="F395">
        <v>6064.57</v>
      </c>
      <c r="G395">
        <v>2415.09</v>
      </c>
      <c r="H395">
        <v>652.82000000000005</v>
      </c>
      <c r="I395">
        <v>316.27</v>
      </c>
      <c r="J395">
        <v>2143.75</v>
      </c>
      <c r="K395">
        <v>29120000</v>
      </c>
      <c r="L395">
        <v>2549.33</v>
      </c>
      <c r="AO395" s="749">
        <v>43014</v>
      </c>
      <c r="AP395">
        <v>6064.57</v>
      </c>
      <c r="AQ395">
        <v>2415.09</v>
      </c>
      <c r="AR395">
        <f t="shared" si="66"/>
        <v>1.3935773702835608</v>
      </c>
      <c r="AS395">
        <f t="shared" si="67"/>
        <v>1.2321510566003082</v>
      </c>
      <c r="BF395" s="749">
        <v>43014</v>
      </c>
      <c r="BG395">
        <v>6064.57</v>
      </c>
      <c r="BH395">
        <v>82900</v>
      </c>
      <c r="BI395">
        <v>1191.4490000000001</v>
      </c>
      <c r="BJ395">
        <v>39.67</v>
      </c>
      <c r="BK395">
        <v>2549.33</v>
      </c>
      <c r="BL395">
        <v>652.82000000000005</v>
      </c>
      <c r="BM395">
        <v>2143.75</v>
      </c>
      <c r="BN395" s="14">
        <f t="shared" si="76"/>
        <v>1.4260866656631954E-2</v>
      </c>
      <c r="BO395" s="14">
        <f t="shared" si="68"/>
        <v>-2.4067388688326918E-3</v>
      </c>
      <c r="BP395" s="14">
        <f t="shared" si="69"/>
        <v>1.6822019939611188E-2</v>
      </c>
      <c r="BQ395" s="14">
        <f t="shared" si="70"/>
        <v>8.644800406814257E-3</v>
      </c>
      <c r="BR395" s="14">
        <f t="shared" si="71"/>
        <v>1.1895878318302966E-2</v>
      </c>
      <c r="BS395" s="14">
        <f t="shared" si="72"/>
        <v>5.9634794668310676E-3</v>
      </c>
      <c r="BT395" s="14">
        <f t="shared" si="73"/>
        <v>-2.8977013739662771E-3</v>
      </c>
      <c r="BV395" s="749">
        <v>43014</v>
      </c>
      <c r="BW395">
        <f t="shared" si="74"/>
        <v>1.2249445026379266</v>
      </c>
      <c r="BX395">
        <f t="shared" si="75"/>
        <v>1.7116355977979798</v>
      </c>
    </row>
    <row r="396" spans="1:76" x14ac:dyDescent="0.3">
      <c r="A396" s="749">
        <v>43007</v>
      </c>
      <c r="B396">
        <v>83100</v>
      </c>
      <c r="C396">
        <v>1171.7380000000001</v>
      </c>
      <c r="D396">
        <v>53000</v>
      </c>
      <c r="E396">
        <v>39.33</v>
      </c>
      <c r="F396">
        <v>5979.3</v>
      </c>
      <c r="G396">
        <v>2421.7600000000002</v>
      </c>
      <c r="H396">
        <v>648.95000000000005</v>
      </c>
      <c r="I396">
        <v>316.70999999999998</v>
      </c>
      <c r="J396">
        <v>2149.98</v>
      </c>
      <c r="K396">
        <v>25770000</v>
      </c>
      <c r="L396">
        <v>2519.36</v>
      </c>
      <c r="AO396" s="749">
        <v>43007</v>
      </c>
      <c r="AP396">
        <v>5979.3</v>
      </c>
      <c r="AQ396">
        <v>2421.7600000000002</v>
      </c>
      <c r="AR396">
        <f t="shared" si="66"/>
        <v>1.373983179374052</v>
      </c>
      <c r="AS396">
        <f t="shared" si="67"/>
        <v>1.2355540136526435</v>
      </c>
      <c r="BF396" s="749">
        <v>43007</v>
      </c>
      <c r="BG396">
        <v>5979.3</v>
      </c>
      <c r="BH396">
        <v>83100</v>
      </c>
      <c r="BI396">
        <v>1171.7380000000001</v>
      </c>
      <c r="BJ396">
        <v>39.33</v>
      </c>
      <c r="BK396">
        <v>2519.36</v>
      </c>
      <c r="BL396">
        <v>648.95000000000005</v>
      </c>
      <c r="BM396">
        <v>2149.98</v>
      </c>
      <c r="BN396" s="14">
        <f t="shared" si="76"/>
        <v>7.9193300428836988E-3</v>
      </c>
      <c r="BO396" s="14">
        <f t="shared" si="68"/>
        <v>7.6424870466321293E-2</v>
      </c>
      <c r="BP396" s="14">
        <f t="shared" si="69"/>
        <v>1.9268659092352314E-2</v>
      </c>
      <c r="BQ396" s="14">
        <f t="shared" si="70"/>
        <v>9.0379817022456344E-2</v>
      </c>
      <c r="BR396" s="14">
        <f t="shared" si="71"/>
        <v>6.8499172734612923E-3</v>
      </c>
      <c r="BS396" s="14">
        <f t="shared" si="72"/>
        <v>-3.3293609414568603E-2</v>
      </c>
      <c r="BT396" s="14">
        <f t="shared" si="73"/>
        <v>1.8817497287076934E-2</v>
      </c>
      <c r="BV396" s="749">
        <v>43007</v>
      </c>
      <c r="BW396">
        <f t="shared" si="74"/>
        <v>1.2105440182973122</v>
      </c>
      <c r="BX396">
        <f t="shared" si="75"/>
        <v>1.6833187757869696</v>
      </c>
    </row>
    <row r="397" spans="1:76" x14ac:dyDescent="0.3">
      <c r="A397" s="749">
        <v>43000</v>
      </c>
      <c r="B397">
        <v>77200</v>
      </c>
      <c r="C397">
        <v>1149.587</v>
      </c>
      <c r="D397">
        <v>50400</v>
      </c>
      <c r="E397">
        <v>36.07</v>
      </c>
      <c r="F397">
        <v>5932.32</v>
      </c>
      <c r="G397">
        <v>2390.48</v>
      </c>
      <c r="H397">
        <v>671.3</v>
      </c>
      <c r="I397">
        <v>313.69</v>
      </c>
      <c r="J397">
        <v>2110.27</v>
      </c>
      <c r="K397">
        <v>18770000</v>
      </c>
      <c r="L397">
        <v>2502.2199999999998</v>
      </c>
      <c r="AO397" s="749">
        <v>43000</v>
      </c>
      <c r="AP397">
        <v>5932.32</v>
      </c>
      <c r="AQ397">
        <v>2390.48</v>
      </c>
      <c r="AR397">
        <f t="shared" si="66"/>
        <v>1.363187646491107</v>
      </c>
      <c r="AS397">
        <f t="shared" si="67"/>
        <v>1.2195953185106578</v>
      </c>
      <c r="BF397" s="749">
        <v>43000</v>
      </c>
      <c r="BG397">
        <v>5932.32</v>
      </c>
      <c r="BH397">
        <v>77200</v>
      </c>
      <c r="BI397">
        <v>1149.587</v>
      </c>
      <c r="BJ397">
        <v>36.07</v>
      </c>
      <c r="BK397">
        <v>2502.2199999999998</v>
      </c>
      <c r="BL397">
        <v>671.3</v>
      </c>
      <c r="BM397">
        <v>2110.27</v>
      </c>
      <c r="BN397" s="14">
        <f t="shared" si="76"/>
        <v>-9.2985971943888579E-3</v>
      </c>
      <c r="BO397" s="14">
        <f t="shared" si="68"/>
        <v>6.336088154269981E-2</v>
      </c>
      <c r="BP397" s="14">
        <f t="shared" si="69"/>
        <v>2.5307734905402057E-3</v>
      </c>
      <c r="BQ397" s="14">
        <f t="shared" si="70"/>
        <v>4.0981240981241118E-2</v>
      </c>
      <c r="BR397" s="14">
        <f t="shared" si="71"/>
        <v>7.9592677473661055E-4</v>
      </c>
      <c r="BS397" s="14">
        <f t="shared" si="72"/>
        <v>2.5997646303626887E-2</v>
      </c>
      <c r="BT397" s="14">
        <f t="shared" si="73"/>
        <v>2.1482266722816945E-2</v>
      </c>
      <c r="BV397" s="749">
        <v>43000</v>
      </c>
      <c r="BW397">
        <f t="shared" si="74"/>
        <v>1.202308305864942</v>
      </c>
      <c r="BX397">
        <f t="shared" si="75"/>
        <v>1.6514966498488697</v>
      </c>
    </row>
    <row r="398" spans="1:76" x14ac:dyDescent="0.3">
      <c r="A398" s="749">
        <v>42993</v>
      </c>
      <c r="B398">
        <v>72600</v>
      </c>
      <c r="C398">
        <v>1146.6849999999999</v>
      </c>
      <c r="D398">
        <v>49080</v>
      </c>
      <c r="E398">
        <v>34.65</v>
      </c>
      <c r="F398">
        <v>5988</v>
      </c>
      <c r="G398">
        <v>2341.67</v>
      </c>
      <c r="H398">
        <v>654.29</v>
      </c>
      <c r="I398">
        <v>307.43</v>
      </c>
      <c r="J398">
        <v>2065.89</v>
      </c>
      <c r="K398">
        <v>18480000</v>
      </c>
      <c r="L398">
        <v>2500.23</v>
      </c>
      <c r="AO398" s="749">
        <v>42993</v>
      </c>
      <c r="AP398">
        <v>5988</v>
      </c>
      <c r="AQ398">
        <v>2341.67</v>
      </c>
      <c r="AR398">
        <f t="shared" si="66"/>
        <v>1.3759823521301531</v>
      </c>
      <c r="AS398">
        <f t="shared" si="67"/>
        <v>1.1946930196014409</v>
      </c>
      <c r="BF398" s="749">
        <v>42993</v>
      </c>
      <c r="BG398">
        <v>5988</v>
      </c>
      <c r="BH398">
        <v>72600</v>
      </c>
      <c r="BI398">
        <v>1146.6849999999999</v>
      </c>
      <c r="BJ398">
        <v>34.65</v>
      </c>
      <c r="BK398">
        <v>2500.23</v>
      </c>
      <c r="BL398">
        <v>654.29</v>
      </c>
      <c r="BM398">
        <v>2065.89</v>
      </c>
      <c r="BN398" s="14">
        <f t="shared" si="76"/>
        <v>1.26205530856347E-2</v>
      </c>
      <c r="BO398" s="14">
        <f t="shared" si="68"/>
        <v>5.6768558951965087E-2</v>
      </c>
      <c r="BP398" s="14">
        <f t="shared" si="69"/>
        <v>4.8647951648347565E-2</v>
      </c>
      <c r="BQ398" s="14">
        <f t="shared" si="70"/>
        <v>6.7796610169491345E-2</v>
      </c>
      <c r="BR398" s="14">
        <f t="shared" si="71"/>
        <v>1.5763194565760585E-2</v>
      </c>
      <c r="BS398" s="14">
        <f t="shared" si="72"/>
        <v>-1.1631595643438741E-2</v>
      </c>
      <c r="BT398" s="14">
        <f t="shared" si="73"/>
        <v>4.6588306237871357E-3</v>
      </c>
      <c r="BV398" s="749">
        <v>42993</v>
      </c>
      <c r="BW398">
        <f t="shared" si="74"/>
        <v>1.2013521175486985</v>
      </c>
      <c r="BX398">
        <f t="shared" si="75"/>
        <v>1.6473276367355851</v>
      </c>
    </row>
    <row r="399" spans="1:76" x14ac:dyDescent="0.3">
      <c r="A399" s="749">
        <v>42986</v>
      </c>
      <c r="B399">
        <v>68700</v>
      </c>
      <c r="C399">
        <v>1093.489</v>
      </c>
      <c r="D399">
        <v>46480</v>
      </c>
      <c r="E399">
        <v>32.450000000000003</v>
      </c>
      <c r="F399">
        <v>5913.37</v>
      </c>
      <c r="G399">
        <v>2339.1999999999998</v>
      </c>
      <c r="H399">
        <v>661.99</v>
      </c>
      <c r="I399">
        <v>307.77999999999997</v>
      </c>
      <c r="J399">
        <v>2056.31</v>
      </c>
      <c r="K399">
        <v>11290000</v>
      </c>
      <c r="L399">
        <v>2461.4299999999998</v>
      </c>
      <c r="AO399" s="749">
        <v>42986</v>
      </c>
      <c r="AP399">
        <v>5913.37</v>
      </c>
      <c r="AQ399">
        <v>2339.1999999999998</v>
      </c>
      <c r="AR399">
        <f t="shared" si="66"/>
        <v>1.3588331265223585</v>
      </c>
      <c r="AS399">
        <f t="shared" si="67"/>
        <v>1.1934328540963031</v>
      </c>
      <c r="BF399" s="749">
        <v>42986</v>
      </c>
      <c r="BG399">
        <v>5913.37</v>
      </c>
      <c r="BH399">
        <v>68700</v>
      </c>
      <c r="BI399">
        <v>1093.489</v>
      </c>
      <c r="BJ399">
        <v>32.450000000000003</v>
      </c>
      <c r="BK399">
        <v>2461.4299999999998</v>
      </c>
      <c r="BL399">
        <v>661.99</v>
      </c>
      <c r="BM399">
        <v>2056.31</v>
      </c>
      <c r="BN399" s="14">
        <f t="shared" si="76"/>
        <v>-1.2446767648090273E-2</v>
      </c>
      <c r="BO399" s="14">
        <f t="shared" si="68"/>
        <v>4.3859649122806044E-3</v>
      </c>
      <c r="BP399" s="14">
        <f t="shared" si="69"/>
        <v>-2.3093986718947468E-2</v>
      </c>
      <c r="BQ399" s="14">
        <f t="shared" si="70"/>
        <v>-4.6012269938650041E-3</v>
      </c>
      <c r="BR399" s="14">
        <f t="shared" si="71"/>
        <v>-6.1052674082898717E-3</v>
      </c>
      <c r="BS399" s="14">
        <f t="shared" si="72"/>
        <v>1.8023282636443261E-2</v>
      </c>
      <c r="BT399" s="14">
        <f t="shared" si="73"/>
        <v>-1.1379917114587634E-2</v>
      </c>
      <c r="BV399" s="749">
        <v>42986</v>
      </c>
      <c r="BW399">
        <f t="shared" si="74"/>
        <v>1.1827088478651535</v>
      </c>
      <c r="BX399">
        <f t="shared" si="75"/>
        <v>1.5709062647251497</v>
      </c>
    </row>
    <row r="400" spans="1:76" x14ac:dyDescent="0.3">
      <c r="A400" s="749">
        <v>42979</v>
      </c>
      <c r="B400">
        <v>68400</v>
      </c>
      <c r="C400">
        <v>1119.3389999999999</v>
      </c>
      <c r="D400">
        <v>47020</v>
      </c>
      <c r="E400">
        <v>32.6</v>
      </c>
      <c r="F400">
        <v>5987.9</v>
      </c>
      <c r="G400">
        <v>2366.34</v>
      </c>
      <c r="H400">
        <v>650.27</v>
      </c>
      <c r="I400">
        <v>311.20999999999998</v>
      </c>
      <c r="J400">
        <v>2079.98</v>
      </c>
      <c r="K400">
        <v>12050000</v>
      </c>
      <c r="L400">
        <v>2476.5500000000002</v>
      </c>
      <c r="AO400" s="749">
        <v>42979</v>
      </c>
      <c r="AP400">
        <v>5987.9</v>
      </c>
      <c r="AQ400">
        <v>2366.34</v>
      </c>
      <c r="AR400">
        <f t="shared" si="66"/>
        <v>1.3759593731329562</v>
      </c>
      <c r="AS400">
        <f t="shared" si="67"/>
        <v>1.2072793689989083</v>
      </c>
      <c r="BF400" s="749">
        <v>42979</v>
      </c>
      <c r="BG400">
        <v>5987.9</v>
      </c>
      <c r="BH400">
        <v>68400</v>
      </c>
      <c r="BI400">
        <v>1119.3389999999999</v>
      </c>
      <c r="BJ400">
        <v>32.6</v>
      </c>
      <c r="BK400">
        <v>2476.5500000000002</v>
      </c>
      <c r="BL400">
        <v>650.27</v>
      </c>
      <c r="BM400">
        <v>2079.98</v>
      </c>
      <c r="BN400" s="14">
        <f t="shared" si="76"/>
        <v>2.8401742884965886E-2</v>
      </c>
      <c r="BO400" s="14">
        <f t="shared" si="68"/>
        <v>2.0895522388059806E-2</v>
      </c>
      <c r="BP400" s="14">
        <f t="shared" si="69"/>
        <v>3.5947313183365415E-2</v>
      </c>
      <c r="BQ400" s="14">
        <f t="shared" si="70"/>
        <v>7.6262793000990481E-2</v>
      </c>
      <c r="BR400" s="14">
        <f t="shared" si="71"/>
        <v>1.3712367737050091E-2</v>
      </c>
      <c r="BS400" s="14">
        <f t="shared" si="72"/>
        <v>1.0394978091301743E-2</v>
      </c>
      <c r="BT400" s="14">
        <f t="shared" si="73"/>
        <v>1.1147030942368907E-2</v>
      </c>
      <c r="BV400" s="749">
        <v>42979</v>
      </c>
      <c r="BW400">
        <f t="shared" si="74"/>
        <v>1.1899739570820402</v>
      </c>
      <c r="BX400">
        <f t="shared" si="75"/>
        <v>1.6080423739527185</v>
      </c>
    </row>
    <row r="401" spans="1:76" x14ac:dyDescent="0.3">
      <c r="A401" s="749">
        <v>42972</v>
      </c>
      <c r="B401">
        <v>67000</v>
      </c>
      <c r="C401">
        <v>1080.498</v>
      </c>
      <c r="D401">
        <v>46900</v>
      </c>
      <c r="E401">
        <v>30.29</v>
      </c>
      <c r="F401">
        <v>5822.53</v>
      </c>
      <c r="G401">
        <v>2343.92</v>
      </c>
      <c r="H401">
        <v>643.58000000000004</v>
      </c>
      <c r="I401">
        <v>308.39</v>
      </c>
      <c r="J401">
        <v>2057.0500000000002</v>
      </c>
      <c r="K401">
        <v>16790000</v>
      </c>
      <c r="L401">
        <v>2443.0500000000002</v>
      </c>
      <c r="AO401" s="749">
        <v>42972</v>
      </c>
      <c r="AP401">
        <v>5822.53</v>
      </c>
      <c r="AQ401">
        <v>2343.92</v>
      </c>
      <c r="AR401">
        <f t="shared" si="66"/>
        <v>1.3379590054690012</v>
      </c>
      <c r="AS401">
        <f t="shared" si="67"/>
        <v>1.1958409436445825</v>
      </c>
      <c r="BF401" s="749">
        <v>42972</v>
      </c>
      <c r="BG401">
        <v>5822.53</v>
      </c>
      <c r="BH401">
        <v>67000</v>
      </c>
      <c r="BI401">
        <v>1080.498</v>
      </c>
      <c r="BJ401">
        <v>30.29</v>
      </c>
      <c r="BK401">
        <v>2443.0500000000002</v>
      </c>
      <c r="BL401">
        <v>643.58000000000004</v>
      </c>
      <c r="BM401">
        <v>2057.0500000000002</v>
      </c>
      <c r="BN401" s="14">
        <f t="shared" si="76"/>
        <v>5.4602817173812213E-3</v>
      </c>
      <c r="BO401" s="14">
        <f t="shared" si="68"/>
        <v>9.1205211726384405E-2</v>
      </c>
      <c r="BP401" s="14">
        <f t="shared" si="69"/>
        <v>8.0269131089454326E-3</v>
      </c>
      <c r="BQ401" s="14">
        <f t="shared" si="70"/>
        <v>-2.9624753127057701E-3</v>
      </c>
      <c r="BR401" s="14">
        <f t="shared" si="71"/>
        <v>7.2148584857043563E-3</v>
      </c>
      <c r="BS401" s="14">
        <f t="shared" si="72"/>
        <v>2.4254384568864085E-2</v>
      </c>
      <c r="BT401" s="14">
        <f t="shared" si="73"/>
        <v>2.3682979506932211E-2</v>
      </c>
      <c r="BV401" s="749">
        <v>42972</v>
      </c>
      <c r="BW401">
        <f t="shared" si="74"/>
        <v>1.1738773195975363</v>
      </c>
      <c r="BX401">
        <f t="shared" si="75"/>
        <v>1.5522433945133376</v>
      </c>
    </row>
    <row r="402" spans="1:76" x14ac:dyDescent="0.3">
      <c r="A402" s="749">
        <v>42965</v>
      </c>
      <c r="B402">
        <v>61400</v>
      </c>
      <c r="C402">
        <v>1071.894</v>
      </c>
      <c r="D402">
        <v>44620</v>
      </c>
      <c r="E402">
        <v>30.38</v>
      </c>
      <c r="F402">
        <v>5790.91</v>
      </c>
      <c r="G402">
        <v>2295.56</v>
      </c>
      <c r="H402">
        <v>628.34</v>
      </c>
      <c r="I402">
        <v>302.72000000000003</v>
      </c>
      <c r="J402">
        <v>2009.46</v>
      </c>
      <c r="K402">
        <v>23070000</v>
      </c>
      <c r="L402">
        <v>2425.5500000000002</v>
      </c>
      <c r="AO402" s="749">
        <v>42965</v>
      </c>
      <c r="AP402">
        <v>5790.91</v>
      </c>
      <c r="AQ402">
        <v>2295.56</v>
      </c>
      <c r="AR402">
        <f t="shared" si="66"/>
        <v>1.3306930465554483</v>
      </c>
      <c r="AS402">
        <f t="shared" si="67"/>
        <v>1.1711682295439936</v>
      </c>
      <c r="BF402" s="749">
        <v>42965</v>
      </c>
      <c r="BG402">
        <v>5790.91</v>
      </c>
      <c r="BH402">
        <v>61400</v>
      </c>
      <c r="BI402">
        <v>1071.894</v>
      </c>
      <c r="BJ402">
        <v>30.38</v>
      </c>
      <c r="BK402">
        <v>2425.5500000000002</v>
      </c>
      <c r="BL402">
        <v>628.34</v>
      </c>
      <c r="BM402">
        <v>2009.46</v>
      </c>
      <c r="BN402" s="14">
        <f t="shared" si="76"/>
        <v>-6.9655819313284573E-3</v>
      </c>
      <c r="BO402" s="14">
        <f t="shared" si="68"/>
        <v>-4.0625000000000022E-2</v>
      </c>
      <c r="BP402" s="14">
        <f t="shared" si="69"/>
        <v>5.3197176572983285E-3</v>
      </c>
      <c r="BQ402" s="14">
        <f t="shared" si="70"/>
        <v>8.4612638343448676E-2</v>
      </c>
      <c r="BR402" s="14">
        <f t="shared" si="71"/>
        <v>-6.4596202054626461E-3</v>
      </c>
      <c r="BS402" s="14">
        <f t="shared" si="72"/>
        <v>-2.063655350852589E-2</v>
      </c>
      <c r="BT402" s="14">
        <f t="shared" si="73"/>
        <v>-3.7923654765951609E-2</v>
      </c>
      <c r="BV402" s="749">
        <v>42965</v>
      </c>
      <c r="BW402">
        <f t="shared" si="74"/>
        <v>1.1654686283742879</v>
      </c>
      <c r="BX402">
        <f t="shared" si="75"/>
        <v>1.5398828883704361</v>
      </c>
    </row>
    <row r="403" spans="1:76" x14ac:dyDescent="0.3">
      <c r="A403" s="749">
        <v>42958</v>
      </c>
      <c r="B403">
        <v>64000</v>
      </c>
      <c r="C403">
        <v>1066.222</v>
      </c>
      <c r="D403">
        <v>47700</v>
      </c>
      <c r="E403">
        <v>28.01</v>
      </c>
      <c r="F403">
        <v>5831.53</v>
      </c>
      <c r="G403">
        <v>2381.91</v>
      </c>
      <c r="H403">
        <v>641.58000000000004</v>
      </c>
      <c r="I403">
        <v>313.45999999999998</v>
      </c>
      <c r="J403">
        <v>2088.67</v>
      </c>
      <c r="K403">
        <v>23610000</v>
      </c>
      <c r="L403">
        <v>2441.3200000000002</v>
      </c>
      <c r="AO403" s="749">
        <v>42958</v>
      </c>
      <c r="AP403">
        <v>5831.53</v>
      </c>
      <c r="AQ403">
        <v>2381.91</v>
      </c>
      <c r="AR403">
        <f t="shared" si="66"/>
        <v>1.3400271152166918</v>
      </c>
      <c r="AS403">
        <f t="shared" si="67"/>
        <v>1.2152230033774476</v>
      </c>
      <c r="BF403" s="749">
        <v>42958</v>
      </c>
      <c r="BG403">
        <v>5831.53</v>
      </c>
      <c r="BH403">
        <v>64000</v>
      </c>
      <c r="BI403">
        <v>1066.222</v>
      </c>
      <c r="BJ403">
        <v>28.01</v>
      </c>
      <c r="BK403">
        <v>2441.3200000000002</v>
      </c>
      <c r="BL403">
        <v>641.58000000000004</v>
      </c>
      <c r="BM403">
        <v>2088.67</v>
      </c>
      <c r="BN403" s="14">
        <f t="shared" si="76"/>
        <v>-1.1590007305196215E-2</v>
      </c>
      <c r="BO403" s="14">
        <f t="shared" si="68"/>
        <v>-9.2879256965944235E-3</v>
      </c>
      <c r="BP403" s="14">
        <f t="shared" si="69"/>
        <v>-1.2250728614492945E-2</v>
      </c>
      <c r="BQ403" s="14">
        <f t="shared" si="70"/>
        <v>3.223495702005641E-3</v>
      </c>
      <c r="BR403" s="14">
        <f t="shared" si="71"/>
        <v>-1.4336874149618595E-2</v>
      </c>
      <c r="BS403" s="14">
        <f t="shared" si="72"/>
        <v>-1.7413278198943227E-2</v>
      </c>
      <c r="BT403" s="14">
        <f t="shared" si="73"/>
        <v>-8.8016799728307671E-4</v>
      </c>
      <c r="BV403" s="749">
        <v>42958</v>
      </c>
      <c r="BW403">
        <f t="shared" si="74"/>
        <v>1.1730460604080379</v>
      </c>
      <c r="BX403">
        <f t="shared" si="75"/>
        <v>1.5317344933399226</v>
      </c>
    </row>
    <row r="404" spans="1:76" x14ac:dyDescent="0.3">
      <c r="A404" s="749">
        <v>42951</v>
      </c>
      <c r="B404">
        <v>64600</v>
      </c>
      <c r="C404">
        <v>1079.4459999999999</v>
      </c>
      <c r="D404">
        <v>47760</v>
      </c>
      <c r="E404">
        <v>27.92</v>
      </c>
      <c r="F404">
        <v>5899.91</v>
      </c>
      <c r="G404">
        <v>2386.5100000000002</v>
      </c>
      <c r="H404">
        <v>652.95000000000005</v>
      </c>
      <c r="I404">
        <v>314.13</v>
      </c>
      <c r="J404">
        <v>2090.5100000000002</v>
      </c>
      <c r="K404">
        <v>33560000</v>
      </c>
      <c r="L404">
        <v>2476.83</v>
      </c>
      <c r="AO404" s="749">
        <v>42951</v>
      </c>
      <c r="AP404">
        <v>5899.91</v>
      </c>
      <c r="AQ404">
        <v>2386.5100000000002</v>
      </c>
      <c r="AR404">
        <f t="shared" si="66"/>
        <v>1.3557401534997011</v>
      </c>
      <c r="AS404">
        <f t="shared" si="67"/>
        <v>1.2175698703100928</v>
      </c>
      <c r="BF404" s="749">
        <v>42951</v>
      </c>
      <c r="BG404">
        <v>5899.91</v>
      </c>
      <c r="BH404">
        <v>64600</v>
      </c>
      <c r="BI404">
        <v>1079.4459999999999</v>
      </c>
      <c r="BJ404">
        <v>27.92</v>
      </c>
      <c r="BK404">
        <v>2476.83</v>
      </c>
      <c r="BL404">
        <v>652.95000000000005</v>
      </c>
      <c r="BM404">
        <v>2090.5100000000002</v>
      </c>
      <c r="BN404" s="14">
        <f t="shared" si="76"/>
        <v>-1.5248133330626468E-3</v>
      </c>
      <c r="BO404" s="14">
        <f t="shared" si="68"/>
        <v>-9.2696629213483095E-2</v>
      </c>
      <c r="BP404" s="14">
        <f t="shared" si="69"/>
        <v>-1.2393503337627454E-2</v>
      </c>
      <c r="BQ404" s="14">
        <f t="shared" si="70"/>
        <v>-4.644808743169393E-2</v>
      </c>
      <c r="BR404" s="14">
        <f t="shared" si="71"/>
        <v>1.9133530196997484E-3</v>
      </c>
      <c r="BS404" s="14">
        <f t="shared" si="72"/>
        <v>-3.4954182678096357E-2</v>
      </c>
      <c r="BT404" s="14">
        <f t="shared" si="73"/>
        <v>-2.8826141896160729E-2</v>
      </c>
      <c r="BV404" s="749">
        <v>42951</v>
      </c>
      <c r="BW404">
        <f t="shared" si="74"/>
        <v>1.190108496141612</v>
      </c>
      <c r="BX404">
        <f t="shared" si="75"/>
        <v>1.5507320913447724</v>
      </c>
    </row>
    <row r="405" spans="1:76" x14ac:dyDescent="0.3">
      <c r="A405" s="749">
        <v>42944</v>
      </c>
      <c r="B405">
        <v>71200</v>
      </c>
      <c r="C405">
        <v>1092.992</v>
      </c>
      <c r="D405">
        <v>51080</v>
      </c>
      <c r="E405">
        <v>29.28</v>
      </c>
      <c r="F405">
        <v>5908.92</v>
      </c>
      <c r="G405">
        <v>2451.0700000000002</v>
      </c>
      <c r="H405">
        <v>676.6</v>
      </c>
      <c r="I405">
        <v>321.79000000000002</v>
      </c>
      <c r="J405">
        <v>2152.56</v>
      </c>
      <c r="K405">
        <v>10130000</v>
      </c>
      <c r="L405">
        <v>2472.1</v>
      </c>
      <c r="AO405" s="749">
        <v>42944</v>
      </c>
      <c r="AP405">
        <v>5908.92</v>
      </c>
      <c r="AQ405">
        <v>2451.0700000000002</v>
      </c>
      <c r="AR405">
        <f t="shared" si="66"/>
        <v>1.3578105611471114</v>
      </c>
      <c r="AS405">
        <f t="shared" si="67"/>
        <v>1.2505076375213005</v>
      </c>
      <c r="BF405" s="749">
        <v>42944</v>
      </c>
      <c r="BG405">
        <v>5908.92</v>
      </c>
      <c r="BH405">
        <v>71200</v>
      </c>
      <c r="BI405">
        <v>1092.992</v>
      </c>
      <c r="BJ405">
        <v>29.28</v>
      </c>
      <c r="BK405">
        <v>2472.1</v>
      </c>
      <c r="BL405">
        <v>676.6</v>
      </c>
      <c r="BM405">
        <v>2152.56</v>
      </c>
      <c r="BN405" s="14">
        <f t="shared" si="76"/>
        <v>-2.1295172024796694E-3</v>
      </c>
      <c r="BO405" s="14">
        <f t="shared" si="68"/>
        <v>1.4064697609001975E-3</v>
      </c>
      <c r="BP405" s="14">
        <f t="shared" si="69"/>
        <v>-1.3136308272109098E-2</v>
      </c>
      <c r="BQ405" s="14">
        <f t="shared" si="70"/>
        <v>-8.5285848172445999E-2</v>
      </c>
      <c r="BR405" s="14">
        <f t="shared" si="71"/>
        <v>-1.7795465391867715E-4</v>
      </c>
      <c r="BS405" s="14">
        <f t="shared" si="72"/>
        <v>3.4382596199415971E-2</v>
      </c>
      <c r="BT405" s="14">
        <f t="shared" si="73"/>
        <v>1.3489272144299846E-2</v>
      </c>
      <c r="BV405" s="749">
        <v>42944</v>
      </c>
      <c r="BW405">
        <f t="shared" si="74"/>
        <v>1.1878357470281282</v>
      </c>
      <c r="BX405">
        <f t="shared" si="75"/>
        <v>1.5701922745400008</v>
      </c>
    </row>
    <row r="406" spans="1:76" x14ac:dyDescent="0.3">
      <c r="A406" s="749">
        <v>42937</v>
      </c>
      <c r="B406">
        <v>71100</v>
      </c>
      <c r="C406">
        <v>1107.5409999999999</v>
      </c>
      <c r="D406">
        <v>50480</v>
      </c>
      <c r="E406">
        <v>32.01</v>
      </c>
      <c r="F406">
        <v>5921.53</v>
      </c>
      <c r="G406">
        <v>2418.31</v>
      </c>
      <c r="H406">
        <v>654.11</v>
      </c>
      <c r="I406">
        <v>317.35000000000002</v>
      </c>
      <c r="J406">
        <v>2123.91</v>
      </c>
      <c r="K406">
        <v>17680000</v>
      </c>
      <c r="L406">
        <v>2472.54</v>
      </c>
      <c r="AO406" s="749">
        <v>42937</v>
      </c>
      <c r="AP406">
        <v>5921.53</v>
      </c>
      <c r="AQ406">
        <v>2418.31</v>
      </c>
      <c r="AR406">
        <f t="shared" si="66"/>
        <v>1.3607082126935979</v>
      </c>
      <c r="AS406">
        <f t="shared" si="67"/>
        <v>1.2337938634531596</v>
      </c>
      <c r="BF406" s="749">
        <v>42937</v>
      </c>
      <c r="BG406">
        <v>5921.53</v>
      </c>
      <c r="BH406">
        <v>71100</v>
      </c>
      <c r="BI406">
        <v>1107.5409999999999</v>
      </c>
      <c r="BJ406">
        <v>32.01</v>
      </c>
      <c r="BK406">
        <v>2472.54</v>
      </c>
      <c r="BL406">
        <v>654.11</v>
      </c>
      <c r="BM406">
        <v>2123.91</v>
      </c>
      <c r="BN406" s="14">
        <f t="shared" si="76"/>
        <v>1.4294082986187284E-2</v>
      </c>
      <c r="BO406" s="14">
        <f t="shared" si="68"/>
        <v>6.7567567567567544E-2</v>
      </c>
      <c r="BP406" s="14">
        <f t="shared" si="69"/>
        <v>2.9212679353263216E-3</v>
      </c>
      <c r="BQ406" s="14">
        <f t="shared" si="70"/>
        <v>6.9204152249133788E-3</v>
      </c>
      <c r="BR406" s="14">
        <f t="shared" si="71"/>
        <v>5.3959101684646349E-3</v>
      </c>
      <c r="BS406" s="14">
        <f t="shared" si="72"/>
        <v>-1.4553233800864707E-2</v>
      </c>
      <c r="BT406" s="14">
        <f t="shared" si="73"/>
        <v>2.7090415834498005E-2</v>
      </c>
      <c r="BV406" s="749">
        <v>42937</v>
      </c>
      <c r="BW406">
        <f t="shared" si="74"/>
        <v>1.1880471655503129</v>
      </c>
      <c r="BX406">
        <f t="shared" si="75"/>
        <v>1.5910933675052579</v>
      </c>
    </row>
    <row r="407" spans="1:76" x14ac:dyDescent="0.3">
      <c r="A407" s="749">
        <v>42930</v>
      </c>
      <c r="B407">
        <v>66600</v>
      </c>
      <c r="C407">
        <v>1104.3150000000001</v>
      </c>
      <c r="D407">
        <v>47860</v>
      </c>
      <c r="E407">
        <v>31.79</v>
      </c>
      <c r="F407">
        <v>5838.08</v>
      </c>
      <c r="G407">
        <v>2360.36</v>
      </c>
      <c r="H407">
        <v>663.77</v>
      </c>
      <c r="I407">
        <v>310.66000000000003</v>
      </c>
      <c r="J407">
        <v>2067.89</v>
      </c>
      <c r="K407">
        <v>18510000</v>
      </c>
      <c r="L407">
        <v>2459.27</v>
      </c>
      <c r="AO407" s="749">
        <v>42930</v>
      </c>
      <c r="AP407">
        <v>5838.08</v>
      </c>
      <c r="AQ407">
        <v>2360.36</v>
      </c>
      <c r="AR407">
        <f t="shared" si="66"/>
        <v>1.3415322395330667</v>
      </c>
      <c r="AS407">
        <f t="shared" si="67"/>
        <v>1.2042284419864699</v>
      </c>
      <c r="BF407" s="749">
        <v>42930</v>
      </c>
      <c r="BG407">
        <v>5838.08</v>
      </c>
      <c r="BH407">
        <v>66600</v>
      </c>
      <c r="BI407">
        <v>1104.3150000000001</v>
      </c>
      <c r="BJ407">
        <v>31.79</v>
      </c>
      <c r="BK407">
        <v>2459.27</v>
      </c>
      <c r="BL407">
        <v>663.77</v>
      </c>
      <c r="BM407">
        <v>2067.89</v>
      </c>
      <c r="BN407" s="14">
        <f t="shared" si="76"/>
        <v>3.2106596516908947E-2</v>
      </c>
      <c r="BO407" s="14">
        <f t="shared" si="68"/>
        <v>-1.1869436201780381E-2</v>
      </c>
      <c r="BP407" s="14">
        <f t="shared" si="69"/>
        <v>4.6841317961289208E-2</v>
      </c>
      <c r="BQ407" s="14">
        <f t="shared" si="70"/>
        <v>5.2649006622516481E-2</v>
      </c>
      <c r="BR407" s="14">
        <f t="shared" si="71"/>
        <v>1.4056688575693421E-2</v>
      </c>
      <c r="BS407" s="14">
        <f t="shared" si="72"/>
        <v>-7.8769580294152375E-3</v>
      </c>
      <c r="BT407" s="14">
        <f t="shared" si="73"/>
        <v>-2.3784023697186463E-3</v>
      </c>
      <c r="BV407" s="749">
        <v>42930</v>
      </c>
      <c r="BW407">
        <f t="shared" si="74"/>
        <v>1.1816709751198839</v>
      </c>
      <c r="BX407">
        <f t="shared" si="75"/>
        <v>1.586458896001655</v>
      </c>
    </row>
    <row r="408" spans="1:76" x14ac:dyDescent="0.3">
      <c r="A408" s="749">
        <v>42923</v>
      </c>
      <c r="B408">
        <v>67400</v>
      </c>
      <c r="C408">
        <v>1054.902</v>
      </c>
      <c r="D408">
        <v>47540</v>
      </c>
      <c r="E408">
        <v>30.2</v>
      </c>
      <c r="F408">
        <v>5656.47</v>
      </c>
      <c r="G408">
        <v>2368.36</v>
      </c>
      <c r="H408">
        <v>669.04</v>
      </c>
      <c r="I408">
        <v>311.76</v>
      </c>
      <c r="J408">
        <v>2072.8200000000002</v>
      </c>
      <c r="K408">
        <v>20920000</v>
      </c>
      <c r="L408">
        <v>2425.1799999999998</v>
      </c>
      <c r="AO408" s="749">
        <v>42923</v>
      </c>
      <c r="AP408">
        <v>5656.47</v>
      </c>
      <c r="AQ408">
        <v>2368.36</v>
      </c>
      <c r="AR408">
        <f t="shared" si="66"/>
        <v>1.2998000827243898</v>
      </c>
      <c r="AS408">
        <f t="shared" si="67"/>
        <v>1.2083099496954175</v>
      </c>
      <c r="BF408" s="749">
        <v>42923</v>
      </c>
      <c r="BG408">
        <v>5656.47</v>
      </c>
      <c r="BH408">
        <v>67400</v>
      </c>
      <c r="BI408">
        <v>1054.902</v>
      </c>
      <c r="BJ408">
        <v>30.2</v>
      </c>
      <c r="BK408">
        <v>2425.1799999999998</v>
      </c>
      <c r="BL408">
        <v>669.04</v>
      </c>
      <c r="BM408">
        <v>2072.8200000000002</v>
      </c>
      <c r="BN408" s="14">
        <f t="shared" si="76"/>
        <v>1.6911874083571643E-3</v>
      </c>
      <c r="BO408" s="14">
        <f t="shared" si="68"/>
        <v>3.6923076923076836E-2</v>
      </c>
      <c r="BP408" s="14">
        <f t="shared" si="69"/>
        <v>1.9320576631523423E-2</v>
      </c>
      <c r="BQ408" s="14">
        <f t="shared" si="70"/>
        <v>1.1386470194239884E-2</v>
      </c>
      <c r="BR408" s="14">
        <f t="shared" si="71"/>
        <v>7.3037579278789622E-4</v>
      </c>
      <c r="BS408" s="14">
        <f t="shared" si="72"/>
        <v>1.6444172035945392E-4</v>
      </c>
      <c r="BT408" s="14">
        <f t="shared" si="73"/>
        <v>6.3405445294597573E-3</v>
      </c>
      <c r="BV408" s="749">
        <v>42923</v>
      </c>
      <c r="BW408">
        <f t="shared" si="74"/>
        <v>1.1652908446169961</v>
      </c>
      <c r="BX408">
        <f t="shared" si="75"/>
        <v>1.5154721816781787</v>
      </c>
    </row>
    <row r="409" spans="1:76" x14ac:dyDescent="0.3">
      <c r="A409" s="749">
        <v>42916</v>
      </c>
      <c r="B409">
        <v>65000</v>
      </c>
      <c r="C409">
        <v>1034.9069999999999</v>
      </c>
      <c r="D409">
        <v>47620</v>
      </c>
      <c r="E409">
        <v>29.86</v>
      </c>
      <c r="F409">
        <v>5646.92</v>
      </c>
      <c r="G409">
        <v>2356.46</v>
      </c>
      <c r="H409">
        <v>668.93</v>
      </c>
      <c r="I409">
        <v>310.26</v>
      </c>
      <c r="J409">
        <v>2059.7600000000002</v>
      </c>
      <c r="K409">
        <v>25650000</v>
      </c>
      <c r="L409">
        <v>2423.41</v>
      </c>
      <c r="AO409" s="749">
        <v>42916</v>
      </c>
      <c r="AP409">
        <v>5646.92</v>
      </c>
      <c r="AQ409">
        <v>2356.46</v>
      </c>
      <c r="AR409">
        <f t="shared" si="66"/>
        <v>1.2976055884921183</v>
      </c>
      <c r="AS409">
        <f t="shared" si="67"/>
        <v>1.2022387069783578</v>
      </c>
      <c r="BF409" s="749">
        <v>42916</v>
      </c>
      <c r="BG409">
        <v>5646.92</v>
      </c>
      <c r="BH409">
        <v>65000</v>
      </c>
      <c r="BI409">
        <v>1034.9069999999999</v>
      </c>
      <c r="BJ409">
        <v>29.86</v>
      </c>
      <c r="BK409">
        <v>2423.41</v>
      </c>
      <c r="BL409">
        <v>668.93</v>
      </c>
      <c r="BM409">
        <v>2059.7600000000002</v>
      </c>
      <c r="BN409" s="14">
        <f t="shared" si="76"/>
        <v>-2.6914878401408826E-2</v>
      </c>
      <c r="BO409" s="14">
        <f t="shared" si="68"/>
        <v>7.4380165289256173E-2</v>
      </c>
      <c r="BP409" s="14">
        <f t="shared" si="69"/>
        <v>-4.9221669771902898E-2</v>
      </c>
      <c r="BQ409" s="14">
        <f t="shared" si="70"/>
        <v>-5.8934762054837719E-2</v>
      </c>
      <c r="BR409" s="14">
        <f t="shared" si="71"/>
        <v>-6.1067136939672029E-3</v>
      </c>
      <c r="BS409" s="14">
        <f t="shared" si="72"/>
        <v>-2.6390338452364492E-3</v>
      </c>
      <c r="BT409" s="14">
        <f t="shared" si="73"/>
        <v>1.6357365255278644E-2</v>
      </c>
      <c r="BV409" s="749">
        <v>42916</v>
      </c>
      <c r="BW409">
        <f t="shared" si="74"/>
        <v>1.1644403655618447</v>
      </c>
      <c r="BX409">
        <f t="shared" si="75"/>
        <v>1.4867473652756549</v>
      </c>
    </row>
    <row r="410" spans="1:76" x14ac:dyDescent="0.3">
      <c r="A410" s="749">
        <v>42909</v>
      </c>
      <c r="B410">
        <v>60500</v>
      </c>
      <c r="C410">
        <v>1088.4839999999999</v>
      </c>
      <c r="D410">
        <v>45580</v>
      </c>
      <c r="E410">
        <v>31.73</v>
      </c>
      <c r="F410">
        <v>5803.11</v>
      </c>
      <c r="G410">
        <v>2324.65</v>
      </c>
      <c r="H410">
        <v>670.7</v>
      </c>
      <c r="I410">
        <v>306.79000000000002</v>
      </c>
      <c r="J410">
        <v>2026.61</v>
      </c>
      <c r="K410">
        <v>19010000</v>
      </c>
      <c r="L410">
        <v>2438.3000000000002</v>
      </c>
      <c r="AO410" s="749">
        <v>42909</v>
      </c>
      <c r="AP410">
        <v>5803.11</v>
      </c>
      <c r="AQ410">
        <v>2324.65</v>
      </c>
      <c r="AR410">
        <f t="shared" si="66"/>
        <v>1.3334964842134287</v>
      </c>
      <c r="AS410">
        <f t="shared" si="67"/>
        <v>1.1860096119506547</v>
      </c>
      <c r="BF410" s="749">
        <v>42909</v>
      </c>
      <c r="BG410">
        <v>5803.11</v>
      </c>
      <c r="BH410">
        <v>60500</v>
      </c>
      <c r="BI410">
        <v>1088.4839999999999</v>
      </c>
      <c r="BJ410">
        <v>31.73</v>
      </c>
      <c r="BK410">
        <v>2438.3000000000002</v>
      </c>
      <c r="BL410">
        <v>670.7</v>
      </c>
      <c r="BM410">
        <v>2026.61</v>
      </c>
      <c r="BN410" s="14">
        <f t="shared" si="76"/>
        <v>2.1408154213338859E-2</v>
      </c>
      <c r="BO410" s="14">
        <f t="shared" si="68"/>
        <v>3.7735849056603765E-2</v>
      </c>
      <c r="BP410" s="14">
        <f t="shared" si="69"/>
        <v>1.991319600611674E-2</v>
      </c>
      <c r="BQ410" s="14">
        <f t="shared" si="70"/>
        <v>6.2625586068318917E-2</v>
      </c>
      <c r="BR410" s="14">
        <f t="shared" si="71"/>
        <v>2.1165978258637086E-3</v>
      </c>
      <c r="BS410" s="14">
        <f t="shared" si="72"/>
        <v>-5.1175554401838852E-3</v>
      </c>
      <c r="BT410" s="14">
        <f t="shared" si="73"/>
        <v>-8.2458183668876472E-3</v>
      </c>
      <c r="BV410" s="749">
        <v>42909</v>
      </c>
      <c r="BW410">
        <f t="shared" si="74"/>
        <v>1.1715949605512259</v>
      </c>
      <c r="BX410">
        <f t="shared" si="75"/>
        <v>1.5637160818747056</v>
      </c>
    </row>
    <row r="411" spans="1:76" x14ac:dyDescent="0.3">
      <c r="A411" s="749">
        <v>42902</v>
      </c>
      <c r="B411">
        <v>58300</v>
      </c>
      <c r="C411">
        <v>1067.232</v>
      </c>
      <c r="D411">
        <v>46100</v>
      </c>
      <c r="E411">
        <v>29.86</v>
      </c>
      <c r="F411">
        <v>5681.48</v>
      </c>
      <c r="G411">
        <v>2343.61</v>
      </c>
      <c r="H411">
        <v>674.15</v>
      </c>
      <c r="I411">
        <v>309.38</v>
      </c>
      <c r="J411">
        <v>2043.46</v>
      </c>
      <c r="K411">
        <v>14310000</v>
      </c>
      <c r="L411">
        <v>2433.15</v>
      </c>
      <c r="AO411" s="749">
        <v>42902</v>
      </c>
      <c r="AP411">
        <v>5681.48</v>
      </c>
      <c r="AQ411">
        <v>2343.61</v>
      </c>
      <c r="AR411">
        <f t="shared" si="66"/>
        <v>1.3055471299232499</v>
      </c>
      <c r="AS411">
        <f t="shared" si="67"/>
        <v>1.1956827852208607</v>
      </c>
      <c r="BF411" s="749">
        <v>42902</v>
      </c>
      <c r="BG411">
        <v>5681.48</v>
      </c>
      <c r="BH411">
        <v>58300</v>
      </c>
      <c r="BI411">
        <v>1067.232</v>
      </c>
      <c r="BJ411">
        <v>29.86</v>
      </c>
      <c r="BK411">
        <v>2433.15</v>
      </c>
      <c r="BL411">
        <v>674.15</v>
      </c>
      <c r="BM411">
        <v>2043.46</v>
      </c>
      <c r="BN411" s="14">
        <f t="shared" si="76"/>
        <v>-1.0529542280135251E-2</v>
      </c>
      <c r="BO411" s="14">
        <f t="shared" si="68"/>
        <v>2.1015761821365997E-2</v>
      </c>
      <c r="BP411" s="14">
        <f t="shared" si="69"/>
        <v>-2.0932086539228956E-2</v>
      </c>
      <c r="BQ411" s="14">
        <f t="shared" si="70"/>
        <v>-2.4183006535947738E-2</v>
      </c>
      <c r="BR411" s="14">
        <f t="shared" si="71"/>
        <v>5.6748787919924659E-4</v>
      </c>
      <c r="BS411" s="14">
        <f t="shared" si="72"/>
        <v>2.3331005798597371E-2</v>
      </c>
      <c r="BT411" s="14">
        <f t="shared" si="73"/>
        <v>4.9622055995712788E-3</v>
      </c>
      <c r="BV411" s="749">
        <v>42902</v>
      </c>
      <c r="BW411">
        <f t="shared" si="74"/>
        <v>1.1691204028483841</v>
      </c>
      <c r="BX411">
        <f t="shared" si="75"/>
        <v>1.5331854593097425</v>
      </c>
    </row>
    <row r="412" spans="1:76" x14ac:dyDescent="0.3">
      <c r="A412" s="749">
        <v>42895</v>
      </c>
      <c r="B412">
        <v>57100</v>
      </c>
      <c r="C412">
        <v>1090.049</v>
      </c>
      <c r="D412">
        <v>45960</v>
      </c>
      <c r="E412">
        <v>30.6</v>
      </c>
      <c r="F412">
        <v>5741.94</v>
      </c>
      <c r="G412">
        <v>2332.44</v>
      </c>
      <c r="H412">
        <v>658.78</v>
      </c>
      <c r="I412">
        <v>307.83</v>
      </c>
      <c r="J412">
        <v>2033.37</v>
      </c>
      <c r="K412">
        <v>13470000</v>
      </c>
      <c r="L412">
        <v>2431.77</v>
      </c>
      <c r="AO412" s="749">
        <v>42895</v>
      </c>
      <c r="AP412">
        <v>5741.94</v>
      </c>
      <c r="AQ412">
        <v>2332.44</v>
      </c>
      <c r="AR412">
        <f t="shared" si="66"/>
        <v>1.3194402316282916</v>
      </c>
      <c r="AS412">
        <f t="shared" si="67"/>
        <v>1.1899839800822425</v>
      </c>
      <c r="BF412" s="749">
        <v>42895</v>
      </c>
      <c r="BG412">
        <v>5741.94</v>
      </c>
      <c r="BH412">
        <v>57100</v>
      </c>
      <c r="BI412">
        <v>1090.049</v>
      </c>
      <c r="BJ412">
        <v>30.6</v>
      </c>
      <c r="BK412">
        <v>2431.77</v>
      </c>
      <c r="BL412">
        <v>658.78</v>
      </c>
      <c r="BM412">
        <v>2033.37</v>
      </c>
      <c r="BN412" s="14">
        <f t="shared" si="76"/>
        <v>-2.3722000999751858E-2</v>
      </c>
      <c r="BO412" s="14">
        <f t="shared" si="68"/>
        <v>0</v>
      </c>
      <c r="BP412" s="14">
        <f t="shared" si="69"/>
        <v>-1.2098082468882443E-2</v>
      </c>
      <c r="BQ412" s="14">
        <f t="shared" si="70"/>
        <v>-1.9545017622556893E-2</v>
      </c>
      <c r="BR412" s="14">
        <f t="shared" si="71"/>
        <v>-2.9929440319467204E-3</v>
      </c>
      <c r="BS412" s="14">
        <f t="shared" si="72"/>
        <v>1.9767495859197126E-2</v>
      </c>
      <c r="BT412" s="14">
        <f t="shared" si="73"/>
        <v>1.724248350879698E-3</v>
      </c>
      <c r="BV412" s="749">
        <v>42895</v>
      </c>
      <c r="BW412">
        <f t="shared" si="74"/>
        <v>1.1684573174833508</v>
      </c>
      <c r="BX412">
        <f t="shared" si="75"/>
        <v>1.5659643608279414</v>
      </c>
    </row>
    <row r="413" spans="1:76" x14ac:dyDescent="0.3">
      <c r="A413" s="749">
        <v>42888</v>
      </c>
      <c r="B413">
        <v>57100</v>
      </c>
      <c r="C413">
        <v>1103.3979999999999</v>
      </c>
      <c r="D413">
        <v>46080</v>
      </c>
      <c r="E413">
        <v>31.21</v>
      </c>
      <c r="F413">
        <v>5881.46</v>
      </c>
      <c r="G413">
        <v>2326.5500000000002</v>
      </c>
      <c r="H413">
        <v>646.01</v>
      </c>
      <c r="I413">
        <v>306.95999999999998</v>
      </c>
      <c r="J413">
        <v>2029.87</v>
      </c>
      <c r="K413">
        <v>12420000</v>
      </c>
      <c r="L413">
        <v>2439.0700000000002</v>
      </c>
      <c r="AO413" s="749">
        <v>42888</v>
      </c>
      <c r="AP413">
        <v>5881.46</v>
      </c>
      <c r="AQ413">
        <v>2326.5500000000002</v>
      </c>
      <c r="AR413">
        <f t="shared" si="66"/>
        <v>1.3515005285169355</v>
      </c>
      <c r="AS413">
        <f t="shared" si="67"/>
        <v>1.1869789700315299</v>
      </c>
      <c r="BF413" s="749">
        <v>42888</v>
      </c>
      <c r="BG413">
        <v>5881.46</v>
      </c>
      <c r="BH413">
        <v>57100</v>
      </c>
      <c r="BI413">
        <v>1103.3979999999999</v>
      </c>
      <c r="BJ413">
        <v>31.21</v>
      </c>
      <c r="BK413">
        <v>2439.0700000000002</v>
      </c>
      <c r="BL413">
        <v>646.01</v>
      </c>
      <c r="BM413">
        <v>2029.87</v>
      </c>
      <c r="BN413" s="14">
        <f t="shared" si="76"/>
        <v>1.6084003068226549E-2</v>
      </c>
      <c r="BO413" s="14">
        <f t="shared" si="68"/>
        <v>5.3505535055350606E-2</v>
      </c>
      <c r="BP413" s="14">
        <f t="shared" si="69"/>
        <v>1.7101982310836927E-2</v>
      </c>
      <c r="BQ413" s="14">
        <f t="shared" si="70"/>
        <v>4.8723118279569766E-2</v>
      </c>
      <c r="BR413" s="14">
        <f t="shared" si="71"/>
        <v>9.6240613953026966E-3</v>
      </c>
      <c r="BS413" s="14">
        <f t="shared" si="72"/>
        <v>5.5412872597089269E-3</v>
      </c>
      <c r="BT413" s="14">
        <f t="shared" si="73"/>
        <v>2.7662601317314905E-2</v>
      </c>
      <c r="BV413" s="749">
        <v>42888</v>
      </c>
      <c r="BW413">
        <f t="shared" si="74"/>
        <v>1.1719649429650489</v>
      </c>
      <c r="BX413">
        <f t="shared" si="75"/>
        <v>1.585141533829056</v>
      </c>
    </row>
    <row r="414" spans="1:76" x14ac:dyDescent="0.3">
      <c r="A414" s="749">
        <v>42881</v>
      </c>
      <c r="B414">
        <v>54200</v>
      </c>
      <c r="C414">
        <v>1084.845</v>
      </c>
      <c r="D414">
        <v>44720</v>
      </c>
      <c r="E414">
        <v>29.76</v>
      </c>
      <c r="F414">
        <v>5788.36</v>
      </c>
      <c r="G414">
        <v>2261.35</v>
      </c>
      <c r="H414">
        <v>642.45000000000005</v>
      </c>
      <c r="I414">
        <v>298.08</v>
      </c>
      <c r="J414">
        <v>1975.23</v>
      </c>
      <c r="K414">
        <v>12930000</v>
      </c>
      <c r="L414">
        <v>2415.8200000000002</v>
      </c>
      <c r="AO414" s="749">
        <v>42881</v>
      </c>
      <c r="AP414">
        <v>5788.36</v>
      </c>
      <c r="AQ414">
        <v>2261.35</v>
      </c>
      <c r="AR414">
        <f t="shared" si="66"/>
        <v>1.3301070821269358</v>
      </c>
      <c r="AS414">
        <f t="shared" si="67"/>
        <v>1.153714682203606</v>
      </c>
      <c r="BF414" s="749">
        <v>42881</v>
      </c>
      <c r="BG414">
        <v>5788.36</v>
      </c>
      <c r="BH414">
        <v>54200</v>
      </c>
      <c r="BI414">
        <v>1084.845</v>
      </c>
      <c r="BJ414">
        <v>29.76</v>
      </c>
      <c r="BK414">
        <v>2415.8200000000002</v>
      </c>
      <c r="BL414">
        <v>642.45000000000005</v>
      </c>
      <c r="BM414">
        <v>1975.23</v>
      </c>
      <c r="BN414" s="14">
        <f t="shared" si="76"/>
        <v>2.4205706035147712E-2</v>
      </c>
      <c r="BO414" s="14">
        <f t="shared" si="68"/>
        <v>-1.9891500904159143E-2</v>
      </c>
      <c r="BP414" s="14">
        <f t="shared" si="69"/>
        <v>2.2698669924686499E-2</v>
      </c>
      <c r="BQ414" s="14">
        <f t="shared" si="70"/>
        <v>6.9734004313443565E-2</v>
      </c>
      <c r="BR414" s="14">
        <f t="shared" si="71"/>
        <v>1.431312533326623E-2</v>
      </c>
      <c r="BS414" s="14">
        <f t="shared" si="72"/>
        <v>-1.9884112904478002E-3</v>
      </c>
      <c r="BT414" s="14">
        <f t="shared" si="73"/>
        <v>-1.8545656677952937E-3</v>
      </c>
      <c r="BV414" s="749">
        <v>42881</v>
      </c>
      <c r="BW414">
        <f t="shared" si="74"/>
        <v>1.1607933960541617</v>
      </c>
      <c r="BX414">
        <f t="shared" si="75"/>
        <v>1.5584882945834435</v>
      </c>
    </row>
    <row r="415" spans="1:76" x14ac:dyDescent="0.3">
      <c r="A415" s="749">
        <v>42874</v>
      </c>
      <c r="B415">
        <v>55300</v>
      </c>
      <c r="C415">
        <v>1060.7670000000001</v>
      </c>
      <c r="D415">
        <v>45820</v>
      </c>
      <c r="E415">
        <v>27.82</v>
      </c>
      <c r="F415">
        <v>5651.56</v>
      </c>
      <c r="G415">
        <v>2261.11</v>
      </c>
      <c r="H415">
        <v>643.73</v>
      </c>
      <c r="I415">
        <v>298.25</v>
      </c>
      <c r="J415">
        <v>1978.9</v>
      </c>
      <c r="K415">
        <v>14400000</v>
      </c>
      <c r="L415">
        <v>2381.73</v>
      </c>
      <c r="AO415" s="749">
        <v>42874</v>
      </c>
      <c r="AP415">
        <v>5651.56</v>
      </c>
      <c r="AQ415">
        <v>2261.11</v>
      </c>
      <c r="AR415">
        <f t="shared" si="66"/>
        <v>1.2986718139620388</v>
      </c>
      <c r="AS415">
        <f t="shared" si="67"/>
        <v>1.1535922369723377</v>
      </c>
      <c r="BF415" s="749">
        <v>42874</v>
      </c>
      <c r="BG415">
        <v>5651.56</v>
      </c>
      <c r="BH415">
        <v>55300</v>
      </c>
      <c r="BI415">
        <v>1060.7670000000001</v>
      </c>
      <c r="BJ415">
        <v>27.82</v>
      </c>
      <c r="BK415">
        <v>2381.73</v>
      </c>
      <c r="BL415">
        <v>643.73</v>
      </c>
      <c r="BM415">
        <v>1978.9</v>
      </c>
      <c r="BN415" s="14">
        <f t="shared" si="76"/>
        <v>-6.1985541982235715E-3</v>
      </c>
      <c r="BO415" s="14">
        <f t="shared" si="68"/>
        <v>-1.0733452593917669E-2</v>
      </c>
      <c r="BP415" s="14">
        <f t="shared" si="69"/>
        <v>1.4852048758040137E-2</v>
      </c>
      <c r="BQ415" s="14">
        <f t="shared" si="70"/>
        <v>-3.836847563083301E-2</v>
      </c>
      <c r="BR415" s="14">
        <f t="shared" si="71"/>
        <v>-3.8353757999080029E-3</v>
      </c>
      <c r="BS415" s="14">
        <f t="shared" si="72"/>
        <v>1.3572452016186176E-2</v>
      </c>
      <c r="BT415" s="14">
        <f t="shared" si="73"/>
        <v>1.8167411851264914E-2</v>
      </c>
      <c r="BV415" s="749">
        <v>42874</v>
      </c>
      <c r="BW415">
        <f t="shared" si="74"/>
        <v>1.144413265551274</v>
      </c>
      <c r="BX415">
        <f t="shared" si="75"/>
        <v>1.5238978405029251</v>
      </c>
    </row>
    <row r="416" spans="1:76" x14ac:dyDescent="0.3">
      <c r="A416" s="749">
        <v>42867</v>
      </c>
      <c r="B416">
        <v>55900</v>
      </c>
      <c r="C416">
        <v>1045.2429999999999</v>
      </c>
      <c r="D416">
        <v>45520</v>
      </c>
      <c r="E416">
        <v>28.93</v>
      </c>
      <c r="F416">
        <v>5686.81</v>
      </c>
      <c r="G416">
        <v>2217.5700000000002</v>
      </c>
      <c r="H416">
        <v>635.11</v>
      </c>
      <c r="I416">
        <v>292.47000000000003</v>
      </c>
      <c r="J416">
        <v>1943.59</v>
      </c>
      <c r="K416">
        <v>7130000</v>
      </c>
      <c r="L416">
        <v>2390.9</v>
      </c>
      <c r="AO416" s="749">
        <v>42867</v>
      </c>
      <c r="AP416">
        <v>5686.81</v>
      </c>
      <c r="AQ416">
        <v>2217.5700000000002</v>
      </c>
      <c r="AR416">
        <f t="shared" si="66"/>
        <v>1.3067719104738269</v>
      </c>
      <c r="AS416">
        <f t="shared" si="67"/>
        <v>1.1313786312663898</v>
      </c>
      <c r="BF416" s="749">
        <v>42867</v>
      </c>
      <c r="BG416">
        <v>5686.81</v>
      </c>
      <c r="BH416">
        <v>55900</v>
      </c>
      <c r="BI416">
        <v>1045.2429999999999</v>
      </c>
      <c r="BJ416">
        <v>28.93</v>
      </c>
      <c r="BK416">
        <v>2390.9</v>
      </c>
      <c r="BL416">
        <v>635.11</v>
      </c>
      <c r="BM416">
        <v>1943.59</v>
      </c>
      <c r="BN416" s="14">
        <f t="shared" si="76"/>
        <v>7.2120706542049273E-3</v>
      </c>
      <c r="BO416" s="14">
        <f t="shared" si="68"/>
        <v>3.5185185185185208E-2</v>
      </c>
      <c r="BP416" s="14">
        <f t="shared" si="69"/>
        <v>3.3836679910546952E-2</v>
      </c>
      <c r="BQ416" s="14">
        <f t="shared" si="70"/>
        <v>2.5886524822695156E-2</v>
      </c>
      <c r="BR416" s="14">
        <f t="shared" si="71"/>
        <v>-3.4968678233977535E-3</v>
      </c>
      <c r="BS416" s="14">
        <f t="shared" si="72"/>
        <v>1.0935311345982468E-2</v>
      </c>
      <c r="BT416" s="14">
        <f t="shared" si="73"/>
        <v>2.0310777468633523E-2</v>
      </c>
      <c r="BV416" s="749">
        <v>42867</v>
      </c>
      <c r="BW416">
        <f t="shared" si="74"/>
        <v>1.1488194197522561</v>
      </c>
      <c r="BX416">
        <f t="shared" si="75"/>
        <v>1.5015960625668019</v>
      </c>
    </row>
    <row r="417" spans="1:76" x14ac:dyDescent="0.3">
      <c r="A417" s="749">
        <v>42860</v>
      </c>
      <c r="B417">
        <v>54000</v>
      </c>
      <c r="C417">
        <v>1011.033</v>
      </c>
      <c r="D417">
        <v>44620</v>
      </c>
      <c r="E417">
        <v>28.2</v>
      </c>
      <c r="F417">
        <v>5646.09</v>
      </c>
      <c r="G417">
        <v>2176.4299999999998</v>
      </c>
      <c r="H417">
        <v>628.24</v>
      </c>
      <c r="I417">
        <v>287.20999999999998</v>
      </c>
      <c r="J417">
        <v>1904.9</v>
      </c>
      <c r="K417">
        <v>20400000</v>
      </c>
      <c r="L417">
        <v>2399.29</v>
      </c>
      <c r="AO417" s="749">
        <v>42860</v>
      </c>
      <c r="AP417">
        <v>5646.09</v>
      </c>
      <c r="AQ417">
        <v>2176.4299999999998</v>
      </c>
      <c r="AR417">
        <f t="shared" si="66"/>
        <v>1.2974148628153868</v>
      </c>
      <c r="AS417">
        <f t="shared" si="67"/>
        <v>1.1103894778731263</v>
      </c>
      <c r="BF417" s="749">
        <v>42860</v>
      </c>
      <c r="BG417">
        <v>5646.09</v>
      </c>
      <c r="BH417">
        <v>54000</v>
      </c>
      <c r="BI417">
        <v>1011.033</v>
      </c>
      <c r="BJ417">
        <v>28.2</v>
      </c>
      <c r="BK417">
        <v>2399.29</v>
      </c>
      <c r="BL417">
        <v>628.24</v>
      </c>
      <c r="BM417">
        <v>1904.9</v>
      </c>
      <c r="BN417" s="14">
        <f t="shared" si="76"/>
        <v>1.1204381457608381E-2</v>
      </c>
      <c r="BO417" s="14">
        <f t="shared" si="68"/>
        <v>3.8461538461538547E-2</v>
      </c>
      <c r="BP417" s="14">
        <f t="shared" si="69"/>
        <v>5.4757356092873799E-3</v>
      </c>
      <c r="BQ417" s="14">
        <f t="shared" si="70"/>
        <v>1.9154318756776201E-2</v>
      </c>
      <c r="BR417" s="14">
        <f t="shared" si="71"/>
        <v>6.3291670161900182E-3</v>
      </c>
      <c r="BS417" s="14">
        <f t="shared" si="72"/>
        <v>-1.0583343832682446E-2</v>
      </c>
      <c r="BT417" s="14">
        <f t="shared" si="73"/>
        <v>3.0505650496886805E-2</v>
      </c>
      <c r="BV417" s="749">
        <v>42860</v>
      </c>
      <c r="BW417">
        <f t="shared" si="74"/>
        <v>1.152850786573002</v>
      </c>
      <c r="BX417">
        <f t="shared" si="75"/>
        <v>1.4524499775890405</v>
      </c>
    </row>
    <row r="418" spans="1:76" x14ac:dyDescent="0.3">
      <c r="A418" s="749">
        <v>42853</v>
      </c>
      <c r="B418">
        <v>52000</v>
      </c>
      <c r="C418">
        <v>1005.527</v>
      </c>
      <c r="D418">
        <v>40760</v>
      </c>
      <c r="E418">
        <v>27.67</v>
      </c>
      <c r="F418">
        <v>5583.53</v>
      </c>
      <c r="G418">
        <v>2117.71</v>
      </c>
      <c r="H418">
        <v>634.96</v>
      </c>
      <c r="I418">
        <v>280.05</v>
      </c>
      <c r="J418">
        <v>1848.51</v>
      </c>
      <c r="K418">
        <v>12900000</v>
      </c>
      <c r="L418">
        <v>2384.1999999999998</v>
      </c>
      <c r="AO418" s="749">
        <v>42853</v>
      </c>
      <c r="AP418">
        <v>5583.53</v>
      </c>
      <c r="AQ418">
        <v>2117.71</v>
      </c>
      <c r="AR418">
        <f t="shared" si="66"/>
        <v>1.2830392021692172</v>
      </c>
      <c r="AS418">
        <f t="shared" si="67"/>
        <v>1.0804312112894503</v>
      </c>
      <c r="BF418" s="749">
        <v>42853</v>
      </c>
      <c r="BG418">
        <v>5583.53</v>
      </c>
      <c r="BH418">
        <v>52000</v>
      </c>
      <c r="BI418">
        <v>1005.527</v>
      </c>
      <c r="BJ418">
        <v>27.67</v>
      </c>
      <c r="BK418">
        <v>2384.1999999999998</v>
      </c>
      <c r="BL418">
        <v>634.96</v>
      </c>
      <c r="BM418">
        <v>1848.51</v>
      </c>
      <c r="BN418" s="14">
        <f t="shared" si="76"/>
        <v>2.5997556068025673E-2</v>
      </c>
      <c r="BO418" s="14">
        <f t="shared" si="68"/>
        <v>4.4176706827309342E-2</v>
      </c>
      <c r="BP418" s="14">
        <f t="shared" si="69"/>
        <v>1.2674456312654847E-2</v>
      </c>
      <c r="BQ418" s="14">
        <f t="shared" si="70"/>
        <v>1.281112737920953E-2</v>
      </c>
      <c r="BR418" s="14">
        <f t="shared" si="71"/>
        <v>1.5119066373169732E-2</v>
      </c>
      <c r="BS418" s="14">
        <f t="shared" si="72"/>
        <v>2.7044513457556985E-2</v>
      </c>
      <c r="BT418" s="14">
        <f t="shared" si="73"/>
        <v>8.0051040718061017E-3</v>
      </c>
      <c r="BV418" s="749">
        <v>42853</v>
      </c>
      <c r="BW418">
        <f t="shared" si="74"/>
        <v>1.1456000922553551</v>
      </c>
      <c r="BX418">
        <f t="shared" si="75"/>
        <v>1.444540058153567</v>
      </c>
    </row>
    <row r="419" spans="1:76" x14ac:dyDescent="0.3">
      <c r="A419" s="749">
        <v>42846</v>
      </c>
      <c r="B419">
        <v>49800</v>
      </c>
      <c r="C419">
        <v>992.94200000000001</v>
      </c>
      <c r="D419">
        <v>42020</v>
      </c>
      <c r="E419">
        <v>27.32</v>
      </c>
      <c r="F419">
        <v>5442.05</v>
      </c>
      <c r="G419">
        <v>2097.9899999999998</v>
      </c>
      <c r="H419">
        <v>618.24</v>
      </c>
      <c r="I419">
        <v>277.31</v>
      </c>
      <c r="J419">
        <v>1833.83</v>
      </c>
      <c r="K419">
        <v>11120000</v>
      </c>
      <c r="L419">
        <v>2348.69</v>
      </c>
      <c r="AO419" s="749">
        <v>42846</v>
      </c>
      <c r="AP419">
        <v>5442.05</v>
      </c>
      <c r="AQ419">
        <v>2097.9899999999998</v>
      </c>
      <c r="AR419">
        <f t="shared" si="66"/>
        <v>1.2505285169355209</v>
      </c>
      <c r="AS419">
        <f t="shared" si="67"/>
        <v>1.0703702947868943</v>
      </c>
      <c r="BF419" s="749">
        <v>42846</v>
      </c>
      <c r="BG419">
        <v>5442.05</v>
      </c>
      <c r="BH419">
        <v>49800</v>
      </c>
      <c r="BI419">
        <v>992.94200000000001</v>
      </c>
      <c r="BJ419">
        <v>27.32</v>
      </c>
      <c r="BK419">
        <v>2348.69</v>
      </c>
      <c r="BL419">
        <v>618.24</v>
      </c>
      <c r="BM419">
        <v>1833.83</v>
      </c>
      <c r="BN419" s="14">
        <f t="shared" si="76"/>
        <v>1.6523491713037464E-2</v>
      </c>
      <c r="BO419" s="14">
        <f t="shared" si="68"/>
        <v>0</v>
      </c>
      <c r="BP419" s="14">
        <f t="shared" si="69"/>
        <v>3.4298422420482977E-2</v>
      </c>
      <c r="BQ419" s="14">
        <f t="shared" si="70"/>
        <v>2.1690351533283581E-2</v>
      </c>
      <c r="BR419" s="14">
        <f t="shared" si="71"/>
        <v>8.4759226260762155E-3</v>
      </c>
      <c r="BS419" s="14">
        <f t="shared" si="72"/>
        <v>-2.3811027600581181E-2</v>
      </c>
      <c r="BT419" s="14">
        <f t="shared" si="73"/>
        <v>-5.3695497713873719E-3</v>
      </c>
      <c r="BV419" s="749">
        <v>42846</v>
      </c>
      <c r="BW419">
        <f t="shared" si="74"/>
        <v>1.1285376565217811</v>
      </c>
      <c r="BX419">
        <f t="shared" si="75"/>
        <v>1.4264604475296228</v>
      </c>
    </row>
    <row r="420" spans="1:76" x14ac:dyDescent="0.3">
      <c r="A420" s="749">
        <v>42839</v>
      </c>
      <c r="B420">
        <v>49800</v>
      </c>
      <c r="C420">
        <v>960.01499999999999</v>
      </c>
      <c r="D420">
        <v>41600</v>
      </c>
      <c r="E420">
        <v>26.74</v>
      </c>
      <c r="F420">
        <v>5353.59</v>
      </c>
      <c r="G420">
        <v>2110.7399999999998</v>
      </c>
      <c r="H420">
        <v>633.32000000000005</v>
      </c>
      <c r="I420">
        <v>279.01</v>
      </c>
      <c r="J420">
        <v>1843.73</v>
      </c>
      <c r="K420">
        <v>12950000</v>
      </c>
      <c r="L420">
        <v>2328.9499999999998</v>
      </c>
      <c r="AO420" s="749">
        <v>42839</v>
      </c>
      <c r="AP420">
        <v>5353.59</v>
      </c>
      <c r="AQ420">
        <v>2110.7399999999998</v>
      </c>
      <c r="AR420">
        <f t="shared" si="66"/>
        <v>1.2302012960154418</v>
      </c>
      <c r="AS420">
        <f t="shared" si="67"/>
        <v>1.0768751976980295</v>
      </c>
      <c r="BF420" s="749">
        <v>42839</v>
      </c>
      <c r="BG420">
        <v>5353.59</v>
      </c>
      <c r="BH420">
        <v>49800</v>
      </c>
      <c r="BI420">
        <v>960.01499999999999</v>
      </c>
      <c r="BJ420">
        <v>26.74</v>
      </c>
      <c r="BK420">
        <v>2328.9499999999998</v>
      </c>
      <c r="BL420">
        <v>633.32000000000005</v>
      </c>
      <c r="BM420">
        <v>1843.73</v>
      </c>
      <c r="BN420" s="14">
        <f t="shared" si="76"/>
        <v>-1.1955625031144002E-2</v>
      </c>
      <c r="BO420" s="14">
        <f t="shared" si="68"/>
        <v>-1.3861386138613874E-2</v>
      </c>
      <c r="BP420" s="14">
        <f t="shared" si="69"/>
        <v>-3.9358661847524568E-2</v>
      </c>
      <c r="BQ420" s="14">
        <f t="shared" si="70"/>
        <v>-6.2412342215988792E-2</v>
      </c>
      <c r="BR420" s="14">
        <f t="shared" si="71"/>
        <v>-1.1288282092428936E-2</v>
      </c>
      <c r="BS420" s="14">
        <f t="shared" si="72"/>
        <v>2.2671489471644657E-2</v>
      </c>
      <c r="BT420" s="14">
        <f t="shared" si="73"/>
        <v>-6.8517870128471658E-3</v>
      </c>
      <c r="BV420" s="749">
        <v>42839</v>
      </c>
      <c r="BW420">
        <f t="shared" si="74"/>
        <v>1.1190526528219569</v>
      </c>
      <c r="BX420">
        <f t="shared" si="75"/>
        <v>1.3791575203135236</v>
      </c>
    </row>
    <row r="421" spans="1:76" x14ac:dyDescent="0.3">
      <c r="A421" s="749">
        <v>42832</v>
      </c>
      <c r="B421">
        <v>50500</v>
      </c>
      <c r="C421">
        <v>999.34799999999996</v>
      </c>
      <c r="D421">
        <v>41200</v>
      </c>
      <c r="E421">
        <v>28.52</v>
      </c>
      <c r="F421">
        <v>5418.37</v>
      </c>
      <c r="G421">
        <v>2123.33</v>
      </c>
      <c r="H421">
        <v>619.28</v>
      </c>
      <c r="I421">
        <v>280.64</v>
      </c>
      <c r="J421">
        <v>1856.45</v>
      </c>
      <c r="K421">
        <v>17510000</v>
      </c>
      <c r="L421">
        <v>2355.54</v>
      </c>
      <c r="AO421" s="749">
        <v>42832</v>
      </c>
      <c r="AP421">
        <v>5418.37</v>
      </c>
      <c r="AQ421">
        <v>2123.33</v>
      </c>
      <c r="AR421">
        <f t="shared" si="66"/>
        <v>1.2450870903993749</v>
      </c>
      <c r="AS421">
        <f t="shared" si="67"/>
        <v>1.0832984704549862</v>
      </c>
      <c r="BF421" s="749">
        <v>42832</v>
      </c>
      <c r="BG421">
        <v>5418.37</v>
      </c>
      <c r="BH421">
        <v>50500</v>
      </c>
      <c r="BI421">
        <v>999.34799999999996</v>
      </c>
      <c r="BJ421">
        <v>28.52</v>
      </c>
      <c r="BK421">
        <v>2355.54</v>
      </c>
      <c r="BL421">
        <v>619.28</v>
      </c>
      <c r="BM421">
        <v>1856.45</v>
      </c>
      <c r="BN421" s="14">
        <f t="shared" si="76"/>
        <v>-3.2853650415820557E-3</v>
      </c>
      <c r="BO421" s="14">
        <f t="shared" si="68"/>
        <v>2.020202020202011E-2</v>
      </c>
      <c r="BP421" s="14">
        <f t="shared" si="69"/>
        <v>-1.1919086654874511E-2</v>
      </c>
      <c r="BQ421" s="14">
        <f t="shared" si="70"/>
        <v>-1.314878892733562E-2</v>
      </c>
      <c r="BR421" s="14">
        <f t="shared" si="71"/>
        <v>-3.0388704543914402E-3</v>
      </c>
      <c r="BS421" s="14">
        <f t="shared" si="72"/>
        <v>1.8251175638791084E-2</v>
      </c>
      <c r="BT421" s="14">
        <f t="shared" si="73"/>
        <v>-7.6811237852919545E-3</v>
      </c>
      <c r="BV421" s="749">
        <v>42832</v>
      </c>
      <c r="BW421">
        <f t="shared" si="74"/>
        <v>1.1318290585148811</v>
      </c>
      <c r="BX421">
        <f t="shared" si="75"/>
        <v>1.4356633069382032</v>
      </c>
    </row>
    <row r="422" spans="1:76" x14ac:dyDescent="0.3">
      <c r="A422" s="749">
        <v>42825</v>
      </c>
      <c r="B422">
        <v>49500</v>
      </c>
      <c r="C422">
        <v>1011.403</v>
      </c>
      <c r="D422">
        <v>41500</v>
      </c>
      <c r="E422">
        <v>28.9</v>
      </c>
      <c r="F422">
        <v>5436.23</v>
      </c>
      <c r="G422">
        <v>2138.8200000000002</v>
      </c>
      <c r="H422">
        <v>608.17999999999995</v>
      </c>
      <c r="I422">
        <v>282.31</v>
      </c>
      <c r="J422">
        <v>1870.82</v>
      </c>
      <c r="K422">
        <v>19460000</v>
      </c>
      <c r="L422">
        <v>2362.7199999999998</v>
      </c>
      <c r="AO422" s="749">
        <v>42825</v>
      </c>
      <c r="AP422">
        <v>5436.23</v>
      </c>
      <c r="AQ422">
        <v>2138.8200000000002</v>
      </c>
      <c r="AR422">
        <f t="shared" si="66"/>
        <v>1.2491911392986808</v>
      </c>
      <c r="AS422">
        <f t="shared" si="67"/>
        <v>1.091201289756436</v>
      </c>
      <c r="BF422" s="749">
        <v>42825</v>
      </c>
      <c r="BG422">
        <v>5436.23</v>
      </c>
      <c r="BH422">
        <v>49500</v>
      </c>
      <c r="BI422">
        <v>1011.403</v>
      </c>
      <c r="BJ422">
        <v>28.9</v>
      </c>
      <c r="BK422">
        <v>2362.7199999999998</v>
      </c>
      <c r="BL422">
        <v>608.17999999999995</v>
      </c>
      <c r="BM422">
        <v>1870.82</v>
      </c>
      <c r="BN422" s="14">
        <f t="shared" si="76"/>
        <v>1.3465697240864882E-2</v>
      </c>
      <c r="BO422" s="14">
        <f t="shared" si="68"/>
        <v>5.8823529411764719E-2</v>
      </c>
      <c r="BP422" s="14">
        <f t="shared" si="69"/>
        <v>7.0214496724749775E-3</v>
      </c>
      <c r="BQ422" s="14">
        <f t="shared" si="70"/>
        <v>1.6531832571227589E-2</v>
      </c>
      <c r="BR422" s="14">
        <f t="shared" si="71"/>
        <v>7.994948762361398E-3</v>
      </c>
      <c r="BS422" s="14">
        <f t="shared" si="72"/>
        <v>-8.2835991259825326E-3</v>
      </c>
      <c r="BT422" s="14">
        <f t="shared" si="73"/>
        <v>-3.045864304074275E-4</v>
      </c>
      <c r="BV422" s="749">
        <v>42825</v>
      </c>
      <c r="BW422">
        <f t="shared" si="74"/>
        <v>1.1352790243996194</v>
      </c>
      <c r="BX422">
        <f t="shared" si="75"/>
        <v>1.4529815195779845</v>
      </c>
    </row>
    <row r="423" spans="1:76" x14ac:dyDescent="0.3">
      <c r="A423" s="749">
        <v>42818</v>
      </c>
      <c r="B423">
        <v>46750</v>
      </c>
      <c r="C423">
        <v>1004.351</v>
      </c>
      <c r="D423">
        <v>42400</v>
      </c>
      <c r="E423">
        <v>28.43</v>
      </c>
      <c r="F423">
        <v>5364</v>
      </c>
      <c r="G423">
        <v>2136.8000000000002</v>
      </c>
      <c r="H423">
        <v>613.26</v>
      </c>
      <c r="I423">
        <v>281.86</v>
      </c>
      <c r="J423">
        <v>1871.39</v>
      </c>
      <c r="K423">
        <v>25220000</v>
      </c>
      <c r="L423">
        <v>2343.98</v>
      </c>
      <c r="AO423" s="749">
        <v>42818</v>
      </c>
      <c r="AP423">
        <v>5364</v>
      </c>
      <c r="AQ423">
        <v>2136.8000000000002</v>
      </c>
      <c r="AR423">
        <f t="shared" si="66"/>
        <v>1.232593409623604</v>
      </c>
      <c r="AS423">
        <f t="shared" si="67"/>
        <v>1.0901707090599269</v>
      </c>
      <c r="BF423" s="749">
        <v>42818</v>
      </c>
      <c r="BG423">
        <v>5364</v>
      </c>
      <c r="BH423">
        <v>46750</v>
      </c>
      <c r="BI423">
        <v>1004.351</v>
      </c>
      <c r="BJ423">
        <v>28.43</v>
      </c>
      <c r="BK423">
        <v>2343.98</v>
      </c>
      <c r="BL423">
        <v>613.26</v>
      </c>
      <c r="BM423">
        <v>1871.39</v>
      </c>
      <c r="BN423" s="14">
        <f t="shared" si="76"/>
        <v>-8.2754642468884088E-3</v>
      </c>
      <c r="BO423" s="14">
        <f t="shared" si="68"/>
        <v>-4.9796747967479682E-2</v>
      </c>
      <c r="BP423" s="14">
        <f t="shared" si="69"/>
        <v>-2.4785984471431544E-4</v>
      </c>
      <c r="BQ423" s="14">
        <f t="shared" si="70"/>
        <v>0.1019379844961239</v>
      </c>
      <c r="BR423" s="14">
        <f t="shared" si="71"/>
        <v>-1.4409755072006702E-2</v>
      </c>
      <c r="BS423" s="14">
        <f t="shared" si="72"/>
        <v>1.6332930454381334E-3</v>
      </c>
      <c r="BT423" s="14">
        <f t="shared" si="73"/>
        <v>3.9811306077544684E-2</v>
      </c>
      <c r="BV423" s="749">
        <v>42818</v>
      </c>
      <c r="BW423">
        <f t="shared" si="74"/>
        <v>1.1262745173411239</v>
      </c>
      <c r="BX423">
        <f t="shared" si="75"/>
        <v>1.4428506165887072</v>
      </c>
    </row>
    <row r="424" spans="1:76" x14ac:dyDescent="0.3">
      <c r="A424" s="749">
        <v>42811</v>
      </c>
      <c r="B424">
        <v>49200</v>
      </c>
      <c r="C424">
        <v>1004.6</v>
      </c>
      <c r="D424">
        <v>40180</v>
      </c>
      <c r="E424">
        <v>25.8</v>
      </c>
      <c r="F424">
        <v>5408.76</v>
      </c>
      <c r="G424">
        <v>2058.84</v>
      </c>
      <c r="H424">
        <v>612.26</v>
      </c>
      <c r="I424">
        <v>272.29000000000002</v>
      </c>
      <c r="J424">
        <v>1799.74</v>
      </c>
      <c r="K424">
        <v>19020000</v>
      </c>
      <c r="L424">
        <v>2378.25</v>
      </c>
      <c r="AO424" s="749">
        <v>42811</v>
      </c>
      <c r="AP424">
        <v>5408.76</v>
      </c>
      <c r="AQ424">
        <v>2058.84</v>
      </c>
      <c r="AR424">
        <f t="shared" si="66"/>
        <v>1.2428788087687854</v>
      </c>
      <c r="AS424">
        <f t="shared" si="67"/>
        <v>1.0503964164362316</v>
      </c>
      <c r="BF424" s="749">
        <v>42811</v>
      </c>
      <c r="BG424">
        <v>5408.76</v>
      </c>
      <c r="BH424">
        <v>49200</v>
      </c>
      <c r="BI424">
        <v>1004.6</v>
      </c>
      <c r="BJ424">
        <v>25.8</v>
      </c>
      <c r="BK424">
        <v>2378.25</v>
      </c>
      <c r="BL424">
        <v>612.26</v>
      </c>
      <c r="BM424">
        <v>1799.74</v>
      </c>
      <c r="BN424" s="14">
        <f t="shared" si="76"/>
        <v>4.2444159750461008E-3</v>
      </c>
      <c r="BO424" s="14">
        <f t="shared" si="68"/>
        <v>4.4585987261146487E-2</v>
      </c>
      <c r="BP424" s="14">
        <f t="shared" si="69"/>
        <v>1.2767973707954683E-2</v>
      </c>
      <c r="BQ424" s="14">
        <f t="shared" si="70"/>
        <v>2.4622716441620396E-2</v>
      </c>
      <c r="BR424" s="14">
        <f t="shared" si="71"/>
        <v>2.381353789092211E-3</v>
      </c>
      <c r="BS424" s="14">
        <f t="shared" si="72"/>
        <v>1.9193314800326267E-2</v>
      </c>
      <c r="BT424" s="14">
        <f t="shared" si="73"/>
        <v>1.0754862152432709E-2</v>
      </c>
      <c r="BV424" s="749">
        <v>42811</v>
      </c>
      <c r="BW424">
        <f t="shared" si="74"/>
        <v>1.1427411372394507</v>
      </c>
      <c r="BX424">
        <f t="shared" si="75"/>
        <v>1.4432083299812668</v>
      </c>
    </row>
    <row r="425" spans="1:76" x14ac:dyDescent="0.3">
      <c r="A425" s="749">
        <v>42804</v>
      </c>
      <c r="B425">
        <v>47100</v>
      </c>
      <c r="C425">
        <v>991.93499999999995</v>
      </c>
      <c r="D425">
        <v>39620</v>
      </c>
      <c r="E425">
        <v>25.18</v>
      </c>
      <c r="F425">
        <v>5385.9</v>
      </c>
      <c r="G425">
        <v>2039.23</v>
      </c>
      <c r="H425">
        <v>600.73</v>
      </c>
      <c r="I425">
        <v>269.77</v>
      </c>
      <c r="J425">
        <v>1780.59</v>
      </c>
      <c r="K425">
        <v>24220000</v>
      </c>
      <c r="L425">
        <v>2372.6</v>
      </c>
      <c r="AO425" s="749">
        <v>42804</v>
      </c>
      <c r="AP425">
        <v>5385.9</v>
      </c>
      <c r="AQ425">
        <v>2039.23</v>
      </c>
      <c r="AR425">
        <f t="shared" si="66"/>
        <v>1.2376258100096511</v>
      </c>
      <c r="AS425">
        <f t="shared" si="67"/>
        <v>1.0403916206646735</v>
      </c>
      <c r="BF425" s="749">
        <v>42804</v>
      </c>
      <c r="BG425">
        <v>5385.9</v>
      </c>
      <c r="BH425">
        <v>47100</v>
      </c>
      <c r="BI425">
        <v>991.93499999999995</v>
      </c>
      <c r="BJ425">
        <v>25.18</v>
      </c>
      <c r="BK425">
        <v>2372.6</v>
      </c>
      <c r="BL425">
        <v>600.73</v>
      </c>
      <c r="BM425">
        <v>1780.59</v>
      </c>
      <c r="BN425" s="14">
        <f t="shared" si="76"/>
        <v>2.3113513030661448E-3</v>
      </c>
      <c r="BO425" s="14">
        <f t="shared" si="68"/>
        <v>-8.4210526315789958E-3</v>
      </c>
      <c r="BP425" s="14">
        <f t="shared" si="69"/>
        <v>1.8449309318805618E-2</v>
      </c>
      <c r="BQ425" s="14">
        <f t="shared" si="70"/>
        <v>-1.5252248728979345E-2</v>
      </c>
      <c r="BR425" s="14">
        <f t="shared" si="71"/>
        <v>-4.4143811474034456E-3</v>
      </c>
      <c r="BS425" s="14">
        <f t="shared" si="72"/>
        <v>-2.2806018706791331E-2</v>
      </c>
      <c r="BT425" s="14">
        <f t="shared" si="73"/>
        <v>2.048453811305917E-3</v>
      </c>
      <c r="BV425" s="749">
        <v>42804</v>
      </c>
      <c r="BW425">
        <f t="shared" si="74"/>
        <v>1.1400263312159449</v>
      </c>
      <c r="BX425">
        <f t="shared" si="75"/>
        <v>1.4250137913597132</v>
      </c>
    </row>
    <row r="426" spans="1:76" x14ac:dyDescent="0.3">
      <c r="A426" s="749">
        <v>42797</v>
      </c>
      <c r="B426">
        <v>47500</v>
      </c>
      <c r="C426">
        <v>973.96600000000001</v>
      </c>
      <c r="D426">
        <v>38220</v>
      </c>
      <c r="E426">
        <v>25.57</v>
      </c>
      <c r="F426">
        <v>5373.48</v>
      </c>
      <c r="G426">
        <v>2040.85</v>
      </c>
      <c r="H426">
        <v>614.75</v>
      </c>
      <c r="I426">
        <v>270.38</v>
      </c>
      <c r="J426">
        <v>1776.95</v>
      </c>
      <c r="K426">
        <v>18250000</v>
      </c>
      <c r="L426">
        <v>2383.12</v>
      </c>
      <c r="AO426" s="749">
        <v>42797</v>
      </c>
      <c r="AP426">
        <v>5373.48</v>
      </c>
      <c r="AQ426">
        <v>2040.85</v>
      </c>
      <c r="AR426">
        <f t="shared" si="66"/>
        <v>1.234771818557838</v>
      </c>
      <c r="AS426">
        <f t="shared" si="67"/>
        <v>1.0412181259757354</v>
      </c>
      <c r="BF426" s="749">
        <v>42797</v>
      </c>
      <c r="BG426">
        <v>5373.48</v>
      </c>
      <c r="BH426">
        <v>47500</v>
      </c>
      <c r="BI426">
        <v>973.96600000000001</v>
      </c>
      <c r="BJ426">
        <v>25.57</v>
      </c>
      <c r="BK426">
        <v>2383.12</v>
      </c>
      <c r="BL426">
        <v>614.75</v>
      </c>
      <c r="BM426">
        <v>1776.95</v>
      </c>
      <c r="BN426" s="14">
        <f t="shared" si="76"/>
        <v>5.6463128659949291E-3</v>
      </c>
      <c r="BO426" s="14">
        <f t="shared" si="68"/>
        <v>-5.7539682539682557E-2</v>
      </c>
      <c r="BP426" s="14">
        <f t="shared" si="69"/>
        <v>5.3829606694599796E-4</v>
      </c>
      <c r="BQ426" s="14">
        <f t="shared" si="70"/>
        <v>0.10025817555938055</v>
      </c>
      <c r="BR426" s="14">
        <f t="shared" si="71"/>
        <v>6.6657091925959033E-3</v>
      </c>
      <c r="BS426" s="14">
        <f t="shared" si="72"/>
        <v>-6.3843542912559448E-3</v>
      </c>
      <c r="BT426" s="14">
        <f t="shared" si="73"/>
        <v>4.863290638165596E-3</v>
      </c>
      <c r="BV426" s="749">
        <v>42797</v>
      </c>
      <c r="BW426">
        <f t="shared" si="74"/>
        <v>1.1450811558827205</v>
      </c>
      <c r="BX426">
        <f t="shared" si="75"/>
        <v>1.3991995264966499</v>
      </c>
    </row>
    <row r="427" spans="1:76" x14ac:dyDescent="0.3">
      <c r="A427" s="749">
        <v>42790</v>
      </c>
      <c r="B427">
        <v>50400</v>
      </c>
      <c r="C427">
        <v>973.44200000000001</v>
      </c>
      <c r="D427">
        <v>37860</v>
      </c>
      <c r="E427">
        <v>23.24</v>
      </c>
      <c r="F427">
        <v>5343.31</v>
      </c>
      <c r="G427">
        <v>2029.1</v>
      </c>
      <c r="H427">
        <v>618.70000000000005</v>
      </c>
      <c r="I427">
        <v>268.83999999999997</v>
      </c>
      <c r="J427">
        <v>1768.35</v>
      </c>
      <c r="K427">
        <v>31210000</v>
      </c>
      <c r="L427">
        <v>2367.34</v>
      </c>
      <c r="AO427" s="749">
        <v>42790</v>
      </c>
      <c r="AP427">
        <v>5343.31</v>
      </c>
      <c r="AQ427">
        <v>2029.1</v>
      </c>
      <c r="AR427">
        <f t="shared" si="66"/>
        <v>1.2278390551036353</v>
      </c>
      <c r="AS427">
        <f t="shared" si="67"/>
        <v>1.0352234115282184</v>
      </c>
      <c r="BF427" s="749">
        <v>42790</v>
      </c>
      <c r="BG427">
        <v>5343.31</v>
      </c>
      <c r="BH427">
        <v>50400</v>
      </c>
      <c r="BI427">
        <v>973.44200000000001</v>
      </c>
      <c r="BJ427">
        <v>23.24</v>
      </c>
      <c r="BK427">
        <v>2367.34</v>
      </c>
      <c r="BL427">
        <v>618.70000000000005</v>
      </c>
      <c r="BM427">
        <v>1768.35</v>
      </c>
      <c r="BN427" s="14">
        <f t="shared" si="76"/>
        <v>3.4912633903754209E-3</v>
      </c>
      <c r="BO427" s="14">
        <f t="shared" si="68"/>
        <v>8.0000000000000071E-3</v>
      </c>
      <c r="BP427" s="14">
        <f t="shared" si="69"/>
        <v>-3.4336749945741429E-3</v>
      </c>
      <c r="BQ427" s="14">
        <f t="shared" si="70"/>
        <v>-4.7109207708780909E-3</v>
      </c>
      <c r="BR427" s="14">
        <f t="shared" si="71"/>
        <v>6.8817094540567503E-3</v>
      </c>
      <c r="BS427" s="14">
        <f t="shared" si="72"/>
        <v>1.3298830620066093E-2</v>
      </c>
      <c r="BT427" s="14">
        <f t="shared" si="73"/>
        <v>-1.3215187299866482E-3</v>
      </c>
      <c r="BV427" s="749">
        <v>42790</v>
      </c>
      <c r="BW427">
        <f t="shared" si="74"/>
        <v>1.1374989188825573</v>
      </c>
      <c r="BX427">
        <f t="shared" si="75"/>
        <v>1.3984467481123077</v>
      </c>
    </row>
    <row r="428" spans="1:76" x14ac:dyDescent="0.3">
      <c r="A428" s="749">
        <v>42783</v>
      </c>
      <c r="B428">
        <v>50000</v>
      </c>
      <c r="C428">
        <v>976.79600000000005</v>
      </c>
      <c r="D428">
        <v>38360</v>
      </c>
      <c r="E428">
        <v>23.35</v>
      </c>
      <c r="F428">
        <v>5324.72</v>
      </c>
      <c r="G428">
        <v>2029.76</v>
      </c>
      <c r="H428">
        <v>610.58000000000004</v>
      </c>
      <c r="I428">
        <v>268.66000000000003</v>
      </c>
      <c r="J428">
        <v>1770.69</v>
      </c>
      <c r="K428">
        <v>23520000</v>
      </c>
      <c r="L428">
        <v>2351.16</v>
      </c>
      <c r="AO428" s="749">
        <v>42783</v>
      </c>
      <c r="AP428">
        <v>5324.72</v>
      </c>
      <c r="AQ428">
        <v>2029.76</v>
      </c>
      <c r="AR428">
        <f t="shared" si="66"/>
        <v>1.2235672595247944</v>
      </c>
      <c r="AS428">
        <f t="shared" si="67"/>
        <v>1.0355601359142068</v>
      </c>
      <c r="BF428" s="749">
        <v>42783</v>
      </c>
      <c r="BG428">
        <v>5324.72</v>
      </c>
      <c r="BH428">
        <v>50000</v>
      </c>
      <c r="BI428">
        <v>976.79600000000005</v>
      </c>
      <c r="BJ428">
        <v>23.35</v>
      </c>
      <c r="BK428">
        <v>2351.16</v>
      </c>
      <c r="BL428">
        <v>610.58000000000004</v>
      </c>
      <c r="BM428">
        <v>1770.69</v>
      </c>
      <c r="BN428" s="14">
        <f t="shared" si="76"/>
        <v>1.8755656065311044E-2</v>
      </c>
      <c r="BO428" s="14">
        <f t="shared" si="68"/>
        <v>-6.8901303538175029E-2</v>
      </c>
      <c r="BP428" s="14">
        <f t="shared" si="69"/>
        <v>1.4272349024091247E-2</v>
      </c>
      <c r="BQ428" s="14">
        <f t="shared" si="70"/>
        <v>-2.9106029106029108E-2</v>
      </c>
      <c r="BR428" s="14">
        <f t="shared" si="71"/>
        <v>1.5137515651310274E-2</v>
      </c>
      <c r="BS428" s="14">
        <f t="shared" si="72"/>
        <v>2.2488140378522647E-3</v>
      </c>
      <c r="BT428" s="14">
        <f t="shared" si="73"/>
        <v>-7.2659994954167306E-3</v>
      </c>
      <c r="BV428" s="749">
        <v>42783</v>
      </c>
      <c r="BW428">
        <f t="shared" si="74"/>
        <v>1.1297244832258622</v>
      </c>
      <c r="BX428">
        <f t="shared" si="75"/>
        <v>1.4032651044120861</v>
      </c>
    </row>
    <row r="429" spans="1:76" x14ac:dyDescent="0.3">
      <c r="A429" s="749">
        <v>42776</v>
      </c>
      <c r="B429">
        <v>53700</v>
      </c>
      <c r="C429">
        <v>963.05100000000004</v>
      </c>
      <c r="D429">
        <v>39460</v>
      </c>
      <c r="E429">
        <v>24.05</v>
      </c>
      <c r="F429">
        <v>5226.6899999999996</v>
      </c>
      <c r="G429">
        <v>2035.9</v>
      </c>
      <c r="H429">
        <v>609.21</v>
      </c>
      <c r="I429">
        <v>268.85000000000002</v>
      </c>
      <c r="J429">
        <v>1783.65</v>
      </c>
      <c r="K429">
        <v>14140000</v>
      </c>
      <c r="L429">
        <v>2316.1</v>
      </c>
      <c r="AO429" s="749">
        <v>42776</v>
      </c>
      <c r="AP429">
        <v>5226.6899999999996</v>
      </c>
      <c r="AQ429">
        <v>2035.9</v>
      </c>
      <c r="AR429">
        <f t="shared" si="66"/>
        <v>1.201040948573004</v>
      </c>
      <c r="AS429">
        <f t="shared" si="67"/>
        <v>1.0386926930808242</v>
      </c>
      <c r="BF429" s="749">
        <v>42776</v>
      </c>
      <c r="BG429">
        <v>5226.6899999999996</v>
      </c>
      <c r="BH429">
        <v>53700</v>
      </c>
      <c r="BI429">
        <v>963.05100000000004</v>
      </c>
      <c r="BJ429">
        <v>24.05</v>
      </c>
      <c r="BK429">
        <v>2316.1</v>
      </c>
      <c r="BL429">
        <v>609.21</v>
      </c>
      <c r="BM429">
        <v>1783.65</v>
      </c>
      <c r="BN429" s="14">
        <f t="shared" si="76"/>
        <v>1.2610430874147482E-2</v>
      </c>
      <c r="BO429" s="14">
        <f t="shared" si="68"/>
        <v>7.5046904315196894E-3</v>
      </c>
      <c r="BP429" s="14">
        <f t="shared" si="69"/>
        <v>-1.0051658679279818E-3</v>
      </c>
      <c r="BQ429" s="14">
        <f t="shared" si="70"/>
        <v>-2.2357723577235755E-2</v>
      </c>
      <c r="BR429" s="14">
        <f t="shared" si="71"/>
        <v>8.1308598340745775E-3</v>
      </c>
      <c r="BS429" s="14">
        <f t="shared" si="72"/>
        <v>-1.2321460417308305E-2</v>
      </c>
      <c r="BT429" s="14">
        <f t="shared" si="73"/>
        <v>-7.6278541861395377E-3</v>
      </c>
      <c r="BV429" s="749">
        <v>42776</v>
      </c>
      <c r="BW429">
        <f t="shared" si="74"/>
        <v>1.112878270980886</v>
      </c>
      <c r="BX429">
        <f t="shared" si="75"/>
        <v>1.3835190378228042</v>
      </c>
    </row>
    <row r="430" spans="1:76" x14ac:dyDescent="0.3">
      <c r="A430" s="749">
        <v>42769</v>
      </c>
      <c r="B430">
        <v>53300</v>
      </c>
      <c r="C430">
        <v>964.02</v>
      </c>
      <c r="D430">
        <v>39900</v>
      </c>
      <c r="E430">
        <v>24.6</v>
      </c>
      <c r="F430">
        <v>5161.6000000000004</v>
      </c>
      <c r="G430">
        <v>2049.35</v>
      </c>
      <c r="H430">
        <v>616.80999999999995</v>
      </c>
      <c r="I430">
        <v>270.48</v>
      </c>
      <c r="J430">
        <v>1797.36</v>
      </c>
      <c r="K430">
        <v>14830000</v>
      </c>
      <c r="L430">
        <v>2297.42</v>
      </c>
      <c r="AO430" s="749">
        <v>42769</v>
      </c>
      <c r="AP430">
        <v>5161.6000000000004</v>
      </c>
      <c r="AQ430">
        <v>2049.35</v>
      </c>
      <c r="AR430">
        <f t="shared" si="66"/>
        <v>1.1860839192977619</v>
      </c>
      <c r="AS430">
        <f t="shared" si="67"/>
        <v>1.0455547279164923</v>
      </c>
      <c r="BF430" s="749">
        <v>42769</v>
      </c>
      <c r="BG430">
        <v>5161.6000000000004</v>
      </c>
      <c r="BH430">
        <v>53300</v>
      </c>
      <c r="BI430">
        <v>964.02</v>
      </c>
      <c r="BJ430">
        <v>24.6</v>
      </c>
      <c r="BK430">
        <v>2297.42</v>
      </c>
      <c r="BL430">
        <v>616.80999999999995</v>
      </c>
      <c r="BM430">
        <v>1797.36</v>
      </c>
      <c r="BN430" s="14">
        <f t="shared" si="76"/>
        <v>-1.249985487784544E-3</v>
      </c>
      <c r="BO430" s="14">
        <f t="shared" si="68"/>
        <v>8.4435401831129298E-2</v>
      </c>
      <c r="BP430" s="14">
        <f t="shared" si="69"/>
        <v>1.8311097439562829E-3</v>
      </c>
      <c r="BQ430" s="14">
        <f t="shared" si="70"/>
        <v>2.6282853566958808E-2</v>
      </c>
      <c r="BR430" s="14">
        <f t="shared" si="71"/>
        <v>1.1897031843082218E-3</v>
      </c>
      <c r="BS430" s="14">
        <f t="shared" si="72"/>
        <v>-8.5353308043465415E-3</v>
      </c>
      <c r="BT430" s="14">
        <f t="shared" si="73"/>
        <v>2.1610376618504734E-2</v>
      </c>
      <c r="BV430" s="749">
        <v>42769</v>
      </c>
      <c r="BW430">
        <f t="shared" si="74"/>
        <v>1.10390259372087</v>
      </c>
      <c r="BX430">
        <f t="shared" si="75"/>
        <v>1.384911103193849</v>
      </c>
    </row>
    <row r="431" spans="1:76" x14ac:dyDescent="0.3">
      <c r="A431" s="749">
        <v>42762</v>
      </c>
      <c r="B431">
        <v>49150</v>
      </c>
      <c r="C431">
        <v>962.25800000000004</v>
      </c>
      <c r="D431">
        <v>37200</v>
      </c>
      <c r="E431">
        <v>23.97</v>
      </c>
      <c r="F431">
        <v>5168.0600000000004</v>
      </c>
      <c r="G431">
        <v>2013.44</v>
      </c>
      <c r="H431">
        <v>622.12</v>
      </c>
      <c r="I431">
        <v>266.52</v>
      </c>
      <c r="J431">
        <v>1759.34</v>
      </c>
      <c r="K431">
        <v>14530000</v>
      </c>
      <c r="L431">
        <v>2294.69</v>
      </c>
      <c r="AO431" s="749">
        <v>42762</v>
      </c>
      <c r="AP431">
        <v>5168.0600000000004</v>
      </c>
      <c r="AQ431">
        <v>2013.44</v>
      </c>
      <c r="AR431">
        <f t="shared" si="66"/>
        <v>1.1875683625166598</v>
      </c>
      <c r="AS431">
        <f t="shared" si="67"/>
        <v>1.0272338601879536</v>
      </c>
      <c r="BF431" s="749">
        <v>42762</v>
      </c>
      <c r="BG431">
        <v>5168.0600000000004</v>
      </c>
      <c r="BH431">
        <v>49150</v>
      </c>
      <c r="BI431">
        <v>962.25800000000004</v>
      </c>
      <c r="BJ431">
        <v>23.97</v>
      </c>
      <c r="BK431">
        <v>2294.69</v>
      </c>
      <c r="BL431">
        <v>622.12</v>
      </c>
      <c r="BM431">
        <v>1759.34</v>
      </c>
      <c r="BN431" s="14">
        <f t="shared" si="76"/>
        <v>2.0710222784010135E-2</v>
      </c>
      <c r="BO431" s="14">
        <f t="shared" si="68"/>
        <v>-2.2862823061630233E-2</v>
      </c>
      <c r="BP431" s="14">
        <f t="shared" si="69"/>
        <v>3.4671558354560705E-2</v>
      </c>
      <c r="BQ431" s="14">
        <f t="shared" si="70"/>
        <v>9.1530054644808567E-2</v>
      </c>
      <c r="BR431" s="14">
        <f t="shared" si="71"/>
        <v>1.0293619100871343E-2</v>
      </c>
      <c r="BS431" s="14">
        <f t="shared" si="72"/>
        <v>-1.9789500220583567E-2</v>
      </c>
      <c r="BT431" s="14">
        <f t="shared" si="73"/>
        <v>-4.2730447283080286E-3</v>
      </c>
      <c r="BV431" s="749">
        <v>42762</v>
      </c>
      <c r="BW431">
        <f t="shared" si="74"/>
        <v>1.1025908378900433</v>
      </c>
      <c r="BX431">
        <f t="shared" si="75"/>
        <v>1.3823798140465</v>
      </c>
    </row>
    <row r="432" spans="1:76" x14ac:dyDescent="0.3">
      <c r="A432" s="749">
        <v>42755</v>
      </c>
      <c r="B432">
        <v>50300</v>
      </c>
      <c r="C432">
        <v>930.01300000000003</v>
      </c>
      <c r="D432">
        <v>37460</v>
      </c>
      <c r="E432">
        <v>21.96</v>
      </c>
      <c r="F432">
        <v>5063.2</v>
      </c>
      <c r="G432">
        <v>2022.45</v>
      </c>
      <c r="H432">
        <v>634.67999999999995</v>
      </c>
      <c r="I432">
        <v>267.91000000000003</v>
      </c>
      <c r="J432">
        <v>1766.89</v>
      </c>
      <c r="K432">
        <v>20070000</v>
      </c>
      <c r="L432">
        <v>2271.31</v>
      </c>
      <c r="AO432" s="749">
        <v>42755</v>
      </c>
      <c r="AP432">
        <v>5063.2</v>
      </c>
      <c r="AQ432">
        <v>2022.45</v>
      </c>
      <c r="AR432">
        <f t="shared" si="66"/>
        <v>1.1634725860563444</v>
      </c>
      <c r="AS432">
        <f t="shared" si="67"/>
        <v>1.0318306582451557</v>
      </c>
      <c r="BF432" s="749">
        <v>42755</v>
      </c>
      <c r="BG432">
        <v>5063.2</v>
      </c>
      <c r="BH432">
        <v>50300</v>
      </c>
      <c r="BI432">
        <v>930.01300000000003</v>
      </c>
      <c r="BJ432">
        <v>21.96</v>
      </c>
      <c r="BK432">
        <v>2271.31</v>
      </c>
      <c r="BL432">
        <v>634.67999999999995</v>
      </c>
      <c r="BM432">
        <v>1766.89</v>
      </c>
      <c r="BN432" s="14">
        <f t="shared" si="76"/>
        <v>7.293196376723099E-4</v>
      </c>
      <c r="BO432" s="14">
        <f t="shared" si="68"/>
        <v>4.7916666666666607E-2</v>
      </c>
      <c r="BP432" s="14">
        <f t="shared" si="69"/>
        <v>5.7739268109626707E-3</v>
      </c>
      <c r="BQ432" s="14">
        <f t="shared" si="70"/>
        <v>-9.918845807033283E-3</v>
      </c>
      <c r="BR432" s="14">
        <f t="shared" si="71"/>
        <v>-1.463967924594578E-3</v>
      </c>
      <c r="BS432" s="14">
        <f t="shared" si="72"/>
        <v>-1.3982102908277394E-2</v>
      </c>
      <c r="BT432" s="14">
        <f t="shared" si="73"/>
        <v>2.1128917605312436E-2</v>
      </c>
      <c r="BV432" s="749">
        <v>42755</v>
      </c>
      <c r="BW432">
        <f t="shared" si="74"/>
        <v>1.0913568264157834</v>
      </c>
      <c r="BX432">
        <f t="shared" si="75"/>
        <v>1.3360566480100218</v>
      </c>
    </row>
    <row r="433" spans="1:76" x14ac:dyDescent="0.3">
      <c r="A433" s="749">
        <v>42748</v>
      </c>
      <c r="B433">
        <v>48000</v>
      </c>
      <c r="C433">
        <v>924.67399999999998</v>
      </c>
      <c r="D433">
        <v>36200</v>
      </c>
      <c r="E433">
        <v>22.18</v>
      </c>
      <c r="F433">
        <v>5059.51</v>
      </c>
      <c r="G433">
        <v>1984.62</v>
      </c>
      <c r="H433">
        <v>643.67999999999995</v>
      </c>
      <c r="I433">
        <v>263.2</v>
      </c>
      <c r="J433">
        <v>1730.33</v>
      </c>
      <c r="K433">
        <v>12470000</v>
      </c>
      <c r="L433">
        <v>2274.64</v>
      </c>
      <c r="AO433" s="749">
        <v>42748</v>
      </c>
      <c r="AP433">
        <v>5059.51</v>
      </c>
      <c r="AQ433">
        <v>1984.62</v>
      </c>
      <c r="AR433">
        <f t="shared" si="66"/>
        <v>1.1626246610597915</v>
      </c>
      <c r="AS433">
        <f t="shared" si="67"/>
        <v>1.0125302286664695</v>
      </c>
      <c r="BF433" s="749">
        <v>42748</v>
      </c>
      <c r="BG433">
        <v>5059.51</v>
      </c>
      <c r="BH433">
        <v>48000</v>
      </c>
      <c r="BI433">
        <v>924.67399999999998</v>
      </c>
      <c r="BJ433">
        <v>22.18</v>
      </c>
      <c r="BK433">
        <v>2274.64</v>
      </c>
      <c r="BL433">
        <v>643.67999999999995</v>
      </c>
      <c r="BM433">
        <v>1730.33</v>
      </c>
      <c r="BN433" s="14">
        <f t="shared" si="76"/>
        <v>1.0471172819287888E-2</v>
      </c>
      <c r="BO433" s="14">
        <f t="shared" si="68"/>
        <v>7.3825503355704702E-2</v>
      </c>
      <c r="BP433" s="14">
        <f t="shared" si="69"/>
        <v>1.7630473205422437E-2</v>
      </c>
      <c r="BQ433" s="14">
        <f t="shared" si="70"/>
        <v>6.3520871143376567E-3</v>
      </c>
      <c r="BR433" s="14">
        <f t="shared" si="71"/>
        <v>-1.0276770107775501E-3</v>
      </c>
      <c r="BS433" s="14">
        <f t="shared" si="72"/>
        <v>1.9384264538198304E-2</v>
      </c>
      <c r="BT433" s="14">
        <f t="shared" si="73"/>
        <v>1.1510311930037709E-2</v>
      </c>
      <c r="BV433" s="749">
        <v>42748</v>
      </c>
      <c r="BW433">
        <f t="shared" si="74"/>
        <v>1.0929568802314071</v>
      </c>
      <c r="BX433">
        <f t="shared" si="75"/>
        <v>1.3283866407695579</v>
      </c>
    </row>
    <row r="434" spans="1:76" x14ac:dyDescent="0.3">
      <c r="A434" s="749">
        <v>42741</v>
      </c>
      <c r="B434">
        <v>44700</v>
      </c>
      <c r="C434">
        <v>908.654</v>
      </c>
      <c r="D434">
        <v>36040</v>
      </c>
      <c r="E434">
        <v>22.04</v>
      </c>
      <c r="F434">
        <v>5007.08</v>
      </c>
      <c r="G434">
        <v>1960.74</v>
      </c>
      <c r="H434">
        <v>631.44000000000005</v>
      </c>
      <c r="I434">
        <v>260.01</v>
      </c>
      <c r="J434">
        <v>1710.64</v>
      </c>
      <c r="K434">
        <v>5880000</v>
      </c>
      <c r="L434">
        <v>2276.98</v>
      </c>
      <c r="AO434" s="749">
        <v>42741</v>
      </c>
      <c r="AP434">
        <v>5007.08</v>
      </c>
      <c r="AQ434">
        <v>1960.74</v>
      </c>
      <c r="AR434">
        <f t="shared" si="66"/>
        <v>1.1505767728296337</v>
      </c>
      <c r="AS434">
        <f t="shared" si="67"/>
        <v>1.0003469281552606</v>
      </c>
      <c r="BF434" s="749">
        <v>42741</v>
      </c>
      <c r="BG434">
        <v>5007.08</v>
      </c>
      <c r="BH434">
        <v>44700</v>
      </c>
      <c r="BI434">
        <v>908.654</v>
      </c>
      <c r="BJ434">
        <v>22.04</v>
      </c>
      <c r="BK434">
        <v>2276.98</v>
      </c>
      <c r="BL434">
        <v>631.44000000000005</v>
      </c>
      <c r="BM434">
        <v>1710.64</v>
      </c>
      <c r="BN434" s="14">
        <f t="shared" si="76"/>
        <v>2.9496547838852472E-2</v>
      </c>
      <c r="BO434" s="14">
        <f t="shared" si="68"/>
        <v>-3.4557235421166288E-2</v>
      </c>
      <c r="BP434" s="14">
        <f t="shared" si="69"/>
        <v>2.4082403077427816E-3</v>
      </c>
      <c r="BQ434" s="14">
        <f t="shared" si="70"/>
        <v>5.4744525547443246E-3</v>
      </c>
      <c r="BR434" s="14">
        <f t="shared" si="71"/>
        <v>1.7040150435718715E-2</v>
      </c>
      <c r="BS434" s="14">
        <f t="shared" si="72"/>
        <v>1.8862444534086364E-2</v>
      </c>
      <c r="BT434" s="14">
        <f t="shared" si="73"/>
        <v>-5.7308921825049985E-3</v>
      </c>
      <c r="BV434" s="749">
        <v>42741</v>
      </c>
      <c r="BW434">
        <f t="shared" si="74"/>
        <v>1.094081242372116</v>
      </c>
      <c r="BX434">
        <f t="shared" si="75"/>
        <v>1.3053723092482561</v>
      </c>
    </row>
    <row r="435" spans="1:76" x14ac:dyDescent="0.3">
      <c r="A435" s="749">
        <v>42734</v>
      </c>
      <c r="B435">
        <v>46300</v>
      </c>
      <c r="C435">
        <v>906.471</v>
      </c>
      <c r="D435">
        <v>35640</v>
      </c>
      <c r="E435">
        <v>21.92</v>
      </c>
      <c r="F435">
        <v>4863.62</v>
      </c>
      <c r="G435">
        <v>1972.93</v>
      </c>
      <c r="H435">
        <v>619.75</v>
      </c>
      <c r="I435">
        <v>261.61</v>
      </c>
      <c r="J435">
        <v>1720.5</v>
      </c>
      <c r="K435">
        <v>11800000</v>
      </c>
      <c r="L435">
        <v>2238.83</v>
      </c>
      <c r="AO435" s="749">
        <v>42734</v>
      </c>
      <c r="AP435">
        <v>4863.62</v>
      </c>
      <c r="AQ435">
        <v>1972.93</v>
      </c>
      <c r="AR435">
        <f t="shared" si="66"/>
        <v>1.1176111034514453</v>
      </c>
      <c r="AS435">
        <f t="shared" si="67"/>
        <v>1.0065661255267697</v>
      </c>
      <c r="BF435" s="749">
        <v>42734</v>
      </c>
      <c r="BG435">
        <v>4863.62</v>
      </c>
      <c r="BH435">
        <v>46300</v>
      </c>
      <c r="BI435">
        <v>906.471</v>
      </c>
      <c r="BJ435">
        <v>21.92</v>
      </c>
      <c r="BK435">
        <v>2238.83</v>
      </c>
      <c r="BL435">
        <v>619.75</v>
      </c>
      <c r="BM435">
        <v>1720.5</v>
      </c>
      <c r="BN435" s="14">
        <f t="shared" si="76"/>
        <v>-1.5465524431075295E-2</v>
      </c>
      <c r="BO435" s="14">
        <f t="shared" si="68"/>
        <v>-2.1551724137931494E-3</v>
      </c>
      <c r="BP435" s="14">
        <f t="shared" si="69"/>
        <v>-2.3113033694787677E-2</v>
      </c>
      <c r="BQ435" s="14">
        <f t="shared" si="70"/>
        <v>-5.760963026655197E-2</v>
      </c>
      <c r="BR435" s="14">
        <f t="shared" si="71"/>
        <v>-1.1025757689538396E-2</v>
      </c>
      <c r="BS435" s="14">
        <f t="shared" si="72"/>
        <v>-3.7454989711934727E-3</v>
      </c>
      <c r="BT435" s="14">
        <f t="shared" si="73"/>
        <v>-2.6491678598549173E-3</v>
      </c>
      <c r="BV435" s="749">
        <v>42734</v>
      </c>
      <c r="BW435">
        <f t="shared" si="74"/>
        <v>1.0757502955054346</v>
      </c>
      <c r="BX435">
        <f t="shared" si="75"/>
        <v>1.3022362115134869</v>
      </c>
    </row>
    <row r="436" spans="1:76" x14ac:dyDescent="0.3">
      <c r="A436" s="749">
        <v>42727</v>
      </c>
      <c r="B436">
        <v>46400</v>
      </c>
      <c r="C436">
        <v>927.91800000000001</v>
      </c>
      <c r="D436">
        <v>35860</v>
      </c>
      <c r="E436">
        <v>23.26</v>
      </c>
      <c r="F436">
        <v>4940.0200000000004</v>
      </c>
      <c r="G436">
        <v>1979.56</v>
      </c>
      <c r="H436">
        <v>622.08000000000004</v>
      </c>
      <c r="I436">
        <v>262.56</v>
      </c>
      <c r="J436">
        <v>1725.07</v>
      </c>
      <c r="K436">
        <v>9200000</v>
      </c>
      <c r="L436">
        <v>2263.79</v>
      </c>
      <c r="AO436" s="749">
        <v>42727</v>
      </c>
      <c r="AP436">
        <v>4940.0200000000004</v>
      </c>
      <c r="AQ436">
        <v>1979.56</v>
      </c>
      <c r="AR436">
        <f t="shared" si="66"/>
        <v>1.1351670573096191</v>
      </c>
      <c r="AS436">
        <f t="shared" si="67"/>
        <v>1.00994867504056</v>
      </c>
      <c r="BF436" s="749">
        <v>42727</v>
      </c>
      <c r="BG436">
        <v>4940.0200000000004</v>
      </c>
      <c r="BH436">
        <v>46400</v>
      </c>
      <c r="BI436">
        <v>927.91800000000001</v>
      </c>
      <c r="BJ436">
        <v>23.26</v>
      </c>
      <c r="BK436">
        <v>2263.79</v>
      </c>
      <c r="BL436">
        <v>622.08000000000004</v>
      </c>
      <c r="BM436">
        <v>1725.07</v>
      </c>
      <c r="BN436" s="14">
        <f t="shared" si="76"/>
        <v>5.1191692133654154E-3</v>
      </c>
      <c r="BO436" s="14">
        <f t="shared" si="68"/>
        <v>1.978021978021971E-2</v>
      </c>
      <c r="BP436" s="14">
        <f t="shared" si="69"/>
        <v>3.0051751353727507E-2</v>
      </c>
      <c r="BQ436" s="14">
        <f t="shared" si="70"/>
        <v>0.14750863344844611</v>
      </c>
      <c r="BR436" s="14">
        <f t="shared" si="71"/>
        <v>2.5331367052392473E-3</v>
      </c>
      <c r="BS436" s="14">
        <f t="shared" si="72"/>
        <v>4.6656010768066025E-2</v>
      </c>
      <c r="BT436" s="14">
        <f t="shared" si="73"/>
        <v>4.1210950005530211E-3</v>
      </c>
      <c r="BV436" s="749">
        <v>42727</v>
      </c>
      <c r="BW436">
        <f t="shared" si="74"/>
        <v>1.0877434916729933</v>
      </c>
      <c r="BX436">
        <f t="shared" si="75"/>
        <v>1.3330469710726232</v>
      </c>
    </row>
    <row r="437" spans="1:76" x14ac:dyDescent="0.3">
      <c r="A437" s="749">
        <v>42720</v>
      </c>
      <c r="B437">
        <v>45500</v>
      </c>
      <c r="C437">
        <v>900.846</v>
      </c>
      <c r="D437">
        <v>35600</v>
      </c>
      <c r="E437">
        <v>20.27</v>
      </c>
      <c r="F437">
        <v>4914.8599999999997</v>
      </c>
      <c r="G437">
        <v>1970.01</v>
      </c>
      <c r="H437">
        <v>594.35</v>
      </c>
      <c r="I437">
        <v>260.91000000000003</v>
      </c>
      <c r="J437">
        <v>1717.99</v>
      </c>
      <c r="K437">
        <v>13100000</v>
      </c>
      <c r="L437">
        <v>2258.0700000000002</v>
      </c>
      <c r="AO437" s="749">
        <v>42720</v>
      </c>
      <c r="AP437">
        <v>4914.8599999999997</v>
      </c>
      <c r="AQ437">
        <v>1970.01</v>
      </c>
      <c r="AR437">
        <f t="shared" si="66"/>
        <v>1.1293855416149639</v>
      </c>
      <c r="AS437">
        <f t="shared" si="67"/>
        <v>1.0050763752130036</v>
      </c>
      <c r="BF437" s="749">
        <v>42720</v>
      </c>
      <c r="BG437">
        <v>4914.8599999999997</v>
      </c>
      <c r="BH437">
        <v>45500</v>
      </c>
      <c r="BI437">
        <v>900.846</v>
      </c>
      <c r="BJ437">
        <v>20.27</v>
      </c>
      <c r="BK437">
        <v>2258.0700000000002</v>
      </c>
      <c r="BL437">
        <v>594.35</v>
      </c>
      <c r="BM437">
        <v>1717.99</v>
      </c>
      <c r="BN437" s="14">
        <f t="shared" si="76"/>
        <v>3.8726281174044086E-3</v>
      </c>
      <c r="BO437" s="14">
        <f t="shared" si="68"/>
        <v>2.4774774774774855E-2</v>
      </c>
      <c r="BP437" s="14">
        <f t="shared" si="69"/>
        <v>9.3399513730938466E-3</v>
      </c>
      <c r="BQ437" s="14">
        <f t="shared" si="70"/>
        <v>-1.1219512195121961E-2</v>
      </c>
      <c r="BR437" s="14">
        <f t="shared" si="71"/>
        <v>-6.4615207587415124E-4</v>
      </c>
      <c r="BS437" s="14">
        <f t="shared" si="72"/>
        <v>1.298723433265736E-2</v>
      </c>
      <c r="BT437" s="14">
        <f t="shared" si="73"/>
        <v>3.5551322776836702E-2</v>
      </c>
      <c r="BV437" s="749">
        <v>42720</v>
      </c>
      <c r="BW437">
        <f t="shared" si="74"/>
        <v>1.0849950508845945</v>
      </c>
      <c r="BX437">
        <f t="shared" si="75"/>
        <v>1.294155336681569</v>
      </c>
    </row>
    <row r="438" spans="1:76" x14ac:dyDescent="0.3">
      <c r="A438" s="749">
        <v>42713</v>
      </c>
      <c r="B438">
        <v>44400</v>
      </c>
      <c r="C438">
        <v>892.51</v>
      </c>
      <c r="D438">
        <v>34540</v>
      </c>
      <c r="E438">
        <v>20.5</v>
      </c>
      <c r="F438">
        <v>4895.8999999999996</v>
      </c>
      <c r="G438">
        <v>1908.53</v>
      </c>
      <c r="H438">
        <v>586.73</v>
      </c>
      <c r="I438">
        <v>252.88</v>
      </c>
      <c r="J438">
        <v>1659.01</v>
      </c>
      <c r="K438">
        <v>15350000</v>
      </c>
      <c r="L438">
        <v>2259.5300000000002</v>
      </c>
      <c r="AO438" s="749">
        <v>42713</v>
      </c>
      <c r="AP438">
        <v>4895.8999999999996</v>
      </c>
      <c r="AQ438">
        <v>1908.53</v>
      </c>
      <c r="AR438">
        <f t="shared" si="66"/>
        <v>1.1250287237464955</v>
      </c>
      <c r="AS438">
        <f t="shared" si="67"/>
        <v>0.97370998846974077</v>
      </c>
      <c r="BF438" s="749">
        <v>42713</v>
      </c>
      <c r="BG438">
        <v>4895.8999999999996</v>
      </c>
      <c r="BH438">
        <v>44400</v>
      </c>
      <c r="BI438">
        <v>892.51</v>
      </c>
      <c r="BJ438">
        <v>20.5</v>
      </c>
      <c r="BK438">
        <v>2259.5300000000002</v>
      </c>
      <c r="BL438">
        <v>586.73</v>
      </c>
      <c r="BM438">
        <v>1659.01</v>
      </c>
      <c r="BN438" s="14">
        <f t="shared" si="76"/>
        <v>3.302759649489273E-2</v>
      </c>
      <c r="BO438" s="14">
        <f t="shared" si="68"/>
        <v>4.2253521126760507E-2</v>
      </c>
      <c r="BP438" s="14">
        <f t="shared" si="69"/>
        <v>5.2861923866844185E-2</v>
      </c>
      <c r="BQ438" s="14">
        <f t="shared" si="70"/>
        <v>9.1005854177754086E-2</v>
      </c>
      <c r="BR438" s="14">
        <f t="shared" si="71"/>
        <v>3.0830995232555614E-2</v>
      </c>
      <c r="BS438" s="14">
        <f t="shared" si="72"/>
        <v>-1.855073433474963E-2</v>
      </c>
      <c r="BT438" s="14">
        <f t="shared" si="73"/>
        <v>4.4743948365848496E-3</v>
      </c>
      <c r="BV438" s="749">
        <v>42713</v>
      </c>
      <c r="BW438">
        <f t="shared" si="74"/>
        <v>1.0856965759809341</v>
      </c>
      <c r="BX438">
        <f t="shared" si="75"/>
        <v>1.2821798393306594</v>
      </c>
    </row>
    <row r="439" spans="1:76" x14ac:dyDescent="0.3">
      <c r="A439" s="749">
        <v>42706</v>
      </c>
      <c r="B439">
        <v>42600</v>
      </c>
      <c r="C439">
        <v>847.69899999999996</v>
      </c>
      <c r="D439">
        <v>33000</v>
      </c>
      <c r="E439">
        <v>18.79</v>
      </c>
      <c r="F439">
        <v>4739.37</v>
      </c>
      <c r="G439">
        <v>1902.2</v>
      </c>
      <c r="H439">
        <v>597.82000000000005</v>
      </c>
      <c r="I439">
        <v>252.26</v>
      </c>
      <c r="J439">
        <v>1651.62</v>
      </c>
      <c r="K439">
        <v>12360000</v>
      </c>
      <c r="L439">
        <v>2191.9499999999998</v>
      </c>
      <c r="AO439" s="749">
        <v>42706</v>
      </c>
      <c r="AP439">
        <v>4739.37</v>
      </c>
      <c r="AQ439">
        <v>1902.2</v>
      </c>
      <c r="AR439">
        <f t="shared" si="66"/>
        <v>1.0890596994347166</v>
      </c>
      <c r="AS439">
        <f t="shared" si="67"/>
        <v>0.9704804954950359</v>
      </c>
      <c r="BF439" s="749">
        <v>42706</v>
      </c>
      <c r="BG439">
        <v>4739.37</v>
      </c>
      <c r="BH439">
        <v>42600</v>
      </c>
      <c r="BI439">
        <v>847.69899999999996</v>
      </c>
      <c r="BJ439">
        <v>18.79</v>
      </c>
      <c r="BK439">
        <v>2191.9499999999998</v>
      </c>
      <c r="BL439">
        <v>597.82000000000005</v>
      </c>
      <c r="BM439">
        <v>1651.62</v>
      </c>
      <c r="BN439" s="14">
        <f t="shared" si="76"/>
        <v>-2.6827405226262035E-2</v>
      </c>
      <c r="BO439" s="14">
        <f t="shared" si="68"/>
        <v>1.4285714285714235E-2</v>
      </c>
      <c r="BP439" s="14">
        <f t="shared" si="69"/>
        <v>-4.8568305176818205E-2</v>
      </c>
      <c r="BQ439" s="14">
        <f t="shared" si="70"/>
        <v>-6.6567312468951756E-2</v>
      </c>
      <c r="BR439" s="14">
        <f t="shared" si="71"/>
        <v>-9.6686018930580708E-3</v>
      </c>
      <c r="BS439" s="14">
        <f t="shared" si="72"/>
        <v>-3.617837680972491E-2</v>
      </c>
      <c r="BT439" s="14">
        <f t="shared" si="73"/>
        <v>1.7615201197759722E-2</v>
      </c>
      <c r="BV439" s="749">
        <v>42706</v>
      </c>
      <c r="BW439">
        <f t="shared" si="74"/>
        <v>1.0532246129599554</v>
      </c>
      <c r="BX439">
        <f t="shared" si="75"/>
        <v>1.2178043580696694</v>
      </c>
    </row>
    <row r="440" spans="1:76" x14ac:dyDescent="0.3">
      <c r="A440" s="749">
        <v>42699</v>
      </c>
      <c r="B440">
        <v>42000</v>
      </c>
      <c r="C440">
        <v>890.97199999999998</v>
      </c>
      <c r="D440">
        <v>31720</v>
      </c>
      <c r="E440">
        <v>20.13</v>
      </c>
      <c r="F440">
        <v>4870.0200000000004</v>
      </c>
      <c r="G440">
        <v>1879.38</v>
      </c>
      <c r="H440">
        <v>620.26</v>
      </c>
      <c r="I440">
        <v>250.21</v>
      </c>
      <c r="J440">
        <v>1623.03</v>
      </c>
      <c r="K440">
        <v>11440000</v>
      </c>
      <c r="L440">
        <v>2213.35</v>
      </c>
      <c r="AO440" s="749">
        <v>42699</v>
      </c>
      <c r="AP440">
        <v>4870.0200000000004</v>
      </c>
      <c r="AQ440">
        <v>1879.38</v>
      </c>
      <c r="AR440">
        <f t="shared" si="66"/>
        <v>1.1190817592720255</v>
      </c>
      <c r="AS440">
        <f t="shared" si="67"/>
        <v>0.95883799475526266</v>
      </c>
      <c r="BF440" s="749">
        <v>42699</v>
      </c>
      <c r="BG440">
        <v>4870.0200000000004</v>
      </c>
      <c r="BH440">
        <v>42000</v>
      </c>
      <c r="BI440">
        <v>890.97199999999998</v>
      </c>
      <c r="BJ440">
        <v>20.13</v>
      </c>
      <c r="BK440">
        <v>2213.35</v>
      </c>
      <c r="BL440">
        <v>620.26</v>
      </c>
      <c r="BM440">
        <v>1623.03</v>
      </c>
      <c r="BN440" s="14">
        <f t="shared" si="76"/>
        <v>1.2890907729553147E-2</v>
      </c>
      <c r="BO440" s="14">
        <f t="shared" si="68"/>
        <v>5.3952321204516984E-2</v>
      </c>
      <c r="BP440" s="14">
        <f t="shared" si="69"/>
        <v>2.1018047720055888E-2</v>
      </c>
      <c r="BQ440" s="14">
        <f t="shared" si="70"/>
        <v>4.7891723060905722E-2</v>
      </c>
      <c r="BR440" s="14">
        <f t="shared" si="71"/>
        <v>1.4414042806728089E-2</v>
      </c>
      <c r="BS440" s="14">
        <f t="shared" si="72"/>
        <v>-2.6210423065172739E-3</v>
      </c>
      <c r="BT440" s="14">
        <f t="shared" si="73"/>
        <v>-7.3878821608331924E-3</v>
      </c>
      <c r="BV440" s="749">
        <v>42699</v>
      </c>
      <c r="BW440">
        <f t="shared" si="74"/>
        <v>1.0635072410843849</v>
      </c>
      <c r="BX440">
        <f t="shared" si="75"/>
        <v>1.2799703485766167</v>
      </c>
    </row>
    <row r="441" spans="1:76" x14ac:dyDescent="0.3">
      <c r="A441" s="749">
        <v>42692</v>
      </c>
      <c r="B441">
        <v>39850</v>
      </c>
      <c r="C441">
        <v>872.63099999999997</v>
      </c>
      <c r="D441">
        <v>31960</v>
      </c>
      <c r="E441">
        <v>19.21</v>
      </c>
      <c r="F441">
        <v>4808.04</v>
      </c>
      <c r="G441">
        <v>1894.17</v>
      </c>
      <c r="H441">
        <v>621.89</v>
      </c>
      <c r="I441">
        <v>251.99</v>
      </c>
      <c r="J441">
        <v>1635.11</v>
      </c>
      <c r="K441">
        <v>15180000</v>
      </c>
      <c r="L441">
        <v>2181.9</v>
      </c>
      <c r="AO441" s="749">
        <v>42692</v>
      </c>
      <c r="AP441">
        <v>4808.04</v>
      </c>
      <c r="AQ441">
        <v>1894.17</v>
      </c>
      <c r="AR441">
        <f t="shared" si="66"/>
        <v>1.1048393768095959</v>
      </c>
      <c r="AS441">
        <f t="shared" si="67"/>
        <v>0.96638368213217973</v>
      </c>
      <c r="BF441" s="749">
        <v>42692</v>
      </c>
      <c r="BG441">
        <v>4808.04</v>
      </c>
      <c r="BH441">
        <v>39850</v>
      </c>
      <c r="BI441">
        <v>872.63099999999997</v>
      </c>
      <c r="BJ441">
        <v>19.21</v>
      </c>
      <c r="BK441">
        <v>2181.9</v>
      </c>
      <c r="BL441">
        <v>621.89</v>
      </c>
      <c r="BM441">
        <v>1635.11</v>
      </c>
      <c r="BN441" s="14">
        <f t="shared" si="76"/>
        <v>1.1803575374319975E-2</v>
      </c>
      <c r="BO441" s="14">
        <f t="shared" si="68"/>
        <v>-3.2766990291262177E-2</v>
      </c>
      <c r="BP441" s="14">
        <f t="shared" si="69"/>
        <v>4.2268543622990817E-2</v>
      </c>
      <c r="BQ441" s="14">
        <f t="shared" si="70"/>
        <v>8.7153367289190653E-2</v>
      </c>
      <c r="BR441" s="14">
        <f t="shared" si="71"/>
        <v>8.0620942964726439E-3</v>
      </c>
      <c r="BS441" s="14">
        <f t="shared" si="72"/>
        <v>1.8123178677842855E-2</v>
      </c>
      <c r="BT441" s="14">
        <f t="shared" si="73"/>
        <v>-7.1709615524737647E-3</v>
      </c>
      <c r="BV441" s="749">
        <v>42692</v>
      </c>
      <c r="BW441">
        <f t="shared" si="74"/>
        <v>1.0483956217146044</v>
      </c>
      <c r="BX441">
        <f t="shared" si="75"/>
        <v>1.2536216685246693</v>
      </c>
    </row>
    <row r="442" spans="1:76" x14ac:dyDescent="0.3">
      <c r="A442" s="749">
        <v>42685</v>
      </c>
      <c r="B442">
        <v>41200</v>
      </c>
      <c r="C442">
        <v>837.24199999999996</v>
      </c>
      <c r="D442">
        <v>32540</v>
      </c>
      <c r="E442">
        <v>17.670000000000002</v>
      </c>
      <c r="F442">
        <v>4751.95</v>
      </c>
      <c r="G442">
        <v>1902.87</v>
      </c>
      <c r="H442">
        <v>610.82000000000005</v>
      </c>
      <c r="I442">
        <v>252.57</v>
      </c>
      <c r="J442">
        <v>1646.92</v>
      </c>
      <c r="K442">
        <v>14480000</v>
      </c>
      <c r="L442">
        <v>2164.4499999999998</v>
      </c>
      <c r="AO442" s="749">
        <v>42685</v>
      </c>
      <c r="AP442">
        <v>4751.95</v>
      </c>
      <c r="AQ442">
        <v>1902.87</v>
      </c>
      <c r="AR442">
        <f t="shared" si="66"/>
        <v>1.0919504572820442</v>
      </c>
      <c r="AS442">
        <f t="shared" si="67"/>
        <v>0.97082232176566019</v>
      </c>
      <c r="BF442" s="749">
        <v>42685</v>
      </c>
      <c r="BG442">
        <v>4751.95</v>
      </c>
      <c r="BH442">
        <v>41200</v>
      </c>
      <c r="BI442">
        <v>837.24199999999996</v>
      </c>
      <c r="BJ442">
        <v>17.670000000000002</v>
      </c>
      <c r="BK442">
        <v>2164.4499999999998</v>
      </c>
      <c r="BL442">
        <v>610.82000000000005</v>
      </c>
      <c r="BM442">
        <v>1646.92</v>
      </c>
      <c r="BN442" s="14">
        <f t="shared" si="76"/>
        <v>1.9631109375469302E-2</v>
      </c>
      <c r="BO442" s="14">
        <f t="shared" si="68"/>
        <v>-2.9446407538280317E-2</v>
      </c>
      <c r="BP442" s="14">
        <f t="shared" si="69"/>
        <v>4.2803620982567736E-2</v>
      </c>
      <c r="BQ442" s="14">
        <f t="shared" si="70"/>
        <v>5.9352517985611586E-2</v>
      </c>
      <c r="BR442" s="14">
        <f t="shared" si="71"/>
        <v>3.8015902703843363E-2</v>
      </c>
      <c r="BS442" s="14">
        <f t="shared" si="72"/>
        <v>-4.584719683833971E-2</v>
      </c>
      <c r="BT442" s="14">
        <f t="shared" si="73"/>
        <v>-1.3666798423706661E-2</v>
      </c>
      <c r="BV442" s="749">
        <v>42685</v>
      </c>
      <c r="BW442">
        <f t="shared" si="74"/>
        <v>1.0400109553234222</v>
      </c>
      <c r="BX442">
        <f t="shared" si="75"/>
        <v>1.202781832182138</v>
      </c>
    </row>
    <row r="443" spans="1:76" x14ac:dyDescent="0.3">
      <c r="A443" s="749">
        <v>42678</v>
      </c>
      <c r="B443">
        <v>42450</v>
      </c>
      <c r="C443">
        <v>802.87599999999998</v>
      </c>
      <c r="D443">
        <v>32280</v>
      </c>
      <c r="E443">
        <v>16.68</v>
      </c>
      <c r="F443">
        <v>4660.46</v>
      </c>
      <c r="G443">
        <v>1931.46</v>
      </c>
      <c r="H443">
        <v>640.16999999999996</v>
      </c>
      <c r="I443">
        <v>256.52999999999997</v>
      </c>
      <c r="J443">
        <v>1669.74</v>
      </c>
      <c r="K443">
        <v>20110000</v>
      </c>
      <c r="L443">
        <v>2085.1799999999998</v>
      </c>
      <c r="AO443" s="749">
        <v>42678</v>
      </c>
      <c r="AP443">
        <v>4660.46</v>
      </c>
      <c r="AQ443">
        <v>1931.46</v>
      </c>
      <c r="AR443">
        <f t="shared" si="66"/>
        <v>1.0709269727469093</v>
      </c>
      <c r="AS443">
        <f t="shared" si="67"/>
        <v>0.98540860994051205</v>
      </c>
      <c r="BF443" s="749">
        <v>42678</v>
      </c>
      <c r="BG443">
        <v>4660.46</v>
      </c>
      <c r="BH443">
        <v>42450</v>
      </c>
      <c r="BI443">
        <v>802.87599999999998</v>
      </c>
      <c r="BJ443">
        <v>16.68</v>
      </c>
      <c r="BK443">
        <v>2085.1799999999998</v>
      </c>
      <c r="BL443">
        <v>640.16999999999996</v>
      </c>
      <c r="BM443">
        <v>1669.74</v>
      </c>
      <c r="BN443" s="14">
        <f t="shared" si="76"/>
        <v>-3.0200245963554972E-2</v>
      </c>
      <c r="BO443" s="14">
        <f t="shared" si="68"/>
        <v>3.6630036630036722E-2</v>
      </c>
      <c r="BP443" s="14">
        <f t="shared" si="69"/>
        <v>-1.9543767096522058E-2</v>
      </c>
      <c r="BQ443" s="14">
        <f t="shared" si="70"/>
        <v>-3.0232558139534849E-2</v>
      </c>
      <c r="BR443" s="14">
        <f t="shared" si="71"/>
        <v>-1.9389487445977016E-2</v>
      </c>
      <c r="BS443" s="14">
        <f t="shared" si="72"/>
        <v>-1.779768936894921E-2</v>
      </c>
      <c r="BT443" s="14">
        <f t="shared" si="73"/>
        <v>2.4494794856093627E-3</v>
      </c>
      <c r="BV443" s="749">
        <v>42678</v>
      </c>
      <c r="BW443">
        <f t="shared" si="74"/>
        <v>1.0019219865653139</v>
      </c>
      <c r="BX443">
        <f t="shared" si="75"/>
        <v>1.153411637609038</v>
      </c>
    </row>
    <row r="444" spans="1:76" x14ac:dyDescent="0.3">
      <c r="A444" s="749">
        <v>42671</v>
      </c>
      <c r="B444">
        <v>40950</v>
      </c>
      <c r="C444">
        <v>818.88</v>
      </c>
      <c r="D444">
        <v>31780</v>
      </c>
      <c r="E444">
        <v>17.2</v>
      </c>
      <c r="F444">
        <v>4805.59</v>
      </c>
      <c r="G444">
        <v>1932.61</v>
      </c>
      <c r="H444">
        <v>651.77</v>
      </c>
      <c r="I444">
        <v>257.26</v>
      </c>
      <c r="J444">
        <v>1665.66</v>
      </c>
      <c r="K444">
        <v>17770000</v>
      </c>
      <c r="L444">
        <v>2126.41</v>
      </c>
      <c r="AO444" s="749">
        <v>42671</v>
      </c>
      <c r="AP444">
        <v>4805.59</v>
      </c>
      <c r="AQ444">
        <v>1932.61</v>
      </c>
      <c r="AR444">
        <f t="shared" si="66"/>
        <v>1.1042763913782803</v>
      </c>
      <c r="AS444">
        <f t="shared" si="67"/>
        <v>0.98599532667367318</v>
      </c>
      <c r="BF444" s="749">
        <v>42671</v>
      </c>
      <c r="BG444">
        <v>4805.59</v>
      </c>
      <c r="BH444">
        <v>40950</v>
      </c>
      <c r="BI444">
        <v>818.88</v>
      </c>
      <c r="BJ444">
        <v>17.2</v>
      </c>
      <c r="BK444">
        <v>2126.41</v>
      </c>
      <c r="BL444">
        <v>651.77</v>
      </c>
      <c r="BM444">
        <v>1665.66</v>
      </c>
      <c r="BN444" s="14">
        <f t="shared" si="76"/>
        <v>-9.536548869917838E-3</v>
      </c>
      <c r="BO444" s="14">
        <f t="shared" si="68"/>
        <v>-1.4440433212996373E-2</v>
      </c>
      <c r="BP444" s="14">
        <f t="shared" si="69"/>
        <v>5.345440170111182E-3</v>
      </c>
      <c r="BQ444" s="14">
        <f t="shared" si="70"/>
        <v>1.5348288075560657E-2</v>
      </c>
      <c r="BR444" s="14">
        <f t="shared" si="71"/>
        <v>-6.8887892544228224E-3</v>
      </c>
      <c r="BS444" s="14">
        <f t="shared" si="72"/>
        <v>-1.9776815255970637E-2</v>
      </c>
      <c r="BT444" s="14">
        <f t="shared" si="73"/>
        <v>1.0893907301648964E-2</v>
      </c>
      <c r="BV444" s="749">
        <v>42671</v>
      </c>
      <c r="BW444">
        <f t="shared" si="74"/>
        <v>1.0217328630872871</v>
      </c>
      <c r="BX444">
        <f t="shared" si="75"/>
        <v>1.1764029835308181</v>
      </c>
    </row>
    <row r="445" spans="1:76" x14ac:dyDescent="0.3">
      <c r="A445" s="749">
        <v>42664</v>
      </c>
      <c r="B445">
        <v>41550</v>
      </c>
      <c r="C445">
        <v>814.52599999999995</v>
      </c>
      <c r="D445">
        <v>31540</v>
      </c>
      <c r="E445">
        <v>16.940000000000001</v>
      </c>
      <c r="F445">
        <v>4851.8599999999997</v>
      </c>
      <c r="G445">
        <v>1911.96</v>
      </c>
      <c r="H445">
        <v>664.92</v>
      </c>
      <c r="I445">
        <v>255.09</v>
      </c>
      <c r="J445">
        <v>1647.71</v>
      </c>
      <c r="K445">
        <v>15600000</v>
      </c>
      <c r="L445">
        <v>2141.16</v>
      </c>
      <c r="AO445" s="749">
        <v>42664</v>
      </c>
      <c r="AP445">
        <v>4851.8599999999997</v>
      </c>
      <c r="AQ445">
        <v>1911.96</v>
      </c>
      <c r="AR445">
        <f t="shared" si="66"/>
        <v>1.1149087733811296</v>
      </c>
      <c r="AS445">
        <f t="shared" si="67"/>
        <v>0.97545993489995209</v>
      </c>
      <c r="BF445" s="749">
        <v>42664</v>
      </c>
      <c r="BG445">
        <v>4851.8599999999997</v>
      </c>
      <c r="BH445">
        <v>41550</v>
      </c>
      <c r="BI445">
        <v>814.52599999999995</v>
      </c>
      <c r="BJ445">
        <v>16.940000000000001</v>
      </c>
      <c r="BK445">
        <v>2141.16</v>
      </c>
      <c r="BL445">
        <v>664.92</v>
      </c>
      <c r="BM445">
        <v>1647.71</v>
      </c>
      <c r="BN445" s="14">
        <f t="shared" si="76"/>
        <v>9.0215619072970821E-3</v>
      </c>
      <c r="BO445" s="14">
        <f t="shared" si="68"/>
        <v>-1.5402843601895699E-2</v>
      </c>
      <c r="BP445" s="14">
        <f t="shared" si="69"/>
        <v>6.3430327949867138E-3</v>
      </c>
      <c r="BQ445" s="14">
        <f t="shared" si="70"/>
        <v>-1.1091652072387492E-2</v>
      </c>
      <c r="BR445" s="14">
        <f t="shared" si="71"/>
        <v>3.8350101735600273E-3</v>
      </c>
      <c r="BS445" s="14">
        <f t="shared" si="72"/>
        <v>-1.6245006657789607E-2</v>
      </c>
      <c r="BT445" s="14">
        <f t="shared" si="73"/>
        <v>-2.4688946502349984E-2</v>
      </c>
      <c r="BV445" s="749">
        <v>42664</v>
      </c>
      <c r="BW445">
        <f t="shared" si="74"/>
        <v>1.0288201885468822</v>
      </c>
      <c r="BX445">
        <f t="shared" si="75"/>
        <v>1.170148027260921</v>
      </c>
    </row>
    <row r="446" spans="1:76" x14ac:dyDescent="0.3">
      <c r="A446" s="749">
        <v>42657</v>
      </c>
      <c r="B446">
        <v>42200</v>
      </c>
      <c r="C446">
        <v>809.39200000000005</v>
      </c>
      <c r="D446">
        <v>34120</v>
      </c>
      <c r="E446">
        <v>17.13</v>
      </c>
      <c r="F446">
        <v>4808.4799999999996</v>
      </c>
      <c r="G446">
        <v>1951.99</v>
      </c>
      <c r="H446">
        <v>675.9</v>
      </c>
      <c r="I446">
        <v>260.06</v>
      </c>
      <c r="J446">
        <v>1689.42</v>
      </c>
      <c r="K446">
        <v>13480000</v>
      </c>
      <c r="L446">
        <v>2132.98</v>
      </c>
      <c r="AO446" s="749">
        <v>42657</v>
      </c>
      <c r="AP446">
        <v>4808.4799999999996</v>
      </c>
      <c r="AQ446">
        <v>1951.99</v>
      </c>
      <c r="AR446">
        <f t="shared" si="66"/>
        <v>1.1049404843972608</v>
      </c>
      <c r="AS446">
        <f t="shared" si="67"/>
        <v>0.99588277909859901</v>
      </c>
      <c r="BF446" s="749">
        <v>42657</v>
      </c>
      <c r="BG446">
        <v>4808.4799999999996</v>
      </c>
      <c r="BH446">
        <v>42200</v>
      </c>
      <c r="BI446">
        <v>809.39200000000005</v>
      </c>
      <c r="BJ446">
        <v>17.13</v>
      </c>
      <c r="BK446">
        <v>2132.98</v>
      </c>
      <c r="BL446">
        <v>675.9</v>
      </c>
      <c r="BM446">
        <v>1689.42</v>
      </c>
      <c r="BN446" s="14">
        <f t="shared" si="76"/>
        <v>-1.1520149983965666E-2</v>
      </c>
      <c r="BO446" s="14">
        <f t="shared" si="68"/>
        <v>4.9751243781094523E-2</v>
      </c>
      <c r="BP446" s="14">
        <f t="shared" si="69"/>
        <v>-3.3012195588179027E-2</v>
      </c>
      <c r="BQ446" s="14">
        <f t="shared" si="70"/>
        <v>-2.7257240204429323E-2</v>
      </c>
      <c r="BR446" s="14">
        <f t="shared" si="71"/>
        <v>-9.6390464958628908E-3</v>
      </c>
      <c r="BS446" s="14">
        <f t="shared" si="72"/>
        <v>-7.7949530981636928E-3</v>
      </c>
      <c r="BT446" s="14">
        <f t="shared" si="73"/>
        <v>1.6645002888503901E-2</v>
      </c>
      <c r="BV446" s="749">
        <v>42657</v>
      </c>
      <c r="BW446">
        <f t="shared" si="74"/>
        <v>1.0248897260208152</v>
      </c>
      <c r="BX446">
        <f t="shared" si="75"/>
        <v>1.1627725230143318</v>
      </c>
    </row>
    <row r="447" spans="1:76" x14ac:dyDescent="0.3">
      <c r="A447" s="749">
        <v>42650</v>
      </c>
      <c r="B447">
        <v>40200</v>
      </c>
      <c r="C447">
        <v>837.024</v>
      </c>
      <c r="D447">
        <v>31960</v>
      </c>
      <c r="E447">
        <v>17.61</v>
      </c>
      <c r="F447">
        <v>4864.5200000000004</v>
      </c>
      <c r="G447">
        <v>1927.68</v>
      </c>
      <c r="H447">
        <v>681.21</v>
      </c>
      <c r="I447">
        <v>257.49</v>
      </c>
      <c r="J447">
        <v>1661.76</v>
      </c>
      <c r="K447">
        <v>17600000</v>
      </c>
      <c r="L447">
        <v>2153.7399999999998</v>
      </c>
      <c r="AO447" s="749">
        <v>42650</v>
      </c>
      <c r="AP447">
        <v>4864.5200000000004</v>
      </c>
      <c r="AQ447">
        <v>1927.68</v>
      </c>
      <c r="AR447">
        <f t="shared" si="66"/>
        <v>1.1178179144262146</v>
      </c>
      <c r="AS447">
        <f t="shared" si="67"/>
        <v>0.98348009754803434</v>
      </c>
      <c r="BF447" s="749">
        <v>42650</v>
      </c>
      <c r="BG447">
        <v>4864.5200000000004</v>
      </c>
      <c r="BH447">
        <v>40200</v>
      </c>
      <c r="BI447">
        <v>837.024</v>
      </c>
      <c r="BJ447">
        <v>17.61</v>
      </c>
      <c r="BK447">
        <v>2153.7399999999998</v>
      </c>
      <c r="BL447">
        <v>681.21</v>
      </c>
      <c r="BM447">
        <v>1661.76</v>
      </c>
      <c r="BN447" s="14">
        <f t="shared" si="76"/>
        <v>-2.2930040814650443E-3</v>
      </c>
      <c r="BO447" s="14">
        <f t="shared" si="68"/>
        <v>2.1601016518424387E-2</v>
      </c>
      <c r="BP447" s="14">
        <f t="shared" si="69"/>
        <v>1.7041646720918902E-3</v>
      </c>
      <c r="BQ447" s="14">
        <f t="shared" si="70"/>
        <v>-9.5613048368954345E-3</v>
      </c>
      <c r="BR447" s="14">
        <f t="shared" si="71"/>
        <v>-6.7011949618821509E-3</v>
      </c>
      <c r="BS447" s="14">
        <f t="shared" si="72"/>
        <v>-1.0717553261011648E-2</v>
      </c>
      <c r="BT447" s="14">
        <f t="shared" si="73"/>
        <v>-3.5438665923114288E-3</v>
      </c>
      <c r="BV447" s="749">
        <v>42650</v>
      </c>
      <c r="BW447">
        <f t="shared" si="74"/>
        <v>1.0348648362947943</v>
      </c>
      <c r="BX447">
        <f t="shared" si="75"/>
        <v>1.2024686533886522</v>
      </c>
    </row>
    <row r="448" spans="1:76" x14ac:dyDescent="0.3">
      <c r="A448" s="749">
        <v>42643</v>
      </c>
      <c r="B448">
        <v>39350</v>
      </c>
      <c r="C448">
        <v>835.6</v>
      </c>
      <c r="D448">
        <v>31420</v>
      </c>
      <c r="E448">
        <v>17.78</v>
      </c>
      <c r="F448">
        <v>4875.7</v>
      </c>
      <c r="G448">
        <v>1934.06</v>
      </c>
      <c r="H448">
        <v>688.59</v>
      </c>
      <c r="I448">
        <v>258.37</v>
      </c>
      <c r="J448">
        <v>1667.67</v>
      </c>
      <c r="K448">
        <v>14920000</v>
      </c>
      <c r="L448">
        <v>2168.27</v>
      </c>
      <c r="AO448" s="749">
        <v>42643</v>
      </c>
      <c r="AP448">
        <v>4875.7</v>
      </c>
      <c r="AQ448">
        <v>1934.06</v>
      </c>
      <c r="AR448">
        <f t="shared" si="66"/>
        <v>1.1203869663127901</v>
      </c>
      <c r="AS448">
        <f t="shared" si="67"/>
        <v>0.98673509994592001</v>
      </c>
      <c r="BF448" s="749">
        <v>42643</v>
      </c>
      <c r="BG448">
        <v>4875.7</v>
      </c>
      <c r="BH448">
        <v>39350</v>
      </c>
      <c r="BI448">
        <v>835.6</v>
      </c>
      <c r="BJ448">
        <v>17.78</v>
      </c>
      <c r="BK448">
        <v>2168.27</v>
      </c>
      <c r="BL448">
        <v>688.59</v>
      </c>
      <c r="BM448">
        <v>1667.67</v>
      </c>
      <c r="BN448" s="14">
        <f t="shared" si="76"/>
        <v>3.4555075109437006E-3</v>
      </c>
      <c r="BO448" s="14">
        <f t="shared" si="68"/>
        <v>4.1005291005290934E-2</v>
      </c>
      <c r="BP448" s="14">
        <f t="shared" si="69"/>
        <v>3.8537496597658816E-2</v>
      </c>
      <c r="BQ448" s="14">
        <f t="shared" si="70"/>
        <v>1.7162471395881118E-2</v>
      </c>
      <c r="BR448" s="14">
        <f t="shared" si="71"/>
        <v>1.6538164818056256E-3</v>
      </c>
      <c r="BS448" s="14">
        <f t="shared" si="72"/>
        <v>4.3081117927743717E-2</v>
      </c>
      <c r="BT448" s="14">
        <f t="shared" si="73"/>
        <v>2.558946164348197E-2</v>
      </c>
      <c r="BV448" s="749">
        <v>42643</v>
      </c>
      <c r="BW448">
        <f t="shared" si="74"/>
        <v>1.0418464524932971</v>
      </c>
      <c r="BX448">
        <f t="shared" si="75"/>
        <v>1.200422935031203</v>
      </c>
    </row>
    <row r="449" spans="1:76" x14ac:dyDescent="0.3">
      <c r="A449" s="749">
        <v>42636</v>
      </c>
      <c r="B449">
        <v>37800</v>
      </c>
      <c r="C449">
        <v>804.59299999999996</v>
      </c>
      <c r="D449">
        <v>30540</v>
      </c>
      <c r="E449">
        <v>17.48</v>
      </c>
      <c r="F449">
        <v>4858.91</v>
      </c>
      <c r="G449">
        <v>1886.26</v>
      </c>
      <c r="H449">
        <v>660.15</v>
      </c>
      <c r="I449">
        <v>251.77</v>
      </c>
      <c r="J449">
        <v>1626.06</v>
      </c>
      <c r="K449">
        <v>8810000</v>
      </c>
      <c r="L449">
        <v>2164.69</v>
      </c>
      <c r="AO449" s="749">
        <v>42636</v>
      </c>
      <c r="AP449">
        <v>4858.91</v>
      </c>
      <c r="AQ449">
        <v>1886.26</v>
      </c>
      <c r="AR449">
        <f t="shared" si="66"/>
        <v>1.1165287926834873</v>
      </c>
      <c r="AS449">
        <f t="shared" si="67"/>
        <v>0.96234809138495758</v>
      </c>
      <c r="BF449" s="749">
        <v>42636</v>
      </c>
      <c r="BG449">
        <v>4858.91</v>
      </c>
      <c r="BH449">
        <v>37800</v>
      </c>
      <c r="BI449">
        <v>804.59299999999996</v>
      </c>
      <c r="BJ449">
        <v>17.48</v>
      </c>
      <c r="BK449">
        <v>2164.69</v>
      </c>
      <c r="BL449">
        <v>660.15</v>
      </c>
      <c r="BM449">
        <v>1626.06</v>
      </c>
      <c r="BN449" s="14">
        <f t="shared" si="76"/>
        <v>8.4806093751621514E-3</v>
      </c>
      <c r="BO449" s="14">
        <f t="shared" si="68"/>
        <v>-2.9525032092426184E-2</v>
      </c>
      <c r="BP449" s="14">
        <f t="shared" si="69"/>
        <v>3.8001514571197603E-3</v>
      </c>
      <c r="BQ449" s="14">
        <f t="shared" si="70"/>
        <v>0</v>
      </c>
      <c r="BR449" s="14">
        <f t="shared" si="71"/>
        <v>1.1934591147927387E-2</v>
      </c>
      <c r="BS449" s="14">
        <f t="shared" si="72"/>
        <v>-7.278304936916391E-3</v>
      </c>
      <c r="BT449" s="14">
        <f t="shared" si="73"/>
        <v>-2.2835715058351247E-2</v>
      </c>
      <c r="BV449" s="749">
        <v>42636</v>
      </c>
      <c r="BW449">
        <f t="shared" si="74"/>
        <v>1.0401262745173412</v>
      </c>
      <c r="BX449">
        <f t="shared" si="75"/>
        <v>1.1558782797577318</v>
      </c>
    </row>
    <row r="450" spans="1:76" x14ac:dyDescent="0.3">
      <c r="A450" s="749">
        <v>42629</v>
      </c>
      <c r="B450">
        <v>38950</v>
      </c>
      <c r="C450">
        <v>801.54700000000003</v>
      </c>
      <c r="D450">
        <v>31500</v>
      </c>
      <c r="E450">
        <v>17.48</v>
      </c>
      <c r="F450">
        <v>4818.05</v>
      </c>
      <c r="G450">
        <v>1928.91</v>
      </c>
      <c r="H450">
        <v>664.99</v>
      </c>
      <c r="I450">
        <v>257.31</v>
      </c>
      <c r="J450">
        <v>1664.06</v>
      </c>
      <c r="K450">
        <v>14690000</v>
      </c>
      <c r="L450">
        <v>2139.16</v>
      </c>
      <c r="AO450" s="749">
        <v>42629</v>
      </c>
      <c r="AP450">
        <v>4818.05</v>
      </c>
      <c r="AQ450">
        <v>1928.91</v>
      </c>
      <c r="AR450">
        <f t="shared" si="66"/>
        <v>1.1071395744289718</v>
      </c>
      <c r="AS450">
        <f t="shared" si="67"/>
        <v>0.984107629358285</v>
      </c>
      <c r="BF450" s="749">
        <v>42629</v>
      </c>
      <c r="BG450">
        <v>4818.05</v>
      </c>
      <c r="BH450">
        <v>38950</v>
      </c>
      <c r="BI450">
        <v>801.54700000000003</v>
      </c>
      <c r="BJ450">
        <v>17.48</v>
      </c>
      <c r="BK450">
        <v>2139.16</v>
      </c>
      <c r="BL450">
        <v>664.99</v>
      </c>
      <c r="BM450">
        <v>1664.06</v>
      </c>
      <c r="BN450" s="14">
        <f t="shared" si="76"/>
        <v>2.9159208294706529E-2</v>
      </c>
      <c r="BO450" s="14">
        <f t="shared" si="68"/>
        <v>6.2755798090040837E-2</v>
      </c>
      <c r="BP450" s="14">
        <f t="shared" si="69"/>
        <v>4.3174343710671748E-2</v>
      </c>
      <c r="BQ450" s="14">
        <f t="shared" si="70"/>
        <v>3.9857227840571108E-2</v>
      </c>
      <c r="BR450" s="14">
        <f t="shared" si="71"/>
        <v>5.3341228775125593E-3</v>
      </c>
      <c r="BS450" s="14">
        <f t="shared" si="72"/>
        <v>-1.7609431091282435E-2</v>
      </c>
      <c r="BT450" s="14">
        <f t="shared" si="73"/>
        <v>5.8146563187542188E-3</v>
      </c>
      <c r="BV450" s="749">
        <v>42629</v>
      </c>
      <c r="BW450">
        <f t="shared" si="74"/>
        <v>1.0278591952642251</v>
      </c>
      <c r="BX450">
        <f t="shared" si="75"/>
        <v>1.1515023962487503</v>
      </c>
    </row>
    <row r="451" spans="1:76" x14ac:dyDescent="0.3">
      <c r="A451" s="749">
        <v>42622</v>
      </c>
      <c r="B451">
        <v>36650</v>
      </c>
      <c r="C451">
        <v>768.37300000000005</v>
      </c>
      <c r="D451">
        <v>31940</v>
      </c>
      <c r="E451">
        <v>16.809999999999999</v>
      </c>
      <c r="F451">
        <v>4681.54</v>
      </c>
      <c r="G451">
        <v>1920.38</v>
      </c>
      <c r="H451">
        <v>676.91</v>
      </c>
      <c r="I451">
        <v>256.5</v>
      </c>
      <c r="J451">
        <v>1654.44</v>
      </c>
      <c r="K451">
        <v>11920000</v>
      </c>
      <c r="L451">
        <v>2127.81</v>
      </c>
      <c r="AO451" s="749">
        <v>42622</v>
      </c>
      <c r="AP451">
        <v>4681.54</v>
      </c>
      <c r="AQ451">
        <v>1920.38</v>
      </c>
      <c r="AR451">
        <f t="shared" ref="AR451:AR514" si="77">+AP451/$AP$524</f>
        <v>1.0757709453559445</v>
      </c>
      <c r="AS451">
        <f t="shared" ref="AS451:AS514" si="78">+AQ451/$AQ$524</f>
        <v>0.97975572176361958</v>
      </c>
      <c r="BF451" s="749">
        <v>42622</v>
      </c>
      <c r="BG451">
        <v>4681.54</v>
      </c>
      <c r="BH451">
        <v>36650</v>
      </c>
      <c r="BI451">
        <v>768.37300000000005</v>
      </c>
      <c r="BJ451">
        <v>16.809999999999999</v>
      </c>
      <c r="BK451">
        <v>2127.81</v>
      </c>
      <c r="BL451">
        <v>676.91</v>
      </c>
      <c r="BM451">
        <v>1654.44</v>
      </c>
      <c r="BN451" s="14">
        <f t="shared" si="76"/>
        <v>-2.4423077724569309E-2</v>
      </c>
      <c r="BO451" s="14">
        <f t="shared" ref="BO451:BO514" si="79">+BH451/BH452-1</f>
        <v>1.1034482758620623E-2</v>
      </c>
      <c r="BP451" s="14">
        <f t="shared" ref="BP451:BP514" si="80">+BI451/BI452-1</f>
        <v>-4.7811835852061169E-2</v>
      </c>
      <c r="BQ451" s="14">
        <f t="shared" ref="BQ451:BQ514" si="81">+BJ451/BJ452-1</f>
        <v>6.5868263473054522E-3</v>
      </c>
      <c r="BR451" s="14">
        <f t="shared" ref="BR451:BR514" si="82">+BK451/BK452-1</f>
        <v>-2.3931412214791004E-2</v>
      </c>
      <c r="BS451" s="14">
        <f t="shared" ref="BS451:BS514" si="83">+BL451/BL452-1</f>
        <v>-5.1731993004423549E-3</v>
      </c>
      <c r="BT451" s="14">
        <f t="shared" ref="BT451:BT514" si="84">+BM451/BM452-1</f>
        <v>3.8346722326045857E-3</v>
      </c>
      <c r="BV451" s="749">
        <v>42622</v>
      </c>
      <c r="BW451">
        <f t="shared" ref="BW451:BW514" si="85">+L451/$L$524</f>
        <v>1.022405558385147</v>
      </c>
      <c r="BX451">
        <f t="shared" ref="BX451:BX514" si="86">+C451/$C$524</f>
        <v>1.1038446288400319</v>
      </c>
    </row>
    <row r="452" spans="1:76" x14ac:dyDescent="0.3">
      <c r="A452" s="749">
        <v>42615</v>
      </c>
      <c r="B452">
        <v>36250</v>
      </c>
      <c r="C452">
        <v>806.95500000000004</v>
      </c>
      <c r="D452">
        <v>32240</v>
      </c>
      <c r="E452">
        <v>16.7</v>
      </c>
      <c r="F452">
        <v>4798.74</v>
      </c>
      <c r="G452">
        <v>1916.62</v>
      </c>
      <c r="H452">
        <v>680.43</v>
      </c>
      <c r="I452">
        <v>256.23</v>
      </c>
      <c r="J452">
        <v>1648.12</v>
      </c>
      <c r="K452">
        <v>13060000</v>
      </c>
      <c r="L452">
        <v>2179.98</v>
      </c>
      <c r="AO452" s="749">
        <v>42615</v>
      </c>
      <c r="AP452">
        <v>4798.74</v>
      </c>
      <c r="AQ452">
        <v>1916.62</v>
      </c>
      <c r="AR452">
        <f t="shared" si="77"/>
        <v>1.1027023300703156</v>
      </c>
      <c r="AS452">
        <f t="shared" si="78"/>
        <v>0.97783741314041406</v>
      </c>
      <c r="BF452" s="749">
        <v>42615</v>
      </c>
      <c r="BG452">
        <v>4798.74</v>
      </c>
      <c r="BH452">
        <v>36250</v>
      </c>
      <c r="BI452">
        <v>806.95500000000004</v>
      </c>
      <c r="BJ452">
        <v>16.7</v>
      </c>
      <c r="BK452">
        <v>2179.98</v>
      </c>
      <c r="BL452">
        <v>680.43</v>
      </c>
      <c r="BM452">
        <v>1648.12</v>
      </c>
      <c r="BN452" s="14">
        <f t="shared" ref="BN452:BN515" si="87">+BG452/BG453-1</f>
        <v>3.1461068756546418E-3</v>
      </c>
      <c r="BO452" s="14">
        <f t="shared" si="79"/>
        <v>2.4011299435028333E-2</v>
      </c>
      <c r="BP452" s="14">
        <f t="shared" si="80"/>
        <v>6.9316196655853091E-3</v>
      </c>
      <c r="BQ452" s="14">
        <f t="shared" si="81"/>
        <v>1.150817686250738E-2</v>
      </c>
      <c r="BR452" s="14">
        <f t="shared" si="82"/>
        <v>5.0437059713053234E-3</v>
      </c>
      <c r="BS452" s="14">
        <f t="shared" si="83"/>
        <v>-2.2651536914679804E-2</v>
      </c>
      <c r="BT452" s="14">
        <f t="shared" si="84"/>
        <v>-1.1663678286368828E-2</v>
      </c>
      <c r="BV452" s="749">
        <v>42615</v>
      </c>
      <c r="BW452">
        <f t="shared" si="85"/>
        <v>1.0474730681632536</v>
      </c>
      <c r="BX452">
        <f t="shared" si="86"/>
        <v>1.1592715288871522</v>
      </c>
    </row>
    <row r="453" spans="1:76" x14ac:dyDescent="0.3">
      <c r="A453" s="749">
        <v>42608</v>
      </c>
      <c r="B453">
        <v>35400</v>
      </c>
      <c r="C453">
        <v>801.4</v>
      </c>
      <c r="D453">
        <v>33500</v>
      </c>
      <c r="E453">
        <v>16.510000000000002</v>
      </c>
      <c r="F453">
        <v>4783.6899999999996</v>
      </c>
      <c r="G453">
        <v>1936.22</v>
      </c>
      <c r="H453">
        <v>696.2</v>
      </c>
      <c r="I453">
        <v>258.69</v>
      </c>
      <c r="J453">
        <v>1667.57</v>
      </c>
      <c r="K453">
        <v>11510000</v>
      </c>
      <c r="L453">
        <v>2169.04</v>
      </c>
      <c r="AO453" s="749">
        <v>42608</v>
      </c>
      <c r="AP453">
        <v>4783.6899999999996</v>
      </c>
      <c r="AQ453">
        <v>1936.22</v>
      </c>
      <c r="AR453">
        <f t="shared" si="77"/>
        <v>1.0992439909922329</v>
      </c>
      <c r="AS453">
        <f t="shared" si="78"/>
        <v>0.98783710702733596</v>
      </c>
      <c r="BF453" s="749">
        <v>42608</v>
      </c>
      <c r="BG453">
        <v>4783.6899999999996</v>
      </c>
      <c r="BH453">
        <v>35400</v>
      </c>
      <c r="BI453">
        <v>801.4</v>
      </c>
      <c r="BJ453">
        <v>16.510000000000002</v>
      </c>
      <c r="BK453">
        <v>2169.04</v>
      </c>
      <c r="BL453">
        <v>696.2</v>
      </c>
      <c r="BM453">
        <v>1667.57</v>
      </c>
      <c r="BN453" s="14">
        <f t="shared" si="87"/>
        <v>-4.6711082074181176E-3</v>
      </c>
      <c r="BO453" s="14">
        <f t="shared" si="79"/>
        <v>3.0567685589519611E-2</v>
      </c>
      <c r="BP453" s="14">
        <f t="shared" si="80"/>
        <v>5.4475333037244944E-3</v>
      </c>
      <c r="BQ453" s="14">
        <f t="shared" si="81"/>
        <v>1.6000000000000014E-2</v>
      </c>
      <c r="BR453" s="14">
        <f t="shared" si="82"/>
        <v>-6.790697248462596E-3</v>
      </c>
      <c r="BS453" s="14">
        <f t="shared" si="83"/>
        <v>-1.2734337332312218E-2</v>
      </c>
      <c r="BT453" s="14">
        <f t="shared" si="84"/>
        <v>1.8201690113325508E-2</v>
      </c>
      <c r="BV453" s="749">
        <v>42608</v>
      </c>
      <c r="BW453">
        <f t="shared" si="85"/>
        <v>1.0422164349071201</v>
      </c>
      <c r="BX453">
        <f t="shared" si="86"/>
        <v>1.1512912160531428</v>
      </c>
    </row>
    <row r="454" spans="1:76" x14ac:dyDescent="0.3">
      <c r="A454" s="749">
        <v>42601</v>
      </c>
      <c r="B454">
        <v>34350</v>
      </c>
      <c r="C454">
        <v>797.05799999999999</v>
      </c>
      <c r="D454">
        <v>30900</v>
      </c>
      <c r="E454">
        <v>16.25</v>
      </c>
      <c r="F454">
        <v>4806.1400000000003</v>
      </c>
      <c r="G454">
        <v>1911.73</v>
      </c>
      <c r="H454">
        <v>705.18</v>
      </c>
      <c r="I454">
        <v>256.17</v>
      </c>
      <c r="J454">
        <v>1637.76</v>
      </c>
      <c r="K454">
        <v>12880000</v>
      </c>
      <c r="L454">
        <v>2183.87</v>
      </c>
      <c r="AO454" s="749">
        <v>42601</v>
      </c>
      <c r="AP454">
        <v>4806.1400000000003</v>
      </c>
      <c r="AQ454">
        <v>1911.73</v>
      </c>
      <c r="AR454">
        <f t="shared" si="77"/>
        <v>1.1044027758628614</v>
      </c>
      <c r="AS454">
        <f t="shared" si="78"/>
        <v>0.97534259155331982</v>
      </c>
      <c r="BF454" s="749">
        <v>42601</v>
      </c>
      <c r="BG454">
        <v>4806.1400000000003</v>
      </c>
      <c r="BH454">
        <v>34350</v>
      </c>
      <c r="BI454">
        <v>797.05799999999999</v>
      </c>
      <c r="BJ454">
        <v>16.25</v>
      </c>
      <c r="BK454">
        <v>2183.87</v>
      </c>
      <c r="BL454">
        <v>705.18</v>
      </c>
      <c r="BM454">
        <v>1637.76</v>
      </c>
      <c r="BN454" s="14">
        <f t="shared" si="87"/>
        <v>-1.9554490459894325E-4</v>
      </c>
      <c r="BO454" s="14">
        <f t="shared" si="79"/>
        <v>-1.2931034482758674E-2</v>
      </c>
      <c r="BP454" s="14">
        <f t="shared" si="80"/>
        <v>2.2073645498330352E-2</v>
      </c>
      <c r="BQ454" s="14">
        <f t="shared" si="81"/>
        <v>8.8412592096450027E-2</v>
      </c>
      <c r="BR454" s="14">
        <f t="shared" si="82"/>
        <v>-8.2415695611515183E-5</v>
      </c>
      <c r="BS454" s="14">
        <f t="shared" si="83"/>
        <v>1.3058656208248864E-2</v>
      </c>
      <c r="BT454" s="14">
        <f t="shared" si="84"/>
        <v>1.2450390079252305E-2</v>
      </c>
      <c r="BV454" s="749">
        <v>42601</v>
      </c>
      <c r="BW454">
        <f t="shared" si="85"/>
        <v>1.0493422000980213</v>
      </c>
      <c r="BX454">
        <f t="shared" si="86"/>
        <v>1.1450534989828873</v>
      </c>
    </row>
    <row r="455" spans="1:76" x14ac:dyDescent="0.3">
      <c r="A455" s="749">
        <v>42594</v>
      </c>
      <c r="B455">
        <v>34800</v>
      </c>
      <c r="C455">
        <v>779.84400000000005</v>
      </c>
      <c r="D455">
        <v>31220</v>
      </c>
      <c r="E455">
        <v>14.93</v>
      </c>
      <c r="F455">
        <v>4807.08</v>
      </c>
      <c r="G455">
        <v>1885.66</v>
      </c>
      <c r="H455">
        <v>696.09</v>
      </c>
      <c r="I455">
        <v>252.36</v>
      </c>
      <c r="J455">
        <v>1617.62</v>
      </c>
      <c r="K455">
        <v>12400000</v>
      </c>
      <c r="L455">
        <v>2184.0500000000002</v>
      </c>
      <c r="AO455" s="749">
        <v>42594</v>
      </c>
      <c r="AP455">
        <v>4807.08</v>
      </c>
      <c r="AQ455">
        <v>1885.66</v>
      </c>
      <c r="AR455">
        <f t="shared" si="77"/>
        <v>1.1046187784365089</v>
      </c>
      <c r="AS455">
        <f t="shared" si="78"/>
        <v>0.96204197830678662</v>
      </c>
      <c r="BF455" s="749">
        <v>42594</v>
      </c>
      <c r="BG455">
        <v>4807.08</v>
      </c>
      <c r="BH455">
        <v>34800</v>
      </c>
      <c r="BI455">
        <v>779.84400000000005</v>
      </c>
      <c r="BJ455">
        <v>14.93</v>
      </c>
      <c r="BK455">
        <v>2184.0500000000002</v>
      </c>
      <c r="BL455">
        <v>696.09</v>
      </c>
      <c r="BM455">
        <v>1617.62</v>
      </c>
      <c r="BN455" s="14">
        <f t="shared" si="87"/>
        <v>3.3123156780854313E-3</v>
      </c>
      <c r="BO455" s="14">
        <f t="shared" si="79"/>
        <v>1.1627906976744207E-2</v>
      </c>
      <c r="BP455" s="14">
        <f t="shared" si="80"/>
        <v>7.8368528522319014E-3</v>
      </c>
      <c r="BQ455" s="14">
        <f t="shared" si="81"/>
        <v>2.8236914600551E-2</v>
      </c>
      <c r="BR455" s="14">
        <f t="shared" si="82"/>
        <v>5.4057273222873903E-4</v>
      </c>
      <c r="BS455" s="14">
        <f t="shared" si="83"/>
        <v>-1.4371884911644761E-2</v>
      </c>
      <c r="BT455" s="14">
        <f t="shared" si="84"/>
        <v>5.5948577041191605E-3</v>
      </c>
      <c r="BV455" s="749">
        <v>42594</v>
      </c>
      <c r="BW455">
        <f t="shared" si="85"/>
        <v>1.0494286894934606</v>
      </c>
      <c r="BX455">
        <f t="shared" si="86"/>
        <v>1.1203238670972637</v>
      </c>
    </row>
    <row r="456" spans="1:76" x14ac:dyDescent="0.3">
      <c r="A456" s="749">
        <v>42587</v>
      </c>
      <c r="B456">
        <v>34400</v>
      </c>
      <c r="C456">
        <v>773.78</v>
      </c>
      <c r="D456">
        <v>30780</v>
      </c>
      <c r="E456">
        <v>14.52</v>
      </c>
      <c r="F456">
        <v>4791.21</v>
      </c>
      <c r="G456">
        <v>1876.09</v>
      </c>
      <c r="H456">
        <v>706.24</v>
      </c>
      <c r="I456">
        <v>251.48</v>
      </c>
      <c r="J456">
        <v>1608.62</v>
      </c>
      <c r="K456">
        <v>20190000</v>
      </c>
      <c r="L456">
        <v>2182.87</v>
      </c>
      <c r="AO456" s="749">
        <v>42587</v>
      </c>
      <c r="AP456">
        <v>4791.21</v>
      </c>
      <c r="AQ456">
        <v>1876.09</v>
      </c>
      <c r="AR456">
        <f t="shared" si="77"/>
        <v>1.1009720115814146</v>
      </c>
      <c r="AS456">
        <f t="shared" si="78"/>
        <v>0.95715947470995788</v>
      </c>
      <c r="BF456" s="749">
        <v>42587</v>
      </c>
      <c r="BG456">
        <v>4791.21</v>
      </c>
      <c r="BH456">
        <v>34400</v>
      </c>
      <c r="BI456">
        <v>773.78</v>
      </c>
      <c r="BJ456">
        <v>14.52</v>
      </c>
      <c r="BK456">
        <v>2182.87</v>
      </c>
      <c r="BL456">
        <v>706.24</v>
      </c>
      <c r="BM456">
        <v>1608.62</v>
      </c>
      <c r="BN456" s="14">
        <f t="shared" si="87"/>
        <v>1.289155072797743E-2</v>
      </c>
      <c r="BO456" s="14">
        <f t="shared" si="79"/>
        <v>7.4999999999999956E-2</v>
      </c>
      <c r="BP456" s="14">
        <f t="shared" si="80"/>
        <v>9.1343495362401494E-3</v>
      </c>
      <c r="BQ456" s="14">
        <f t="shared" si="81"/>
        <v>5.6768558951965087E-2</v>
      </c>
      <c r="BR456" s="14">
        <f t="shared" si="82"/>
        <v>4.2648141332350953E-3</v>
      </c>
      <c r="BS456" s="14">
        <f t="shared" si="83"/>
        <v>-1.8373519518330994E-3</v>
      </c>
      <c r="BT456" s="14">
        <f t="shared" si="84"/>
        <v>7.6736596152520153E-3</v>
      </c>
      <c r="BV456" s="749">
        <v>42587</v>
      </c>
      <c r="BW456">
        <f t="shared" si="85"/>
        <v>1.0488617034566929</v>
      </c>
      <c r="BX456">
        <f t="shared" si="86"/>
        <v>1.1116123248784637</v>
      </c>
    </row>
    <row r="457" spans="1:76" x14ac:dyDescent="0.3">
      <c r="A457" s="749">
        <v>42580</v>
      </c>
      <c r="B457">
        <v>32000</v>
      </c>
      <c r="C457">
        <v>766.77599999999995</v>
      </c>
      <c r="D457">
        <v>30320</v>
      </c>
      <c r="E457">
        <v>13.74</v>
      </c>
      <c r="F457">
        <v>4730.2299999999996</v>
      </c>
      <c r="G457">
        <v>1863.78</v>
      </c>
      <c r="H457">
        <v>707.54</v>
      </c>
      <c r="I457">
        <v>250.04</v>
      </c>
      <c r="J457">
        <v>1596.37</v>
      </c>
      <c r="K457">
        <v>9950000</v>
      </c>
      <c r="L457">
        <v>2173.6</v>
      </c>
      <c r="AO457" s="749">
        <v>42580</v>
      </c>
      <c r="AP457">
        <v>4730.2299999999996</v>
      </c>
      <c r="AQ457">
        <v>1863.78</v>
      </c>
      <c r="AR457">
        <f t="shared" si="77"/>
        <v>1.0869594190909506</v>
      </c>
      <c r="AS457">
        <f t="shared" si="78"/>
        <v>0.95087905472281464</v>
      </c>
      <c r="BF457" s="749">
        <v>42580</v>
      </c>
      <c r="BG457">
        <v>4730.2299999999996</v>
      </c>
      <c r="BH457">
        <v>32000</v>
      </c>
      <c r="BI457">
        <v>766.77599999999995</v>
      </c>
      <c r="BJ457">
        <v>13.74</v>
      </c>
      <c r="BK457">
        <v>2173.6</v>
      </c>
      <c r="BL457">
        <v>707.54</v>
      </c>
      <c r="BM457">
        <v>1596.37</v>
      </c>
      <c r="BN457" s="14">
        <f t="shared" si="87"/>
        <v>1.3750329506415415E-2</v>
      </c>
      <c r="BO457" s="14">
        <f t="shared" si="79"/>
        <v>-2.1406727828746197E-2</v>
      </c>
      <c r="BP457" s="14">
        <f t="shared" si="80"/>
        <v>3.288135501895284E-2</v>
      </c>
      <c r="BQ457" s="14">
        <f t="shared" si="81"/>
        <v>4.6458492003046414E-2</v>
      </c>
      <c r="BR457" s="14">
        <f t="shared" si="82"/>
        <v>-6.5746219592388577E-4</v>
      </c>
      <c r="BS457" s="14">
        <f t="shared" si="83"/>
        <v>1.0367281658764993E-2</v>
      </c>
      <c r="BT457" s="14">
        <f t="shared" si="84"/>
        <v>-5.649541558700566E-3</v>
      </c>
      <c r="BV457" s="749">
        <v>42580</v>
      </c>
      <c r="BW457">
        <f t="shared" si="85"/>
        <v>1.044407499591578</v>
      </c>
      <c r="BX457">
        <f t="shared" si="86"/>
        <v>1.1015503786877521</v>
      </c>
    </row>
    <row r="458" spans="1:76" x14ac:dyDescent="0.3">
      <c r="A458" s="749">
        <v>42573</v>
      </c>
      <c r="B458">
        <v>32700</v>
      </c>
      <c r="C458">
        <v>742.36599999999999</v>
      </c>
      <c r="D458">
        <v>30360</v>
      </c>
      <c r="E458">
        <v>13.13</v>
      </c>
      <c r="F458">
        <v>4666.07</v>
      </c>
      <c r="G458">
        <v>1872.01</v>
      </c>
      <c r="H458">
        <v>700.28</v>
      </c>
      <c r="I458">
        <v>251.02</v>
      </c>
      <c r="J458">
        <v>1605.44</v>
      </c>
      <c r="K458">
        <v>15970000</v>
      </c>
      <c r="L458">
        <v>2175.0300000000002</v>
      </c>
      <c r="AO458" s="749">
        <v>42573</v>
      </c>
      <c r="AP458">
        <v>4666.07</v>
      </c>
      <c r="AQ458">
        <v>1872.01</v>
      </c>
      <c r="AR458">
        <f t="shared" si="77"/>
        <v>1.0722160944896364</v>
      </c>
      <c r="AS458">
        <f t="shared" si="78"/>
        <v>0.95507790577839458</v>
      </c>
      <c r="BF458" s="749">
        <v>42573</v>
      </c>
      <c r="BG458">
        <v>4666.07</v>
      </c>
      <c r="BH458">
        <v>32700</v>
      </c>
      <c r="BI458">
        <v>742.36599999999999</v>
      </c>
      <c r="BJ458">
        <v>13.13</v>
      </c>
      <c r="BK458">
        <v>2175.0300000000002</v>
      </c>
      <c r="BL458">
        <v>700.28</v>
      </c>
      <c r="BM458">
        <v>1605.44</v>
      </c>
      <c r="BN458" s="14">
        <f t="shared" si="87"/>
        <v>1.6610636995269878E-2</v>
      </c>
      <c r="BO458" s="14">
        <f t="shared" si="79"/>
        <v>5.3140096618357502E-2</v>
      </c>
      <c r="BP458" s="14">
        <f t="shared" si="80"/>
        <v>2.5871837533372632E-2</v>
      </c>
      <c r="BQ458" s="14">
        <f t="shared" si="81"/>
        <v>0</v>
      </c>
      <c r="BR458" s="14">
        <f t="shared" si="82"/>
        <v>6.1478253629023705E-3</v>
      </c>
      <c r="BS458" s="14">
        <f t="shared" si="83"/>
        <v>1.1088651458273091E-2</v>
      </c>
      <c r="BT458" s="14">
        <f t="shared" si="84"/>
        <v>3.3866761116656541E-2</v>
      </c>
      <c r="BV458" s="749">
        <v>42573</v>
      </c>
      <c r="BW458">
        <f t="shared" si="85"/>
        <v>1.0450946097886777</v>
      </c>
      <c r="BX458">
        <f t="shared" si="86"/>
        <v>1.0664829734171541</v>
      </c>
    </row>
    <row r="459" spans="1:76" x14ac:dyDescent="0.3">
      <c r="A459" s="749">
        <v>42566</v>
      </c>
      <c r="B459">
        <v>31050</v>
      </c>
      <c r="C459">
        <v>723.64400000000001</v>
      </c>
      <c r="D459">
        <v>29200</v>
      </c>
      <c r="E459">
        <v>13.13</v>
      </c>
      <c r="F459">
        <v>4589.83</v>
      </c>
      <c r="G459">
        <v>1810.11</v>
      </c>
      <c r="H459">
        <v>692.6</v>
      </c>
      <c r="I459">
        <v>243.43</v>
      </c>
      <c r="J459">
        <v>1552.85</v>
      </c>
      <c r="K459">
        <v>17220000</v>
      </c>
      <c r="L459">
        <v>2161.7399999999998</v>
      </c>
      <c r="AO459" s="749">
        <v>42566</v>
      </c>
      <c r="AP459">
        <v>4589.83</v>
      </c>
      <c r="AQ459">
        <v>1810.11</v>
      </c>
      <c r="AR459">
        <f t="shared" si="77"/>
        <v>1.0546969070269774</v>
      </c>
      <c r="AS459">
        <f t="shared" si="78"/>
        <v>0.92349723988041177</v>
      </c>
      <c r="BF459" s="749">
        <v>42566</v>
      </c>
      <c r="BG459">
        <v>4589.83</v>
      </c>
      <c r="BH459">
        <v>31050</v>
      </c>
      <c r="BI459">
        <v>723.64400000000001</v>
      </c>
      <c r="BJ459">
        <v>13.13</v>
      </c>
      <c r="BK459">
        <v>2161.7399999999998</v>
      </c>
      <c r="BL459">
        <v>692.6</v>
      </c>
      <c r="BM459">
        <v>1552.85</v>
      </c>
      <c r="BN459" s="14">
        <f t="shared" si="87"/>
        <v>1.357445079454811E-2</v>
      </c>
      <c r="BO459" s="14">
        <f t="shared" si="79"/>
        <v>-3.4214618973561484E-2</v>
      </c>
      <c r="BP459" s="14">
        <f t="shared" si="80"/>
        <v>3.2205241731876777E-2</v>
      </c>
      <c r="BQ459" s="14">
        <f t="shared" si="81"/>
        <v>4.0412044374009692E-2</v>
      </c>
      <c r="BR459" s="14">
        <f t="shared" si="82"/>
        <v>1.4949058641250623E-2</v>
      </c>
      <c r="BS459" s="14">
        <f t="shared" si="83"/>
        <v>1.2188349457808556E-2</v>
      </c>
      <c r="BT459" s="14">
        <f t="shared" si="84"/>
        <v>-1.2960514606798812E-2</v>
      </c>
      <c r="BV459" s="749">
        <v>42566</v>
      </c>
      <c r="BW459">
        <f t="shared" si="85"/>
        <v>1.038708809425422</v>
      </c>
      <c r="BX459">
        <f t="shared" si="86"/>
        <v>1.0395869487765916</v>
      </c>
    </row>
    <row r="460" spans="1:76" x14ac:dyDescent="0.3">
      <c r="A460" s="749">
        <v>42559</v>
      </c>
      <c r="B460">
        <v>32150</v>
      </c>
      <c r="C460">
        <v>701.06600000000003</v>
      </c>
      <c r="D460">
        <v>29320</v>
      </c>
      <c r="E460">
        <v>12.62</v>
      </c>
      <c r="F460">
        <v>4528.3599999999997</v>
      </c>
      <c r="G460">
        <v>1834.39</v>
      </c>
      <c r="H460">
        <v>684.26</v>
      </c>
      <c r="I460">
        <v>246.52</v>
      </c>
      <c r="J460">
        <v>1573.24</v>
      </c>
      <c r="K460">
        <v>24880000</v>
      </c>
      <c r="L460">
        <v>2129.9</v>
      </c>
      <c r="AO460" s="749">
        <v>42559</v>
      </c>
      <c r="AP460">
        <v>4528.3599999999997</v>
      </c>
      <c r="AQ460">
        <v>1834.39</v>
      </c>
      <c r="AR460">
        <f t="shared" si="77"/>
        <v>1.0405717174502505</v>
      </c>
      <c r="AS460">
        <f t="shared" si="78"/>
        <v>0.93588461577706816</v>
      </c>
      <c r="BF460" s="749">
        <v>42559</v>
      </c>
      <c r="BG460">
        <v>4528.3599999999997</v>
      </c>
      <c r="BH460">
        <v>32150</v>
      </c>
      <c r="BI460">
        <v>701.06600000000003</v>
      </c>
      <c r="BJ460">
        <v>12.62</v>
      </c>
      <c r="BK460">
        <v>2129.9</v>
      </c>
      <c r="BL460">
        <v>684.26</v>
      </c>
      <c r="BM460">
        <v>1573.24</v>
      </c>
      <c r="BN460" s="14">
        <f t="shared" si="87"/>
        <v>2.0489291122809616E-2</v>
      </c>
      <c r="BO460" s="14">
        <f t="shared" si="79"/>
        <v>1.1006289308176154E-2</v>
      </c>
      <c r="BP460" s="14">
        <f t="shared" si="80"/>
        <v>2.3439073882133066E-2</v>
      </c>
      <c r="BQ460" s="14">
        <f t="shared" si="81"/>
        <v>9.5999999999998309E-3</v>
      </c>
      <c r="BR460" s="14">
        <f t="shared" si="82"/>
        <v>1.2815330844765827E-2</v>
      </c>
      <c r="BS460" s="14">
        <f t="shared" si="83"/>
        <v>5.7327399715680905E-2</v>
      </c>
      <c r="BT460" s="14">
        <f t="shared" si="84"/>
        <v>3.0720345923280989E-2</v>
      </c>
      <c r="BV460" s="749">
        <v>42559</v>
      </c>
      <c r="BW460">
        <f t="shared" si="85"/>
        <v>1.0234097963655235</v>
      </c>
      <c r="BX460">
        <f t="shared" si="86"/>
        <v>1.0071513946512511</v>
      </c>
    </row>
    <row r="461" spans="1:76" x14ac:dyDescent="0.3">
      <c r="A461" s="749">
        <v>42552</v>
      </c>
      <c r="B461">
        <v>31800</v>
      </c>
      <c r="C461">
        <v>685.01</v>
      </c>
      <c r="D461">
        <v>28000</v>
      </c>
      <c r="E461">
        <v>12.5</v>
      </c>
      <c r="F461">
        <v>4437.4399999999996</v>
      </c>
      <c r="G461">
        <v>1780.79</v>
      </c>
      <c r="H461">
        <v>647.16</v>
      </c>
      <c r="I461">
        <v>239.21</v>
      </c>
      <c r="J461">
        <v>1526.35</v>
      </c>
      <c r="K461">
        <v>36000000</v>
      </c>
      <c r="L461">
        <v>2102.9499999999998</v>
      </c>
      <c r="AO461" s="749">
        <v>42552</v>
      </c>
      <c r="AP461">
        <v>4437.4399999999996</v>
      </c>
      <c r="AQ461">
        <v>1780.79</v>
      </c>
      <c r="AR461">
        <f t="shared" si="77"/>
        <v>1.0196792131991359</v>
      </c>
      <c r="AS461">
        <f t="shared" si="78"/>
        <v>0.90853851412711861</v>
      </c>
      <c r="BF461" s="749">
        <v>42552</v>
      </c>
      <c r="BG461">
        <v>4437.4399999999996</v>
      </c>
      <c r="BH461">
        <v>31800</v>
      </c>
      <c r="BI461">
        <v>685.01</v>
      </c>
      <c r="BJ461">
        <v>12.5</v>
      </c>
      <c r="BK461">
        <v>2102.9499999999998</v>
      </c>
      <c r="BL461">
        <v>647.16</v>
      </c>
      <c r="BM461">
        <v>1526.35</v>
      </c>
      <c r="BN461" s="14">
        <f t="shared" si="87"/>
        <v>3.5406118020393285E-2</v>
      </c>
      <c r="BO461" s="14">
        <f t="shared" si="79"/>
        <v>9.6551724137931005E-2</v>
      </c>
      <c r="BP461" s="14">
        <f t="shared" si="80"/>
        <v>1.4231608621879221E-2</v>
      </c>
      <c r="BQ461" s="14">
        <f t="shared" si="81"/>
        <v>-5.3747161241483821E-2</v>
      </c>
      <c r="BR461" s="14">
        <f t="shared" si="82"/>
        <v>3.2168292096337758E-2</v>
      </c>
      <c r="BS461" s="14">
        <f t="shared" si="83"/>
        <v>-4.6695931414430181E-2</v>
      </c>
      <c r="BT461" s="14">
        <f t="shared" si="84"/>
        <v>-6.1466736988781134E-3</v>
      </c>
      <c r="BV461" s="749">
        <v>42552</v>
      </c>
      <c r="BW461">
        <f t="shared" si="85"/>
        <v>1.0104604118817209</v>
      </c>
      <c r="BX461">
        <f t="shared" si="86"/>
        <v>0.98408534553102489</v>
      </c>
    </row>
    <row r="462" spans="1:76" x14ac:dyDescent="0.3">
      <c r="A462" s="749">
        <v>42545</v>
      </c>
      <c r="B462">
        <v>29000</v>
      </c>
      <c r="C462">
        <v>675.39800000000002</v>
      </c>
      <c r="D462">
        <v>28520</v>
      </c>
      <c r="E462">
        <v>13.21</v>
      </c>
      <c r="F462">
        <v>4285.7</v>
      </c>
      <c r="G462">
        <v>1794.81</v>
      </c>
      <c r="H462">
        <v>678.86</v>
      </c>
      <c r="I462">
        <v>241.63</v>
      </c>
      <c r="J462">
        <v>1535.79</v>
      </c>
      <c r="K462">
        <v>18430000</v>
      </c>
      <c r="L462">
        <v>2037.41</v>
      </c>
      <c r="AO462" s="749">
        <v>42545</v>
      </c>
      <c r="AP462">
        <v>4285.7</v>
      </c>
      <c r="AQ462">
        <v>1794.81</v>
      </c>
      <c r="AR462">
        <f t="shared" si="77"/>
        <v>0.98481088285307217</v>
      </c>
      <c r="AS462">
        <f t="shared" si="78"/>
        <v>0.91569135638704935</v>
      </c>
      <c r="BF462" s="749">
        <v>42545</v>
      </c>
      <c r="BG462">
        <v>4285.7</v>
      </c>
      <c r="BH462">
        <v>29000</v>
      </c>
      <c r="BI462">
        <v>675.39800000000002</v>
      </c>
      <c r="BJ462">
        <v>13.21</v>
      </c>
      <c r="BK462">
        <v>2037.41</v>
      </c>
      <c r="BL462">
        <v>678.86</v>
      </c>
      <c r="BM462">
        <v>1535.79</v>
      </c>
      <c r="BN462" s="14">
        <f t="shared" si="87"/>
        <v>-2.027258720092906E-2</v>
      </c>
      <c r="BO462" s="14">
        <f t="shared" si="79"/>
        <v>0</v>
      </c>
      <c r="BP462" s="14">
        <f t="shared" si="80"/>
        <v>-1.9869683205386846E-2</v>
      </c>
      <c r="BQ462" s="14">
        <f t="shared" si="81"/>
        <v>8.278688524590172E-2</v>
      </c>
      <c r="BR462" s="14">
        <f t="shared" si="82"/>
        <v>-1.6323712594509376E-2</v>
      </c>
      <c r="BS462" s="14">
        <f t="shared" si="83"/>
        <v>-3.9543866102630054E-2</v>
      </c>
      <c r="BT462" s="14">
        <f t="shared" si="84"/>
        <v>-2.3580947052540657E-2</v>
      </c>
      <c r="BV462" s="749">
        <v>42545</v>
      </c>
      <c r="BW462">
        <f t="shared" si="85"/>
        <v>0.97896866200905264</v>
      </c>
      <c r="BX462">
        <f t="shared" si="86"/>
        <v>0.9702767466182437</v>
      </c>
    </row>
    <row r="463" spans="1:76" x14ac:dyDescent="0.3">
      <c r="A463" s="749">
        <v>42538</v>
      </c>
      <c r="B463">
        <v>29000</v>
      </c>
      <c r="C463">
        <v>689.09</v>
      </c>
      <c r="D463">
        <v>28120</v>
      </c>
      <c r="E463">
        <v>12.2</v>
      </c>
      <c r="F463">
        <v>4374.38</v>
      </c>
      <c r="G463">
        <v>1844.11</v>
      </c>
      <c r="H463">
        <v>706.81</v>
      </c>
      <c r="I463">
        <v>248.96</v>
      </c>
      <c r="J463">
        <v>1572.88</v>
      </c>
      <c r="K463">
        <v>16120000</v>
      </c>
      <c r="L463">
        <v>2071.2199999999998</v>
      </c>
      <c r="AO463" s="749">
        <v>42538</v>
      </c>
      <c r="AP463">
        <v>4374.38</v>
      </c>
      <c r="AQ463">
        <v>1844.11</v>
      </c>
      <c r="AR463">
        <f t="shared" si="77"/>
        <v>1.0051886575669837</v>
      </c>
      <c r="AS463">
        <f t="shared" si="78"/>
        <v>0.94084364764343942</v>
      </c>
      <c r="BF463" s="749">
        <v>42538</v>
      </c>
      <c r="BG463">
        <v>4374.38</v>
      </c>
      <c r="BH463">
        <v>29000</v>
      </c>
      <c r="BI463">
        <v>689.09</v>
      </c>
      <c r="BJ463">
        <v>12.2</v>
      </c>
      <c r="BK463">
        <v>2071.2199999999998</v>
      </c>
      <c r="BL463">
        <v>706.81</v>
      </c>
      <c r="BM463">
        <v>1572.88</v>
      </c>
      <c r="BN463" s="14">
        <f t="shared" si="87"/>
        <v>-1.9428161531478083E-2</v>
      </c>
      <c r="BO463" s="14">
        <f t="shared" si="79"/>
        <v>5.0724637681159424E-2</v>
      </c>
      <c r="BP463" s="14">
        <f t="shared" si="80"/>
        <v>-1.4238036858962855E-2</v>
      </c>
      <c r="BQ463" s="14">
        <f t="shared" si="81"/>
        <v>4.9423393739702615E-3</v>
      </c>
      <c r="BR463" s="14">
        <f t="shared" si="82"/>
        <v>-1.1855520092363458E-2</v>
      </c>
      <c r="BS463" s="14">
        <f t="shared" si="83"/>
        <v>7.6700454785223471E-3</v>
      </c>
      <c r="BT463" s="14">
        <f t="shared" si="84"/>
        <v>1.5941092882056696E-2</v>
      </c>
      <c r="BV463" s="749">
        <v>42538</v>
      </c>
      <c r="BW463">
        <f t="shared" si="85"/>
        <v>0.99521425345236836</v>
      </c>
      <c r="BX463">
        <f t="shared" si="86"/>
        <v>0.98994667340910925</v>
      </c>
    </row>
    <row r="464" spans="1:76" x14ac:dyDescent="0.3">
      <c r="A464" s="749">
        <v>42531</v>
      </c>
      <c r="B464">
        <v>27600</v>
      </c>
      <c r="C464">
        <v>699.04300000000001</v>
      </c>
      <c r="D464">
        <v>27540</v>
      </c>
      <c r="E464">
        <v>12.14</v>
      </c>
      <c r="F464">
        <v>4461.05</v>
      </c>
      <c r="G464">
        <v>1812.67</v>
      </c>
      <c r="H464">
        <v>701.43</v>
      </c>
      <c r="I464">
        <v>244.39</v>
      </c>
      <c r="J464">
        <v>1548.2</v>
      </c>
      <c r="K464">
        <v>21660000</v>
      </c>
      <c r="L464">
        <v>2096.0700000000002</v>
      </c>
      <c r="AO464" s="749">
        <v>42531</v>
      </c>
      <c r="AP464">
        <v>4461.05</v>
      </c>
      <c r="AQ464">
        <v>1812.67</v>
      </c>
      <c r="AR464">
        <f t="shared" si="77"/>
        <v>1.0251045544372444</v>
      </c>
      <c r="AS464">
        <f t="shared" si="78"/>
        <v>0.92480332234727514</v>
      </c>
      <c r="BF464" s="749">
        <v>42531</v>
      </c>
      <c r="BG464">
        <v>4461.05</v>
      </c>
      <c r="BH464">
        <v>27600</v>
      </c>
      <c r="BI464">
        <v>699.04300000000001</v>
      </c>
      <c r="BJ464">
        <v>12.14</v>
      </c>
      <c r="BK464">
        <v>2096.0700000000002</v>
      </c>
      <c r="BL464">
        <v>701.43</v>
      </c>
      <c r="BM464">
        <v>1548.2</v>
      </c>
      <c r="BN464" s="14">
        <f t="shared" si="87"/>
        <v>-1.080759857997815E-2</v>
      </c>
      <c r="BO464" s="14">
        <f t="shared" si="79"/>
        <v>-3.6649214659685847E-2</v>
      </c>
      <c r="BP464" s="14">
        <f t="shared" si="80"/>
        <v>-9.2984166756424624E-3</v>
      </c>
      <c r="BQ464" s="14">
        <f t="shared" si="81"/>
        <v>-5.5987558320373165E-2</v>
      </c>
      <c r="BR464" s="14">
        <f t="shared" si="82"/>
        <v>-1.4577467808091216E-3</v>
      </c>
      <c r="BS464" s="14">
        <f t="shared" si="83"/>
        <v>1.4301414234896059E-2</v>
      </c>
      <c r="BT464" s="14">
        <f t="shared" si="84"/>
        <v>1.2543982420112343E-2</v>
      </c>
      <c r="BV464" s="749">
        <v>42531</v>
      </c>
      <c r="BW464">
        <f t="shared" si="85"/>
        <v>1.0071545949893812</v>
      </c>
      <c r="BX464">
        <f t="shared" si="86"/>
        <v>1.0042451529117009</v>
      </c>
    </row>
    <row r="465" spans="1:76" x14ac:dyDescent="0.3">
      <c r="A465" s="749">
        <v>42524</v>
      </c>
      <c r="B465">
        <v>28650</v>
      </c>
      <c r="C465">
        <v>705.60400000000004</v>
      </c>
      <c r="D465">
        <v>25640</v>
      </c>
      <c r="E465">
        <v>12.86</v>
      </c>
      <c r="F465">
        <v>4509.79</v>
      </c>
      <c r="G465">
        <v>1795.67</v>
      </c>
      <c r="H465">
        <v>691.54</v>
      </c>
      <c r="I465">
        <v>241.85</v>
      </c>
      <c r="J465">
        <v>1529.02</v>
      </c>
      <c r="K465">
        <v>18870000</v>
      </c>
      <c r="L465">
        <v>2099.13</v>
      </c>
      <c r="AO465" s="749">
        <v>42524</v>
      </c>
      <c r="AP465">
        <v>4509.79</v>
      </c>
      <c r="AQ465">
        <v>1795.67</v>
      </c>
      <c r="AR465">
        <f t="shared" si="77"/>
        <v>1.0363045176708487</v>
      </c>
      <c r="AS465">
        <f t="shared" si="78"/>
        <v>0.91613011846576131</v>
      </c>
      <c r="BF465" s="749">
        <v>42524</v>
      </c>
      <c r="BG465">
        <v>4509.79</v>
      </c>
      <c r="BH465">
        <v>28650</v>
      </c>
      <c r="BI465">
        <v>705.60400000000004</v>
      </c>
      <c r="BJ465">
        <v>12.86</v>
      </c>
      <c r="BK465">
        <v>2099.13</v>
      </c>
      <c r="BL465">
        <v>691.54</v>
      </c>
      <c r="BM465">
        <v>1529.02</v>
      </c>
      <c r="BN465" s="14">
        <f t="shared" si="87"/>
        <v>-6.0941288055060827E-4</v>
      </c>
      <c r="BO465" s="14">
        <f t="shared" si="79"/>
        <v>8.9353612167300422E-2</v>
      </c>
      <c r="BP465" s="14">
        <f t="shared" si="80"/>
        <v>1.4224358495230849E-2</v>
      </c>
      <c r="BQ465" s="14">
        <f t="shared" si="81"/>
        <v>4.4679122664500248E-2</v>
      </c>
      <c r="BR465" s="14">
        <f t="shared" si="82"/>
        <v>3.3348260650045702E-5</v>
      </c>
      <c r="BS465" s="14">
        <f t="shared" si="83"/>
        <v>9.665362378088016E-3</v>
      </c>
      <c r="BT465" s="14">
        <f t="shared" si="84"/>
        <v>1.5669941478514415E-2</v>
      </c>
      <c r="BV465" s="749">
        <v>42524</v>
      </c>
      <c r="BW465">
        <f t="shared" si="85"/>
        <v>1.0086249147118462</v>
      </c>
      <c r="BX465">
        <f t="shared" si="86"/>
        <v>1.0136706853156499</v>
      </c>
    </row>
    <row r="466" spans="1:76" x14ac:dyDescent="0.3">
      <c r="A466" s="749">
        <v>42517</v>
      </c>
      <c r="B466">
        <v>26300</v>
      </c>
      <c r="C466">
        <v>695.70799999999997</v>
      </c>
      <c r="D466">
        <v>25380</v>
      </c>
      <c r="E466">
        <v>12.31</v>
      </c>
      <c r="F466">
        <v>4512.54</v>
      </c>
      <c r="G466">
        <v>1770.57</v>
      </c>
      <c r="H466">
        <v>684.92</v>
      </c>
      <c r="I466">
        <v>238.74</v>
      </c>
      <c r="J466">
        <v>1505.43</v>
      </c>
      <c r="K466">
        <v>11970000</v>
      </c>
      <c r="L466">
        <v>2099.06</v>
      </c>
      <c r="AO466" s="749">
        <v>42517</v>
      </c>
      <c r="AP466">
        <v>4512.54</v>
      </c>
      <c r="AQ466">
        <v>1770.57</v>
      </c>
      <c r="AR466">
        <f t="shared" si="77"/>
        <v>1.0369364400937542</v>
      </c>
      <c r="AS466">
        <f t="shared" si="78"/>
        <v>0.90332438802893789</v>
      </c>
      <c r="BF466" s="749">
        <v>42517</v>
      </c>
      <c r="BG466">
        <v>4512.54</v>
      </c>
      <c r="BH466">
        <v>26300</v>
      </c>
      <c r="BI466">
        <v>695.70799999999997</v>
      </c>
      <c r="BJ466">
        <v>12.31</v>
      </c>
      <c r="BK466">
        <v>2099.06</v>
      </c>
      <c r="BL466">
        <v>684.92</v>
      </c>
      <c r="BM466">
        <v>1505.43</v>
      </c>
      <c r="BN466" s="14">
        <f t="shared" si="87"/>
        <v>3.4298287836072472E-2</v>
      </c>
      <c r="BO466" s="14">
        <f t="shared" si="79"/>
        <v>7.6628352490422103E-3</v>
      </c>
      <c r="BP466" s="14">
        <f t="shared" si="80"/>
        <v>4.6043738770232379E-2</v>
      </c>
      <c r="BQ466" s="14">
        <f t="shared" si="81"/>
        <v>0.13981481481481484</v>
      </c>
      <c r="BR466" s="14">
        <f t="shared" si="82"/>
        <v>2.2774226241521589E-2</v>
      </c>
      <c r="BS466" s="14">
        <f t="shared" si="83"/>
        <v>-2.761332822238316E-2</v>
      </c>
      <c r="BT466" s="14">
        <f t="shared" si="84"/>
        <v>-5.3911561255028939E-3</v>
      </c>
      <c r="BV466" s="749">
        <v>42517</v>
      </c>
      <c r="BW466">
        <f t="shared" si="85"/>
        <v>1.0085912799469532</v>
      </c>
      <c r="BX466">
        <f t="shared" si="86"/>
        <v>0.99945409201135493</v>
      </c>
    </row>
    <row r="467" spans="1:76" x14ac:dyDescent="0.3">
      <c r="A467" s="749">
        <v>42510</v>
      </c>
      <c r="B467">
        <v>26100</v>
      </c>
      <c r="C467">
        <v>665.08500000000004</v>
      </c>
      <c r="D467">
        <v>25060</v>
      </c>
      <c r="E467">
        <v>10.8</v>
      </c>
      <c r="F467">
        <v>4362.8999999999996</v>
      </c>
      <c r="G467">
        <v>1784.63</v>
      </c>
      <c r="H467">
        <v>704.37</v>
      </c>
      <c r="I467">
        <v>240.6</v>
      </c>
      <c r="J467">
        <v>1513.59</v>
      </c>
      <c r="K467">
        <v>13200000</v>
      </c>
      <c r="L467">
        <v>2052.3200000000002</v>
      </c>
      <c r="AO467" s="749">
        <v>42510</v>
      </c>
      <c r="AP467">
        <v>4362.8999999999996</v>
      </c>
      <c r="AQ467">
        <v>1784.63</v>
      </c>
      <c r="AR467">
        <f t="shared" si="77"/>
        <v>1.0025506686888184</v>
      </c>
      <c r="AS467">
        <f t="shared" si="78"/>
        <v>0.91049763782741355</v>
      </c>
      <c r="BF467" s="749">
        <v>42510</v>
      </c>
      <c r="BG467">
        <v>4362.8999999999996</v>
      </c>
      <c r="BH467">
        <v>26100</v>
      </c>
      <c r="BI467">
        <v>665.08500000000004</v>
      </c>
      <c r="BJ467">
        <v>10.8</v>
      </c>
      <c r="BK467">
        <v>2052.3200000000002</v>
      </c>
      <c r="BL467">
        <v>704.37</v>
      </c>
      <c r="BM467">
        <v>1513.59</v>
      </c>
      <c r="BN467" s="14">
        <f t="shared" si="87"/>
        <v>8.4062747744728661E-3</v>
      </c>
      <c r="BO467" s="14">
        <f t="shared" si="79"/>
        <v>-2.0637898686679201E-2</v>
      </c>
      <c r="BP467" s="14">
        <f t="shared" si="80"/>
        <v>5.0250843646320709E-2</v>
      </c>
      <c r="BQ467" s="14">
        <f t="shared" si="81"/>
        <v>0.12970711297071125</v>
      </c>
      <c r="BR467" s="14">
        <f t="shared" si="82"/>
        <v>2.7899795271206784E-3</v>
      </c>
      <c r="BS467" s="14">
        <f t="shared" si="83"/>
        <v>1.4693806992523539E-2</v>
      </c>
      <c r="BT467" s="14">
        <f t="shared" si="84"/>
        <v>-1.6970618034447882E-2</v>
      </c>
      <c r="BV467" s="749">
        <v>42510</v>
      </c>
      <c r="BW467">
        <f t="shared" si="85"/>
        <v>0.98613286693126034</v>
      </c>
      <c r="BX467">
        <f t="shared" si="86"/>
        <v>0.95546109112640942</v>
      </c>
    </row>
    <row r="468" spans="1:76" x14ac:dyDescent="0.3">
      <c r="A468" s="749">
        <v>42503</v>
      </c>
      <c r="B468">
        <v>26650</v>
      </c>
      <c r="C468">
        <v>633.26300000000003</v>
      </c>
      <c r="D468">
        <v>25800</v>
      </c>
      <c r="E468">
        <v>9.56</v>
      </c>
      <c r="F468">
        <v>4326.53</v>
      </c>
      <c r="G468">
        <v>1810.09</v>
      </c>
      <c r="H468">
        <v>694.17</v>
      </c>
      <c r="I468">
        <v>243.31</v>
      </c>
      <c r="J468">
        <v>1539.72</v>
      </c>
      <c r="K468">
        <v>7070000</v>
      </c>
      <c r="L468">
        <v>2046.61</v>
      </c>
      <c r="AO468" s="749">
        <v>42503</v>
      </c>
      <c r="AP468">
        <v>4326.53</v>
      </c>
      <c r="AQ468">
        <v>1810.09</v>
      </c>
      <c r="AR468">
        <f t="shared" si="77"/>
        <v>0.99419320740842865</v>
      </c>
      <c r="AS468">
        <f t="shared" si="78"/>
        <v>0.92348703611113947</v>
      </c>
      <c r="BF468" s="749">
        <v>42503</v>
      </c>
      <c r="BG468">
        <v>4326.53</v>
      </c>
      <c r="BH468">
        <v>26650</v>
      </c>
      <c r="BI468">
        <v>633.26300000000003</v>
      </c>
      <c r="BJ468">
        <v>9.56</v>
      </c>
      <c r="BK468">
        <v>2046.61</v>
      </c>
      <c r="BL468">
        <v>694.17</v>
      </c>
      <c r="BM468">
        <v>1539.72</v>
      </c>
      <c r="BN468" s="14">
        <f t="shared" si="87"/>
        <v>-8.4061364796306215E-4</v>
      </c>
      <c r="BO468" s="14">
        <f t="shared" si="79"/>
        <v>-5.3285968028419228E-2</v>
      </c>
      <c r="BP468" s="14">
        <f t="shared" si="80"/>
        <v>-6.6415998820384958E-3</v>
      </c>
      <c r="BQ468" s="14">
        <f t="shared" si="81"/>
        <v>-4.3043043043042961E-2</v>
      </c>
      <c r="BR468" s="14">
        <f t="shared" si="82"/>
        <v>-5.1187571093848083E-3</v>
      </c>
      <c r="BS468" s="14">
        <f t="shared" si="83"/>
        <v>-8.0026294353859884E-3</v>
      </c>
      <c r="BT468" s="14">
        <f t="shared" si="84"/>
        <v>-3.0496688098522462E-3</v>
      </c>
      <c r="BV468" s="749">
        <v>42503</v>
      </c>
      <c r="BW468">
        <f t="shared" si="85"/>
        <v>0.98338923110927456</v>
      </c>
      <c r="BX468">
        <f t="shared" si="86"/>
        <v>0.90974560687729145</v>
      </c>
    </row>
    <row r="469" spans="1:76" x14ac:dyDescent="0.3">
      <c r="A469" s="749">
        <v>42496</v>
      </c>
      <c r="B469">
        <v>28150</v>
      </c>
      <c r="C469">
        <v>637.49699999999996</v>
      </c>
      <c r="D469">
        <v>24900</v>
      </c>
      <c r="E469">
        <v>9.99</v>
      </c>
      <c r="F469">
        <v>4330.17</v>
      </c>
      <c r="G469">
        <v>1821.05</v>
      </c>
      <c r="H469">
        <v>699.77</v>
      </c>
      <c r="I469">
        <v>245.2</v>
      </c>
      <c r="J469">
        <v>1544.43</v>
      </c>
      <c r="K469">
        <v>25120000</v>
      </c>
      <c r="L469">
        <v>2057.14</v>
      </c>
      <c r="AO469" s="749">
        <v>42496</v>
      </c>
      <c r="AP469">
        <v>4330.17</v>
      </c>
      <c r="AQ469">
        <v>1821.05</v>
      </c>
      <c r="AR469">
        <f t="shared" si="77"/>
        <v>0.99502964290638352</v>
      </c>
      <c r="AS469">
        <f t="shared" si="78"/>
        <v>0.92907870167239781</v>
      </c>
      <c r="BF469" s="749">
        <v>42496</v>
      </c>
      <c r="BG469">
        <v>4330.17</v>
      </c>
      <c r="BH469">
        <v>28150</v>
      </c>
      <c r="BI469">
        <v>637.49699999999996</v>
      </c>
      <c r="BJ469">
        <v>9.99</v>
      </c>
      <c r="BK469">
        <v>2057.14</v>
      </c>
      <c r="BL469">
        <v>699.77</v>
      </c>
      <c r="BM469">
        <v>1544.43</v>
      </c>
      <c r="BN469" s="14">
        <f t="shared" si="87"/>
        <v>-2.563748186027226E-3</v>
      </c>
      <c r="BO469" s="14">
        <f t="shared" si="79"/>
        <v>2.3636363636363678E-2</v>
      </c>
      <c r="BP469" s="14">
        <f t="shared" si="80"/>
        <v>-1.2150222054179372E-2</v>
      </c>
      <c r="BQ469" s="14">
        <f t="shared" si="81"/>
        <v>-7.0697674418604639E-2</v>
      </c>
      <c r="BR469" s="14">
        <f t="shared" si="82"/>
        <v>-3.9509998547427871E-3</v>
      </c>
      <c r="BS469" s="14">
        <f t="shared" si="83"/>
        <v>-4.6653865301187203E-3</v>
      </c>
      <c r="BT469" s="14">
        <f t="shared" si="84"/>
        <v>-1.4918804454592927E-2</v>
      </c>
      <c r="BV469" s="749">
        <v>42496</v>
      </c>
      <c r="BW469">
        <f t="shared" si="85"/>
        <v>0.98844886074246341</v>
      </c>
      <c r="BX469">
        <f t="shared" si="86"/>
        <v>0.91582817115077397</v>
      </c>
    </row>
    <row r="470" spans="1:76" x14ac:dyDescent="0.3">
      <c r="A470" s="749">
        <v>42489</v>
      </c>
      <c r="B470">
        <v>27500</v>
      </c>
      <c r="C470">
        <v>645.33799999999997</v>
      </c>
      <c r="D470">
        <v>25600</v>
      </c>
      <c r="E470">
        <v>10.75</v>
      </c>
      <c r="F470">
        <v>4341.3</v>
      </c>
      <c r="G470">
        <v>1845.41</v>
      </c>
      <c r="H470">
        <v>703.05</v>
      </c>
      <c r="I470">
        <v>248.32</v>
      </c>
      <c r="J470">
        <v>1567.82</v>
      </c>
      <c r="K470">
        <v>13490000</v>
      </c>
      <c r="L470">
        <v>2065.3000000000002</v>
      </c>
      <c r="AO470" s="749">
        <v>42489</v>
      </c>
      <c r="AP470">
        <v>4341.3</v>
      </c>
      <c r="AQ470">
        <v>1845.41</v>
      </c>
      <c r="AR470">
        <f t="shared" si="77"/>
        <v>0.99758720529436096</v>
      </c>
      <c r="AS470">
        <f t="shared" si="78"/>
        <v>0.94150689264614351</v>
      </c>
      <c r="BF470" s="749">
        <v>42489</v>
      </c>
      <c r="BG470">
        <v>4341.3</v>
      </c>
      <c r="BH470">
        <v>27500</v>
      </c>
      <c r="BI470">
        <v>645.33799999999997</v>
      </c>
      <c r="BJ470">
        <v>10.75</v>
      </c>
      <c r="BK470">
        <v>2065.3000000000002</v>
      </c>
      <c r="BL470">
        <v>703.05</v>
      </c>
      <c r="BM470">
        <v>1567.82</v>
      </c>
      <c r="BN470" s="14">
        <f t="shared" si="87"/>
        <v>-2.9701465516663195E-2</v>
      </c>
      <c r="BO470" s="14">
        <f t="shared" si="79"/>
        <v>-5.4249547920434127E-3</v>
      </c>
      <c r="BP470" s="14">
        <f t="shared" si="80"/>
        <v>-3.540813748921956E-2</v>
      </c>
      <c r="BQ470" s="14">
        <f t="shared" si="81"/>
        <v>8.4427767354595673E-3</v>
      </c>
      <c r="BR470" s="14">
        <f t="shared" si="82"/>
        <v>-1.2564664033888118E-2</v>
      </c>
      <c r="BS470" s="14">
        <f t="shared" si="83"/>
        <v>1.0681119001753725E-2</v>
      </c>
      <c r="BT470" s="14">
        <f t="shared" si="84"/>
        <v>-3.0268730366658225E-3</v>
      </c>
      <c r="BV470" s="749">
        <v>42489</v>
      </c>
      <c r="BW470">
        <f t="shared" si="85"/>
        <v>0.9923697133357039</v>
      </c>
      <c r="BX470">
        <f t="shared" si="86"/>
        <v>0.92709255151647496</v>
      </c>
    </row>
    <row r="471" spans="1:76" x14ac:dyDescent="0.3">
      <c r="A471" s="749">
        <v>42482</v>
      </c>
      <c r="B471">
        <v>27650</v>
      </c>
      <c r="C471">
        <v>669.02700000000004</v>
      </c>
      <c r="D471">
        <v>26000</v>
      </c>
      <c r="E471">
        <v>10.66</v>
      </c>
      <c r="F471">
        <v>4474.1899999999996</v>
      </c>
      <c r="G471">
        <v>1847.38</v>
      </c>
      <c r="H471">
        <v>695.62</v>
      </c>
      <c r="I471">
        <v>248.53</v>
      </c>
      <c r="J471">
        <v>1572.58</v>
      </c>
      <c r="K471">
        <v>11820000</v>
      </c>
      <c r="L471">
        <v>2091.58</v>
      </c>
      <c r="AO471" s="749">
        <v>42482</v>
      </c>
      <c r="AP471">
        <v>4474.1899999999996</v>
      </c>
      <c r="AQ471">
        <v>1847.38</v>
      </c>
      <c r="AR471">
        <f t="shared" si="77"/>
        <v>1.0281239946688725</v>
      </c>
      <c r="AS471">
        <f t="shared" si="78"/>
        <v>0.9425119639194719</v>
      </c>
      <c r="BF471" s="749">
        <v>42482</v>
      </c>
      <c r="BG471">
        <v>4474.1899999999996</v>
      </c>
      <c r="BH471">
        <v>27650</v>
      </c>
      <c r="BI471">
        <v>669.02700000000004</v>
      </c>
      <c r="BJ471">
        <v>10.66</v>
      </c>
      <c r="BK471">
        <v>2091.58</v>
      </c>
      <c r="BL471">
        <v>695.62</v>
      </c>
      <c r="BM471">
        <v>1572.58</v>
      </c>
      <c r="BN471" s="14">
        <f t="shared" si="87"/>
        <v>-1.5181063400804828E-2</v>
      </c>
      <c r="BO471" s="14">
        <f t="shared" si="79"/>
        <v>-5.3956834532373765E-3</v>
      </c>
      <c r="BP471" s="14">
        <f t="shared" si="80"/>
        <v>-6.6311008429189577E-3</v>
      </c>
      <c r="BQ471" s="14">
        <f t="shared" si="81"/>
        <v>-2.8063610851262188E-3</v>
      </c>
      <c r="BR471" s="14">
        <f t="shared" si="82"/>
        <v>5.2145160592675932E-3</v>
      </c>
      <c r="BS471" s="14">
        <f t="shared" si="83"/>
        <v>-2.1230813369674806E-3</v>
      </c>
      <c r="BT471" s="14">
        <f t="shared" si="84"/>
        <v>3.0497234672747675E-2</v>
      </c>
      <c r="BV471" s="749">
        <v>42482</v>
      </c>
      <c r="BW471">
        <f t="shared" si="85"/>
        <v>1.0049971650698162</v>
      </c>
      <c r="BX471">
        <f t="shared" si="86"/>
        <v>0.96112416820861746</v>
      </c>
    </row>
    <row r="472" spans="1:76" x14ac:dyDescent="0.3">
      <c r="A472" s="749">
        <v>42475</v>
      </c>
      <c r="B472">
        <v>27800</v>
      </c>
      <c r="C472">
        <v>673.49300000000005</v>
      </c>
      <c r="D472">
        <v>24920</v>
      </c>
      <c r="E472">
        <v>10.69</v>
      </c>
      <c r="F472">
        <v>4543.16</v>
      </c>
      <c r="G472">
        <v>1792.57</v>
      </c>
      <c r="H472">
        <v>697.1</v>
      </c>
      <c r="I472">
        <v>241.77</v>
      </c>
      <c r="J472">
        <v>1526.04</v>
      </c>
      <c r="K472">
        <v>15570000</v>
      </c>
      <c r="L472">
        <v>2080.73</v>
      </c>
      <c r="AO472" s="749">
        <v>42475</v>
      </c>
      <c r="AP472">
        <v>4543.16</v>
      </c>
      <c r="AQ472">
        <v>1792.57</v>
      </c>
      <c r="AR472">
        <f t="shared" si="77"/>
        <v>1.0439726090353416</v>
      </c>
      <c r="AS472">
        <f t="shared" si="78"/>
        <v>0.91454853422854399</v>
      </c>
      <c r="BF472" s="749">
        <v>42475</v>
      </c>
      <c r="BG472">
        <v>4543.16</v>
      </c>
      <c r="BH472">
        <v>27800</v>
      </c>
      <c r="BI472">
        <v>673.49300000000005</v>
      </c>
      <c r="BJ472">
        <v>10.69</v>
      </c>
      <c r="BK472">
        <v>2080.73</v>
      </c>
      <c r="BL472">
        <v>697.1</v>
      </c>
      <c r="BM472">
        <v>1526.04</v>
      </c>
      <c r="BN472" s="14">
        <f t="shared" si="87"/>
        <v>1.5247165877454893E-2</v>
      </c>
      <c r="BO472" s="14">
        <f t="shared" si="79"/>
        <v>-1.4184397163120588E-2</v>
      </c>
      <c r="BP472" s="14">
        <f t="shared" si="80"/>
        <v>3.2503563921937317E-3</v>
      </c>
      <c r="BQ472" s="14">
        <f t="shared" si="81"/>
        <v>-2.7985074626867279E-3</v>
      </c>
      <c r="BR472" s="14">
        <f t="shared" si="82"/>
        <v>1.6179917952725109E-2</v>
      </c>
      <c r="BS472" s="14">
        <f t="shared" si="83"/>
        <v>9.2805744979658211E-3</v>
      </c>
      <c r="BT472" s="14">
        <f t="shared" si="84"/>
        <v>-4.3842480231739422E-3</v>
      </c>
      <c r="BV472" s="749">
        <v>42475</v>
      </c>
      <c r="BW472">
        <f t="shared" si="85"/>
        <v>0.99978377651140227</v>
      </c>
      <c r="BX472">
        <f t="shared" si="86"/>
        <v>0.96754002367516767</v>
      </c>
    </row>
    <row r="473" spans="1:76" x14ac:dyDescent="0.3">
      <c r="A473" s="749">
        <v>42468</v>
      </c>
      <c r="B473">
        <v>28200</v>
      </c>
      <c r="C473">
        <v>671.31100000000004</v>
      </c>
      <c r="D473">
        <v>25580</v>
      </c>
      <c r="E473">
        <v>10.72</v>
      </c>
      <c r="F473">
        <v>4474.93</v>
      </c>
      <c r="G473">
        <v>1798.02</v>
      </c>
      <c r="H473">
        <v>690.69</v>
      </c>
      <c r="I473">
        <v>242.36</v>
      </c>
      <c r="J473">
        <v>1532.76</v>
      </c>
      <c r="K473">
        <v>15980000</v>
      </c>
      <c r="L473">
        <v>2047.6</v>
      </c>
      <c r="AO473" s="749">
        <v>42468</v>
      </c>
      <c r="AP473">
        <v>4474.93</v>
      </c>
      <c r="AQ473">
        <v>1798.02</v>
      </c>
      <c r="AR473">
        <f t="shared" si="77"/>
        <v>1.0282940392481272</v>
      </c>
      <c r="AS473">
        <f t="shared" si="78"/>
        <v>0.9173290613552646</v>
      </c>
      <c r="BF473" s="749">
        <v>42468</v>
      </c>
      <c r="BG473">
        <v>4474.93</v>
      </c>
      <c r="BH473">
        <v>28200</v>
      </c>
      <c r="BI473">
        <v>671.31100000000004</v>
      </c>
      <c r="BJ473">
        <v>10.72</v>
      </c>
      <c r="BK473">
        <v>2047.6</v>
      </c>
      <c r="BL473">
        <v>690.69</v>
      </c>
      <c r="BM473">
        <v>1532.76</v>
      </c>
      <c r="BN473" s="14">
        <f t="shared" si="87"/>
        <v>-1.2610103969921016E-2</v>
      </c>
      <c r="BO473" s="14">
        <f t="shared" si="79"/>
        <v>-3.2590051457975999E-2</v>
      </c>
      <c r="BP473" s="14">
        <f t="shared" si="80"/>
        <v>-1.5086693838267329E-2</v>
      </c>
      <c r="BQ473" s="14">
        <f t="shared" si="81"/>
        <v>-2.8105167724387869E-2</v>
      </c>
      <c r="BR473" s="14">
        <f t="shared" si="82"/>
        <v>-1.2147936587578179E-2</v>
      </c>
      <c r="BS473" s="14">
        <f t="shared" si="83"/>
        <v>1.096311475409828E-2</v>
      </c>
      <c r="BT473" s="14">
        <f t="shared" si="84"/>
        <v>-5.5085158150851576E-3</v>
      </c>
      <c r="BV473" s="749">
        <v>42468</v>
      </c>
      <c r="BW473">
        <f t="shared" si="85"/>
        <v>0.9838649227841898</v>
      </c>
      <c r="BX473">
        <f t="shared" si="86"/>
        <v>0.96440536254036857</v>
      </c>
    </row>
    <row r="474" spans="1:76" x14ac:dyDescent="0.3">
      <c r="A474" s="749">
        <v>42461</v>
      </c>
      <c r="B474">
        <v>29150</v>
      </c>
      <c r="C474">
        <v>681.59400000000005</v>
      </c>
      <c r="D474">
        <v>25760</v>
      </c>
      <c r="E474">
        <v>11.03</v>
      </c>
      <c r="F474">
        <v>4532.08</v>
      </c>
      <c r="G474">
        <v>1808.99</v>
      </c>
      <c r="H474">
        <v>683.2</v>
      </c>
      <c r="I474">
        <v>243.79</v>
      </c>
      <c r="J474">
        <v>1541.25</v>
      </c>
      <c r="K474">
        <v>11760000</v>
      </c>
      <c r="L474">
        <v>2072.7800000000002</v>
      </c>
      <c r="AO474" s="749">
        <v>42461</v>
      </c>
      <c r="AP474">
        <v>4532.08</v>
      </c>
      <c r="AQ474">
        <v>1808.99</v>
      </c>
      <c r="AR474">
        <f t="shared" si="77"/>
        <v>1.0414265361459625</v>
      </c>
      <c r="AS474">
        <f t="shared" si="78"/>
        <v>0.92292582880115914</v>
      </c>
      <c r="BF474" s="749">
        <v>42461</v>
      </c>
      <c r="BG474">
        <v>4532.08</v>
      </c>
      <c r="BH474">
        <v>29150</v>
      </c>
      <c r="BI474">
        <v>681.59400000000005</v>
      </c>
      <c r="BJ474">
        <v>11.03</v>
      </c>
      <c r="BK474">
        <v>2072.7800000000002</v>
      </c>
      <c r="BL474">
        <v>683.2</v>
      </c>
      <c r="BM474">
        <v>1541.25</v>
      </c>
      <c r="BN474" s="14">
        <f t="shared" si="87"/>
        <v>2.8725261205802655E-2</v>
      </c>
      <c r="BO474" s="14">
        <f t="shared" si="79"/>
        <v>-1.018675721561968E-2</v>
      </c>
      <c r="BP474" s="14">
        <f t="shared" si="80"/>
        <v>2.3205471555358237E-2</v>
      </c>
      <c r="BQ474" s="14">
        <f t="shared" si="81"/>
        <v>5.0476190476190341E-2</v>
      </c>
      <c r="BR474" s="14">
        <f t="shared" si="82"/>
        <v>1.8094835800662068E-2</v>
      </c>
      <c r="BS474" s="14">
        <f t="shared" si="83"/>
        <v>-1.7006704843026021E-2</v>
      </c>
      <c r="BT474" s="14">
        <f t="shared" si="84"/>
        <v>-2.1817663891441352E-3</v>
      </c>
      <c r="BV474" s="749">
        <v>42461</v>
      </c>
      <c r="BW474">
        <f t="shared" si="85"/>
        <v>0.99596382821284102</v>
      </c>
      <c r="BX474">
        <f t="shared" si="86"/>
        <v>0.97917792003309934</v>
      </c>
    </row>
    <row r="475" spans="1:76" x14ac:dyDescent="0.3">
      <c r="A475" s="749">
        <v>42454</v>
      </c>
      <c r="B475">
        <v>29450</v>
      </c>
      <c r="C475">
        <v>666.13599999999997</v>
      </c>
      <c r="D475">
        <v>25460</v>
      </c>
      <c r="E475">
        <v>10.5</v>
      </c>
      <c r="F475">
        <v>4405.53</v>
      </c>
      <c r="G475">
        <v>1816.38</v>
      </c>
      <c r="H475">
        <v>695.02</v>
      </c>
      <c r="I475">
        <v>244.63</v>
      </c>
      <c r="J475">
        <v>1544.62</v>
      </c>
      <c r="K475">
        <v>12680000</v>
      </c>
      <c r="L475">
        <v>2035.94</v>
      </c>
      <c r="AO475" s="749">
        <v>42454</v>
      </c>
      <c r="AP475">
        <v>4405.53</v>
      </c>
      <c r="AQ475">
        <v>1816.38</v>
      </c>
      <c r="AR475">
        <f t="shared" si="77"/>
        <v>1.0123466151937128</v>
      </c>
      <c r="AS475">
        <f t="shared" si="78"/>
        <v>0.92669612154729963</v>
      </c>
      <c r="BF475" s="749">
        <v>42454</v>
      </c>
      <c r="BG475">
        <v>4405.53</v>
      </c>
      <c r="BH475">
        <v>29450</v>
      </c>
      <c r="BI475">
        <v>666.13599999999997</v>
      </c>
      <c r="BJ475">
        <v>10.5</v>
      </c>
      <c r="BK475">
        <v>2035.94</v>
      </c>
      <c r="BL475">
        <v>695.02</v>
      </c>
      <c r="BM475">
        <v>1544.62</v>
      </c>
      <c r="BN475" s="14">
        <f t="shared" si="87"/>
        <v>-1.2015879097585502E-3</v>
      </c>
      <c r="BO475" s="14">
        <f t="shared" si="79"/>
        <v>-4.0716612377850181E-2</v>
      </c>
      <c r="BP475" s="14">
        <f t="shared" si="80"/>
        <v>-1.3175710709153687E-2</v>
      </c>
      <c r="BQ475" s="14">
        <f t="shared" si="81"/>
        <v>-5.7450628366247813E-2</v>
      </c>
      <c r="BR475" s="14">
        <f t="shared" si="82"/>
        <v>-6.655022004508182E-3</v>
      </c>
      <c r="BS475" s="14">
        <f t="shared" si="83"/>
        <v>8.4884716397986004E-3</v>
      </c>
      <c r="BT475" s="14">
        <f t="shared" si="84"/>
        <v>1.3310766041473965E-2</v>
      </c>
      <c r="BV475" s="749">
        <v>42454</v>
      </c>
      <c r="BW475">
        <f t="shared" si="85"/>
        <v>0.97826233194629975</v>
      </c>
      <c r="BX475">
        <f t="shared" si="86"/>
        <v>0.95697095769500407</v>
      </c>
    </row>
    <row r="476" spans="1:76" x14ac:dyDescent="0.3">
      <c r="A476" s="749">
        <v>42447</v>
      </c>
      <c r="B476">
        <v>30700</v>
      </c>
      <c r="C476">
        <v>675.03</v>
      </c>
      <c r="D476">
        <v>24980</v>
      </c>
      <c r="E476">
        <v>11.14</v>
      </c>
      <c r="F476">
        <v>4410.83</v>
      </c>
      <c r="G476">
        <v>1795.67</v>
      </c>
      <c r="H476">
        <v>689.17</v>
      </c>
      <c r="I476">
        <v>241.97</v>
      </c>
      <c r="J476">
        <v>1524.33</v>
      </c>
      <c r="K476">
        <v>16460000</v>
      </c>
      <c r="L476">
        <v>2049.58</v>
      </c>
      <c r="AO476" s="749">
        <v>42447</v>
      </c>
      <c r="AP476">
        <v>4410.83</v>
      </c>
      <c r="AQ476">
        <v>1795.67</v>
      </c>
      <c r="AR476">
        <f t="shared" si="77"/>
        <v>1.0135645020451307</v>
      </c>
      <c r="AS476">
        <f t="shared" si="78"/>
        <v>0.91613011846576131</v>
      </c>
      <c r="BF476" s="749">
        <v>42447</v>
      </c>
      <c r="BG476">
        <v>4410.83</v>
      </c>
      <c r="BH476">
        <v>30700</v>
      </c>
      <c r="BI476">
        <v>675.03</v>
      </c>
      <c r="BJ476">
        <v>11.14</v>
      </c>
      <c r="BK476">
        <v>2049.58</v>
      </c>
      <c r="BL476">
        <v>689.17</v>
      </c>
      <c r="BM476">
        <v>1524.33</v>
      </c>
      <c r="BN476" s="14">
        <f t="shared" si="87"/>
        <v>1.1233816998828416E-2</v>
      </c>
      <c r="BO476" s="14">
        <f t="shared" si="79"/>
        <v>-3.7617554858934144E-2</v>
      </c>
      <c r="BP476" s="14">
        <f t="shared" si="80"/>
        <v>2.4100955178231187E-2</v>
      </c>
      <c r="BQ476" s="14">
        <f t="shared" si="81"/>
        <v>-2.1949078138718159E-2</v>
      </c>
      <c r="BR476" s="14">
        <f t="shared" si="82"/>
        <v>1.3544721316987918E-2</v>
      </c>
      <c r="BS476" s="14">
        <f t="shared" si="83"/>
        <v>2.2750207764454355E-2</v>
      </c>
      <c r="BT476" s="14">
        <f t="shared" si="84"/>
        <v>9.0957837666076902E-3</v>
      </c>
      <c r="BV476" s="749">
        <v>42447</v>
      </c>
      <c r="BW476">
        <f t="shared" si="85"/>
        <v>0.98481630613402016</v>
      </c>
      <c r="BX476">
        <f t="shared" si="86"/>
        <v>0.96974807782924</v>
      </c>
    </row>
    <row r="477" spans="1:76" x14ac:dyDescent="0.3">
      <c r="A477" s="749">
        <v>42440</v>
      </c>
      <c r="B477">
        <v>31900</v>
      </c>
      <c r="C477">
        <v>659.14400000000001</v>
      </c>
      <c r="D477">
        <v>24300</v>
      </c>
      <c r="E477">
        <v>11.39</v>
      </c>
      <c r="F477">
        <v>4361.83</v>
      </c>
      <c r="G477">
        <v>1778.29</v>
      </c>
      <c r="H477">
        <v>673.84</v>
      </c>
      <c r="I477">
        <v>239.74</v>
      </c>
      <c r="J477">
        <v>1510.59</v>
      </c>
      <c r="K477">
        <v>12370000</v>
      </c>
      <c r="L477">
        <v>2022.19</v>
      </c>
      <c r="AO477" s="749">
        <v>42440</v>
      </c>
      <c r="AP477">
        <v>4361.83</v>
      </c>
      <c r="AQ477">
        <v>1778.29</v>
      </c>
      <c r="AR477">
        <f t="shared" si="77"/>
        <v>1.0023047934188152</v>
      </c>
      <c r="AS477">
        <f t="shared" si="78"/>
        <v>0.90726304296807236</v>
      </c>
      <c r="BF477" s="749">
        <v>42440</v>
      </c>
      <c r="BG477">
        <v>4361.83</v>
      </c>
      <c r="BH477">
        <v>31900</v>
      </c>
      <c r="BI477">
        <v>659.14400000000001</v>
      </c>
      <c r="BJ477">
        <v>11.39</v>
      </c>
      <c r="BK477">
        <v>2022.19</v>
      </c>
      <c r="BL477">
        <v>673.84</v>
      </c>
      <c r="BM477">
        <v>1510.59</v>
      </c>
      <c r="BN477" s="14">
        <f t="shared" si="87"/>
        <v>7.5837375837375376E-3</v>
      </c>
      <c r="BO477" s="14">
        <f t="shared" si="79"/>
        <v>3.5714285714285809E-2</v>
      </c>
      <c r="BP477" s="14">
        <f t="shared" si="80"/>
        <v>1.3104463755998053E-2</v>
      </c>
      <c r="BQ477" s="14">
        <f t="shared" si="81"/>
        <v>-4.1245791245791308E-2</v>
      </c>
      <c r="BR477" s="14">
        <f t="shared" si="82"/>
        <v>1.1100055500277595E-2</v>
      </c>
      <c r="BS477" s="14">
        <f t="shared" si="83"/>
        <v>3.7794547974742132E-2</v>
      </c>
      <c r="BT477" s="14">
        <f t="shared" si="84"/>
        <v>1.7773765168001665E-2</v>
      </c>
      <c r="BV477" s="749">
        <v>42440</v>
      </c>
      <c r="BW477">
        <f t="shared" si="85"/>
        <v>0.97165550312803328</v>
      </c>
      <c r="BX477">
        <f t="shared" si="86"/>
        <v>0.94692625070393399</v>
      </c>
    </row>
    <row r="478" spans="1:76" x14ac:dyDescent="0.3">
      <c r="A478" s="749">
        <v>42433</v>
      </c>
      <c r="B478">
        <v>30800</v>
      </c>
      <c r="C478">
        <v>650.61800000000005</v>
      </c>
      <c r="D478">
        <v>23440</v>
      </c>
      <c r="E478">
        <v>11.88</v>
      </c>
      <c r="F478">
        <v>4329</v>
      </c>
      <c r="G478">
        <v>1743.81</v>
      </c>
      <c r="H478">
        <v>649.29999999999995</v>
      </c>
      <c r="I478">
        <v>235.22</v>
      </c>
      <c r="J478">
        <v>1484.21</v>
      </c>
      <c r="K478">
        <v>10780000</v>
      </c>
      <c r="L478">
        <v>1999.99</v>
      </c>
      <c r="AO478" s="749">
        <v>42433</v>
      </c>
      <c r="AP478">
        <v>4329</v>
      </c>
      <c r="AQ478">
        <v>1743.81</v>
      </c>
      <c r="AR478">
        <f t="shared" si="77"/>
        <v>0.99476078863918371</v>
      </c>
      <c r="AS478">
        <f t="shared" si="78"/>
        <v>0.88967174474250788</v>
      </c>
      <c r="BF478" s="749">
        <v>42433</v>
      </c>
      <c r="BG478">
        <v>4329</v>
      </c>
      <c r="BH478">
        <v>30800</v>
      </c>
      <c r="BI478">
        <v>650.61800000000005</v>
      </c>
      <c r="BJ478">
        <v>11.88</v>
      </c>
      <c r="BK478">
        <v>1999.99</v>
      </c>
      <c r="BL478">
        <v>649.29999999999995</v>
      </c>
      <c r="BM478">
        <v>1484.21</v>
      </c>
      <c r="BN478" s="14">
        <f t="shared" si="87"/>
        <v>2.2046359210694089E-2</v>
      </c>
      <c r="BO478" s="14">
        <f t="shared" si="79"/>
        <v>4.0540540540540571E-2</v>
      </c>
      <c r="BP478" s="14">
        <f t="shared" si="80"/>
        <v>4.1573747816773921E-2</v>
      </c>
      <c r="BQ478" s="14">
        <f t="shared" si="81"/>
        <v>0.11028037383177591</v>
      </c>
      <c r="BR478" s="14">
        <f t="shared" si="82"/>
        <v>2.6662559995893398E-2</v>
      </c>
      <c r="BS478" s="14">
        <f t="shared" si="83"/>
        <v>7.353853791733922E-3</v>
      </c>
      <c r="BT478" s="14">
        <f t="shared" si="84"/>
        <v>4.8534199758676344E-4</v>
      </c>
      <c r="BV478" s="749">
        <v>42433</v>
      </c>
      <c r="BW478">
        <f t="shared" si="85"/>
        <v>0.96098847769054108</v>
      </c>
      <c r="BX478">
        <f t="shared" si="86"/>
        <v>0.93467779935870188</v>
      </c>
    </row>
    <row r="479" spans="1:76" x14ac:dyDescent="0.3">
      <c r="A479" s="749">
        <v>42426</v>
      </c>
      <c r="B479">
        <v>29600</v>
      </c>
      <c r="C479">
        <v>624.649</v>
      </c>
      <c r="D479">
        <v>23800</v>
      </c>
      <c r="E479">
        <v>10.7</v>
      </c>
      <c r="F479">
        <v>4235.62</v>
      </c>
      <c r="G479">
        <v>1745.91</v>
      </c>
      <c r="H479">
        <v>644.55999999999995</v>
      </c>
      <c r="I479">
        <v>235.27</v>
      </c>
      <c r="J479">
        <v>1483.49</v>
      </c>
      <c r="K479">
        <v>17430000</v>
      </c>
      <c r="L479">
        <v>1948.05</v>
      </c>
      <c r="AO479" s="749">
        <v>42426</v>
      </c>
      <c r="AP479">
        <v>4235.62</v>
      </c>
      <c r="AQ479">
        <v>1745.91</v>
      </c>
      <c r="AR479">
        <f t="shared" si="77"/>
        <v>0.97330300105703382</v>
      </c>
      <c r="AS479">
        <f t="shared" si="78"/>
        <v>0.8907431405161067</v>
      </c>
      <c r="BF479" s="749">
        <v>42426</v>
      </c>
      <c r="BG479">
        <v>4235.62</v>
      </c>
      <c r="BH479">
        <v>29600</v>
      </c>
      <c r="BI479">
        <v>624.649</v>
      </c>
      <c r="BJ479">
        <v>10.7</v>
      </c>
      <c r="BK479">
        <v>1948.05</v>
      </c>
      <c r="BL479">
        <v>644.55999999999995</v>
      </c>
      <c r="BM479">
        <v>1483.49</v>
      </c>
      <c r="BN479" s="14">
        <f t="shared" si="87"/>
        <v>1.7177822765598094E-2</v>
      </c>
      <c r="BO479" s="14">
        <f t="shared" si="79"/>
        <v>8.2266910420475403E-2</v>
      </c>
      <c r="BP479" s="14">
        <f t="shared" si="80"/>
        <v>3.1698369991593145E-2</v>
      </c>
      <c r="BQ479" s="14">
        <f t="shared" si="81"/>
        <v>-4.1218637992831653E-2</v>
      </c>
      <c r="BR479" s="14">
        <f t="shared" si="82"/>
        <v>1.5783875105590761E-2</v>
      </c>
      <c r="BS479" s="14">
        <f t="shared" si="83"/>
        <v>5.934752239296559E-2</v>
      </c>
      <c r="BT479" s="14">
        <f t="shared" si="84"/>
        <v>4.700435460762642E-2</v>
      </c>
      <c r="BV479" s="749">
        <v>42426</v>
      </c>
      <c r="BW479">
        <f t="shared" si="85"/>
        <v>0.93603148213993992</v>
      </c>
      <c r="BX479">
        <f t="shared" si="86"/>
        <v>0.89737073473468876</v>
      </c>
    </row>
    <row r="480" spans="1:76" x14ac:dyDescent="0.3">
      <c r="A480" s="749">
        <v>42419</v>
      </c>
      <c r="B480">
        <v>27350</v>
      </c>
      <c r="C480">
        <v>605.45699999999999</v>
      </c>
      <c r="D480">
        <v>22600</v>
      </c>
      <c r="E480">
        <v>11.16</v>
      </c>
      <c r="F480">
        <v>4164.09</v>
      </c>
      <c r="G480">
        <v>1668.98</v>
      </c>
      <c r="H480">
        <v>608.45000000000005</v>
      </c>
      <c r="I480">
        <v>224.98</v>
      </c>
      <c r="J480">
        <v>1416.89</v>
      </c>
      <c r="K480">
        <v>4900000</v>
      </c>
      <c r="L480">
        <v>1917.78</v>
      </c>
      <c r="AO480" s="749">
        <v>42419</v>
      </c>
      <c r="AP480">
        <v>4164.09</v>
      </c>
      <c r="AQ480">
        <v>1668.98</v>
      </c>
      <c r="AR480">
        <f t="shared" si="77"/>
        <v>0.95686612436233287</v>
      </c>
      <c r="AS480">
        <f t="shared" si="78"/>
        <v>0.85149434200993845</v>
      </c>
      <c r="BF480" s="749">
        <v>42419</v>
      </c>
      <c r="BG480">
        <v>4164.09</v>
      </c>
      <c r="BH480">
        <v>27350</v>
      </c>
      <c r="BI480">
        <v>605.45699999999999</v>
      </c>
      <c r="BJ480">
        <v>11.16</v>
      </c>
      <c r="BK480">
        <v>1917.78</v>
      </c>
      <c r="BL480">
        <v>608.45000000000005</v>
      </c>
      <c r="BM480">
        <v>1416.89</v>
      </c>
      <c r="BN480" s="14">
        <f t="shared" si="87"/>
        <v>3.605204033648568E-2</v>
      </c>
      <c r="BO480" s="14">
        <f t="shared" si="79"/>
        <v>-2.6690391459074703E-2</v>
      </c>
      <c r="BP480" s="14">
        <f t="shared" si="80"/>
        <v>5.8676342017835337E-2</v>
      </c>
      <c r="BQ480" s="14">
        <f t="shared" si="81"/>
        <v>0.11377245508982048</v>
      </c>
      <c r="BR480" s="14">
        <f t="shared" si="82"/>
        <v>2.8421583243063431E-2</v>
      </c>
      <c r="BS480" s="14">
        <f t="shared" si="83"/>
        <v>-0.10694104005518767</v>
      </c>
      <c r="BT480" s="14">
        <f t="shared" si="84"/>
        <v>-2.7115175984289808E-2</v>
      </c>
      <c r="BV480" s="749">
        <v>42419</v>
      </c>
      <c r="BW480">
        <f t="shared" si="85"/>
        <v>0.92148684880692688</v>
      </c>
      <c r="BX480">
        <f t="shared" si="86"/>
        <v>0.86979950810817031</v>
      </c>
    </row>
    <row r="481" spans="1:76" x14ac:dyDescent="0.3">
      <c r="A481" s="749">
        <v>42412</v>
      </c>
      <c r="B481">
        <v>28100</v>
      </c>
      <c r="C481">
        <v>571.9</v>
      </c>
      <c r="D481">
        <v>23280</v>
      </c>
      <c r="E481">
        <v>10.02</v>
      </c>
      <c r="F481">
        <v>4019.19</v>
      </c>
      <c r="G481">
        <v>1723.25</v>
      </c>
      <c r="H481">
        <v>681.31</v>
      </c>
      <c r="I481">
        <v>233.3</v>
      </c>
      <c r="J481">
        <v>1456.38</v>
      </c>
      <c r="K481">
        <v>14280000</v>
      </c>
      <c r="L481">
        <v>1864.78</v>
      </c>
      <c r="AO481" s="749">
        <v>42412</v>
      </c>
      <c r="AP481">
        <v>4019.19</v>
      </c>
      <c r="AQ481">
        <v>1723.25</v>
      </c>
      <c r="AR481">
        <f t="shared" si="77"/>
        <v>0.92356955742451396</v>
      </c>
      <c r="AS481">
        <f t="shared" si="78"/>
        <v>0.87918226993051241</v>
      </c>
      <c r="BF481" s="749">
        <v>42412</v>
      </c>
      <c r="BG481">
        <v>4019.19</v>
      </c>
      <c r="BH481">
        <v>28100</v>
      </c>
      <c r="BI481">
        <v>571.9</v>
      </c>
      <c r="BJ481">
        <v>10.02</v>
      </c>
      <c r="BK481">
        <v>1864.78</v>
      </c>
      <c r="BL481">
        <v>681.31</v>
      </c>
      <c r="BM481">
        <v>1456.38</v>
      </c>
      <c r="BN481" s="14">
        <f t="shared" si="87"/>
        <v>-1.3119739990606893E-3</v>
      </c>
      <c r="BO481" s="14">
        <f t="shared" si="79"/>
        <v>2.93040293040292E-2</v>
      </c>
      <c r="BP481" s="14">
        <f t="shared" si="80"/>
        <v>-2.447927594153354E-2</v>
      </c>
      <c r="BQ481" s="14">
        <f t="shared" si="81"/>
        <v>-8.9090909090909109E-2</v>
      </c>
      <c r="BR481" s="14">
        <f t="shared" si="82"/>
        <v>-8.1221244115847746E-3</v>
      </c>
      <c r="BS481" s="14">
        <f t="shared" si="83"/>
        <v>-2.1821909783245053E-3</v>
      </c>
      <c r="BT481" s="14">
        <f t="shared" si="84"/>
        <v>7.7498996664775444E-3</v>
      </c>
      <c r="BV481" s="749">
        <v>42412</v>
      </c>
      <c r="BW481">
        <f t="shared" si="85"/>
        <v>0.89602052681651756</v>
      </c>
      <c r="BX481">
        <f t="shared" si="86"/>
        <v>0.82159152291089632</v>
      </c>
    </row>
    <row r="482" spans="1:76" x14ac:dyDescent="0.3">
      <c r="A482" s="749">
        <v>42405</v>
      </c>
      <c r="B482">
        <v>27300</v>
      </c>
      <c r="C482">
        <v>586.25099999999998</v>
      </c>
      <c r="D482">
        <v>23000</v>
      </c>
      <c r="E482">
        <v>11</v>
      </c>
      <c r="F482">
        <v>4024.47</v>
      </c>
      <c r="G482">
        <v>1713.3</v>
      </c>
      <c r="H482">
        <v>682.8</v>
      </c>
      <c r="I482">
        <v>232.1</v>
      </c>
      <c r="J482">
        <v>1445.18</v>
      </c>
      <c r="K482">
        <v>17470000</v>
      </c>
      <c r="L482">
        <v>1880.05</v>
      </c>
      <c r="AO482" s="749">
        <v>42405</v>
      </c>
      <c r="AP482">
        <v>4024.47</v>
      </c>
      <c r="AQ482">
        <v>1713.3</v>
      </c>
      <c r="AR482">
        <f t="shared" si="77"/>
        <v>0.92478284847649239</v>
      </c>
      <c r="AS482">
        <f t="shared" si="78"/>
        <v>0.87410589471750866</v>
      </c>
      <c r="BF482" s="749">
        <v>42405</v>
      </c>
      <c r="BG482">
        <v>4024.47</v>
      </c>
      <c r="BH482">
        <v>27300</v>
      </c>
      <c r="BI482">
        <v>586.25099999999998</v>
      </c>
      <c r="BJ482">
        <v>11</v>
      </c>
      <c r="BK482">
        <v>1880.05</v>
      </c>
      <c r="BL482">
        <v>682.8</v>
      </c>
      <c r="BM482">
        <v>1445.18</v>
      </c>
      <c r="BN482" s="14">
        <f t="shared" si="87"/>
        <v>-5.952088839658165E-2</v>
      </c>
      <c r="BO482" s="14">
        <f t="shared" si="79"/>
        <v>5.5248618784531356E-3</v>
      </c>
      <c r="BP482" s="14">
        <f t="shared" si="80"/>
        <v>-4.4697489412251712E-2</v>
      </c>
      <c r="BQ482" s="14">
        <f t="shared" si="81"/>
        <v>-2.7198549410697437E-3</v>
      </c>
      <c r="BR482" s="14">
        <f t="shared" si="82"/>
        <v>-3.1021935430668446E-2</v>
      </c>
      <c r="BS482" s="14">
        <f t="shared" si="83"/>
        <v>1.7661524703778131E-2</v>
      </c>
      <c r="BT482" s="14">
        <f t="shared" si="84"/>
        <v>9.0841171090023654E-3</v>
      </c>
      <c r="BV482" s="749">
        <v>42405</v>
      </c>
      <c r="BW482">
        <f t="shared" si="85"/>
        <v>0.90335771052960345</v>
      </c>
      <c r="BX482">
        <f t="shared" si="86"/>
        <v>0.84220816908207008</v>
      </c>
    </row>
    <row r="483" spans="1:76" x14ac:dyDescent="0.3">
      <c r="A483" s="749">
        <v>42398</v>
      </c>
      <c r="B483">
        <v>27150</v>
      </c>
      <c r="C483">
        <v>613.68100000000004</v>
      </c>
      <c r="D483">
        <v>23360</v>
      </c>
      <c r="E483">
        <v>11.03</v>
      </c>
      <c r="F483">
        <v>4279.17</v>
      </c>
      <c r="G483">
        <v>1688.56</v>
      </c>
      <c r="H483">
        <v>670.95</v>
      </c>
      <c r="I483">
        <v>228.79</v>
      </c>
      <c r="J483">
        <v>1432.17</v>
      </c>
      <c r="K483">
        <v>17340000</v>
      </c>
      <c r="L483">
        <v>1940.24</v>
      </c>
      <c r="AO483" s="749">
        <v>42398</v>
      </c>
      <c r="AP483">
        <v>4279.17</v>
      </c>
      <c r="AQ483">
        <v>1688.56</v>
      </c>
      <c r="AR483">
        <f t="shared" si="77"/>
        <v>0.98331035433613678</v>
      </c>
      <c r="AS483">
        <f t="shared" si="78"/>
        <v>0.86148383212758795</v>
      </c>
      <c r="BF483" s="749">
        <v>42398</v>
      </c>
      <c r="BG483">
        <v>4279.17</v>
      </c>
      <c r="BH483">
        <v>27150</v>
      </c>
      <c r="BI483">
        <v>613.68100000000004</v>
      </c>
      <c r="BJ483">
        <v>11.03</v>
      </c>
      <c r="BK483">
        <v>1940.24</v>
      </c>
      <c r="BL483">
        <v>670.95</v>
      </c>
      <c r="BM483">
        <v>1432.17</v>
      </c>
      <c r="BN483" s="14">
        <f t="shared" si="87"/>
        <v>4.5542364963364612E-3</v>
      </c>
      <c r="BO483" s="14">
        <f t="shared" si="79"/>
        <v>1.3059701492537323E-2</v>
      </c>
      <c r="BP483" s="14">
        <f t="shared" si="80"/>
        <v>2.5493587333417E-2</v>
      </c>
      <c r="BQ483" s="14">
        <f t="shared" si="81"/>
        <v>-3.6133694670280603E-3</v>
      </c>
      <c r="BR483" s="14">
        <f t="shared" si="82"/>
        <v>1.7483874351040818E-2</v>
      </c>
      <c r="BS483" s="14">
        <f t="shared" si="83"/>
        <v>-1.1025455831846886E-2</v>
      </c>
      <c r="BT483" s="14">
        <f t="shared" si="84"/>
        <v>2.1972946684114536E-3</v>
      </c>
      <c r="BV483" s="749">
        <v>42398</v>
      </c>
      <c r="BW483">
        <f t="shared" si="85"/>
        <v>0.93227880337116453</v>
      </c>
      <c r="BX483">
        <f t="shared" si="86"/>
        <v>0.88161410626242664</v>
      </c>
    </row>
    <row r="484" spans="1:76" x14ac:dyDescent="0.3">
      <c r="A484" s="749">
        <v>42391</v>
      </c>
      <c r="B484">
        <v>26800</v>
      </c>
      <c r="C484">
        <v>598.42499999999995</v>
      </c>
      <c r="D484">
        <v>22640</v>
      </c>
      <c r="E484">
        <v>11.07</v>
      </c>
      <c r="F484">
        <v>4259.7700000000004</v>
      </c>
      <c r="G484">
        <v>1689.7</v>
      </c>
      <c r="H484">
        <v>678.43</v>
      </c>
      <c r="I484">
        <v>228.78</v>
      </c>
      <c r="J484">
        <v>1429.03</v>
      </c>
      <c r="K484">
        <v>22650000</v>
      </c>
      <c r="L484">
        <v>1906.9</v>
      </c>
      <c r="AO484" s="749">
        <v>42391</v>
      </c>
      <c r="AP484">
        <v>4259.7700000000004</v>
      </c>
      <c r="AQ484">
        <v>1689.7</v>
      </c>
      <c r="AR484">
        <f t="shared" si="77"/>
        <v>0.97885242888000379</v>
      </c>
      <c r="AS484">
        <f t="shared" si="78"/>
        <v>0.86206544697611298</v>
      </c>
      <c r="BF484" s="749">
        <v>42391</v>
      </c>
      <c r="BG484">
        <v>4259.7700000000004</v>
      </c>
      <c r="BH484">
        <v>26800</v>
      </c>
      <c r="BI484">
        <v>598.42499999999995</v>
      </c>
      <c r="BJ484">
        <v>11.07</v>
      </c>
      <c r="BK484">
        <v>1906.9</v>
      </c>
      <c r="BL484">
        <v>678.43</v>
      </c>
      <c r="BM484">
        <v>1429.03</v>
      </c>
      <c r="BN484" s="14">
        <f t="shared" si="87"/>
        <v>2.8661605185120953E-2</v>
      </c>
      <c r="BO484" s="14">
        <f t="shared" si="79"/>
        <v>-9.7643097643097643E-2</v>
      </c>
      <c r="BP484" s="14">
        <f t="shared" si="80"/>
        <v>4.2018547991098609E-2</v>
      </c>
      <c r="BQ484" s="14">
        <f t="shared" si="81"/>
        <v>-9.0252707581228719E-4</v>
      </c>
      <c r="BR484" s="14">
        <f t="shared" si="82"/>
        <v>1.4130498369967048E-2</v>
      </c>
      <c r="BS484" s="14">
        <f t="shared" si="83"/>
        <v>-6.0507501172057943E-3</v>
      </c>
      <c r="BT484" s="14">
        <f t="shared" si="84"/>
        <v>-2.186888253090391E-2</v>
      </c>
      <c r="BV484" s="749">
        <v>42391</v>
      </c>
      <c r="BW484">
        <f t="shared" si="85"/>
        <v>0.91625904534927316</v>
      </c>
      <c r="BX484">
        <f t="shared" si="86"/>
        <v>0.85969733711829532</v>
      </c>
    </row>
    <row r="485" spans="1:76" x14ac:dyDescent="0.3">
      <c r="A485" s="749">
        <v>42384</v>
      </c>
      <c r="B485">
        <v>29700</v>
      </c>
      <c r="C485">
        <v>574.29399999999998</v>
      </c>
      <c r="D485">
        <v>23420</v>
      </c>
      <c r="E485">
        <v>11.08</v>
      </c>
      <c r="F485">
        <v>4141.08</v>
      </c>
      <c r="G485">
        <v>1723.81</v>
      </c>
      <c r="H485">
        <v>682.56</v>
      </c>
      <c r="I485">
        <v>233.68</v>
      </c>
      <c r="J485">
        <v>1460.98</v>
      </c>
      <c r="K485">
        <v>13210000</v>
      </c>
      <c r="L485">
        <v>1880.33</v>
      </c>
      <c r="AO485" s="749">
        <v>42384</v>
      </c>
      <c r="AP485">
        <v>4141.08</v>
      </c>
      <c r="AQ485">
        <v>1723.81</v>
      </c>
      <c r="AR485">
        <f t="shared" si="77"/>
        <v>0.95157865710740375</v>
      </c>
      <c r="AS485">
        <f t="shared" si="78"/>
        <v>0.87946797547013866</v>
      </c>
      <c r="BF485" s="749">
        <v>42384</v>
      </c>
      <c r="BG485">
        <v>4141.08</v>
      </c>
      <c r="BH485">
        <v>29700</v>
      </c>
      <c r="BI485">
        <v>574.29399999999998</v>
      </c>
      <c r="BJ485">
        <v>11.08</v>
      </c>
      <c r="BK485">
        <v>1880.33</v>
      </c>
      <c r="BL485">
        <v>682.56</v>
      </c>
      <c r="BM485">
        <v>1460.98</v>
      </c>
      <c r="BN485" s="14">
        <f t="shared" si="87"/>
        <v>-3.0369159731945872E-2</v>
      </c>
      <c r="BO485" s="14">
        <f t="shared" si="79"/>
        <v>-3.4146341463414664E-2</v>
      </c>
      <c r="BP485" s="14">
        <f t="shared" si="80"/>
        <v>-4.3610039285173041E-2</v>
      </c>
      <c r="BQ485" s="14">
        <f t="shared" si="81"/>
        <v>-0.1687921980495124</v>
      </c>
      <c r="BR485" s="14">
        <f t="shared" si="82"/>
        <v>-2.1695811199617054E-2</v>
      </c>
      <c r="BS485" s="14">
        <f t="shared" si="83"/>
        <v>3.0775994724097089E-4</v>
      </c>
      <c r="BT485" s="14">
        <f t="shared" si="84"/>
        <v>-3.33789854640969E-2</v>
      </c>
      <c r="BV485" s="749">
        <v>42384</v>
      </c>
      <c r="BW485">
        <f t="shared" si="85"/>
        <v>0.9034922495891754</v>
      </c>
      <c r="BX485">
        <f t="shared" si="86"/>
        <v>0.82503074323936054</v>
      </c>
    </row>
    <row r="486" spans="1:76" x14ac:dyDescent="0.3">
      <c r="A486" s="749">
        <v>42377</v>
      </c>
      <c r="B486">
        <v>30750</v>
      </c>
      <c r="C486">
        <v>600.48099999999999</v>
      </c>
      <c r="D486">
        <v>25200</v>
      </c>
      <c r="E486">
        <v>13.33</v>
      </c>
      <c r="F486">
        <v>4270.78</v>
      </c>
      <c r="G486">
        <v>1782.88</v>
      </c>
      <c r="H486">
        <v>682.35</v>
      </c>
      <c r="I486">
        <v>240.38</v>
      </c>
      <c r="J486">
        <v>1511.43</v>
      </c>
      <c r="K486">
        <v>6300000</v>
      </c>
      <c r="L486">
        <v>1922.03</v>
      </c>
      <c r="AO486" s="749">
        <v>42377</v>
      </c>
      <c r="AP486">
        <v>4270.78</v>
      </c>
      <c r="AQ486">
        <v>1782.88</v>
      </c>
      <c r="AR486">
        <f t="shared" si="77"/>
        <v>0.98138241647134505</v>
      </c>
      <c r="AS486">
        <f t="shared" si="78"/>
        <v>0.90960480801608123</v>
      </c>
      <c r="BF486" s="749">
        <v>42377</v>
      </c>
      <c r="BG486">
        <v>4270.78</v>
      </c>
      <c r="BH486">
        <v>30750</v>
      </c>
      <c r="BI486">
        <v>600.48099999999999</v>
      </c>
      <c r="BJ486">
        <v>13.33</v>
      </c>
      <c r="BK486">
        <v>1922.03</v>
      </c>
      <c r="BL486">
        <v>682.35</v>
      </c>
      <c r="BM486">
        <v>1511.43</v>
      </c>
      <c r="BN486" s="14">
        <f t="shared" si="87"/>
        <v>-7.0209240911159321E-2</v>
      </c>
      <c r="BO486" s="14">
        <f t="shared" si="79"/>
        <v>-2.9968454258675115E-2</v>
      </c>
      <c r="BP486" s="14">
        <f t="shared" si="80"/>
        <v>-9.4953736429528535E-2</v>
      </c>
      <c r="BQ486" s="14">
        <f t="shared" si="81"/>
        <v>-5.8615819209039577E-2</v>
      </c>
      <c r="BR486" s="14">
        <f t="shared" si="82"/>
        <v>-5.9644607963051821E-2</v>
      </c>
      <c r="BS486" s="14">
        <f t="shared" si="83"/>
        <v>3.9327981965789904E-2</v>
      </c>
      <c r="BT486" s="14">
        <f t="shared" si="84"/>
        <v>-2.5097720500019238E-2</v>
      </c>
      <c r="BV486" s="749">
        <v>42377</v>
      </c>
      <c r="BW486">
        <f t="shared" si="85"/>
        <v>0.92352895953257297</v>
      </c>
      <c r="BX486">
        <f t="shared" si="86"/>
        <v>0.86265098665685946</v>
      </c>
    </row>
    <row r="487" spans="1:76" x14ac:dyDescent="0.3">
      <c r="A487" s="749">
        <v>42370</v>
      </c>
      <c r="B487">
        <v>31700</v>
      </c>
      <c r="C487">
        <v>663.48099999999999</v>
      </c>
      <c r="D487">
        <v>25700</v>
      </c>
      <c r="E487">
        <v>14.16</v>
      </c>
      <c r="F487">
        <v>4593.2700000000004</v>
      </c>
      <c r="G487">
        <v>1825.11</v>
      </c>
      <c r="H487">
        <v>656.53</v>
      </c>
      <c r="I487">
        <v>245.33</v>
      </c>
      <c r="J487">
        <v>1550.34</v>
      </c>
      <c r="K487">
        <v>17390000</v>
      </c>
      <c r="L487">
        <v>2043.94</v>
      </c>
      <c r="AO487" s="749">
        <v>42370</v>
      </c>
      <c r="AP487">
        <v>4593.2700000000004</v>
      </c>
      <c r="AQ487">
        <v>1825.11</v>
      </c>
      <c r="AR487">
        <f t="shared" si="77"/>
        <v>1.0554873845305393</v>
      </c>
      <c r="AS487">
        <f t="shared" si="78"/>
        <v>0.93115006683468871</v>
      </c>
      <c r="BF487" s="749">
        <v>42370</v>
      </c>
      <c r="BG487">
        <v>4593.2700000000004</v>
      </c>
      <c r="BH487">
        <v>31700</v>
      </c>
      <c r="BI487">
        <v>663.48099999999999</v>
      </c>
      <c r="BJ487">
        <v>14.16</v>
      </c>
      <c r="BK487">
        <v>2043.94</v>
      </c>
      <c r="BL487">
        <v>656.53</v>
      </c>
      <c r="BM487">
        <v>1550.34</v>
      </c>
      <c r="BN487" s="14">
        <f t="shared" si="87"/>
        <v>-6.3814552746513931E-3</v>
      </c>
      <c r="BO487" s="14">
        <f t="shared" si="79"/>
        <v>3.5947712418300748E-2</v>
      </c>
      <c r="BP487" s="14">
        <f t="shared" si="80"/>
        <v>-1.618193518922173E-2</v>
      </c>
      <c r="BQ487" s="14">
        <f t="shared" si="81"/>
        <v>-2.2099447513812209E-2</v>
      </c>
      <c r="BR487" s="14">
        <f t="shared" si="82"/>
        <v>-8.2727233028785374E-3</v>
      </c>
      <c r="BS487" s="14">
        <f t="shared" si="83"/>
        <v>-1.6360776088096607E-2</v>
      </c>
      <c r="BT487" s="14">
        <f t="shared" si="84"/>
        <v>1.0988007747034567E-2</v>
      </c>
      <c r="BV487" s="749">
        <v>42370</v>
      </c>
      <c r="BW487">
        <f t="shared" si="85"/>
        <v>0.98210630507692764</v>
      </c>
      <c r="BX487">
        <f t="shared" si="86"/>
        <v>0.95315678477433896</v>
      </c>
    </row>
    <row r="488" spans="1:76" x14ac:dyDescent="0.3">
      <c r="A488" s="749">
        <v>42363</v>
      </c>
      <c r="B488">
        <v>30600</v>
      </c>
      <c r="C488">
        <v>674.39400000000001</v>
      </c>
      <c r="D488">
        <v>25560</v>
      </c>
      <c r="E488">
        <v>14.48</v>
      </c>
      <c r="F488">
        <v>4622.7700000000004</v>
      </c>
      <c r="G488">
        <v>1806.67</v>
      </c>
      <c r="H488">
        <v>667.45</v>
      </c>
      <c r="I488">
        <v>243</v>
      </c>
      <c r="J488">
        <v>1533.49</v>
      </c>
      <c r="K488">
        <v>13340000</v>
      </c>
      <c r="L488">
        <v>2060.9899999999998</v>
      </c>
      <c r="AO488" s="749">
        <v>42363</v>
      </c>
      <c r="AP488">
        <v>4622.7700000000004</v>
      </c>
      <c r="AQ488">
        <v>1806.67</v>
      </c>
      <c r="AR488">
        <f t="shared" si="77"/>
        <v>1.062266188703525</v>
      </c>
      <c r="AS488">
        <f t="shared" si="78"/>
        <v>0.92174219156556436</v>
      </c>
      <c r="BF488" s="749">
        <v>42363</v>
      </c>
      <c r="BG488">
        <v>4622.7700000000004</v>
      </c>
      <c r="BH488">
        <v>30600</v>
      </c>
      <c r="BI488">
        <v>674.39400000000001</v>
      </c>
      <c r="BJ488">
        <v>14.48</v>
      </c>
      <c r="BK488">
        <v>2060.9899999999998</v>
      </c>
      <c r="BL488">
        <v>667.45</v>
      </c>
      <c r="BM488">
        <v>1533.49</v>
      </c>
      <c r="BN488" s="14">
        <f t="shared" si="87"/>
        <v>2.3907876930028493E-2</v>
      </c>
      <c r="BO488" s="14">
        <f t="shared" si="79"/>
        <v>2.5125628140703515E-2</v>
      </c>
      <c r="BP488" s="14">
        <f t="shared" si="80"/>
        <v>3.1626738705774038E-2</v>
      </c>
      <c r="BQ488" s="14">
        <f t="shared" si="81"/>
        <v>8.3565459610028814E-3</v>
      </c>
      <c r="BR488" s="14">
        <f t="shared" si="82"/>
        <v>2.7643289870608934E-2</v>
      </c>
      <c r="BS488" s="14">
        <f t="shared" si="83"/>
        <v>2.1377853951153769E-2</v>
      </c>
      <c r="BT488" s="14">
        <f t="shared" si="84"/>
        <v>6.953838072099261E-3</v>
      </c>
      <c r="BV488" s="749">
        <v>42363</v>
      </c>
      <c r="BW488">
        <f t="shared" si="85"/>
        <v>0.99029877281157797</v>
      </c>
      <c r="BX488">
        <f t="shared" si="86"/>
        <v>0.96883440024824452</v>
      </c>
    </row>
    <row r="489" spans="1:76" x14ac:dyDescent="0.3">
      <c r="A489" s="749">
        <v>42356</v>
      </c>
      <c r="B489">
        <v>29850</v>
      </c>
      <c r="C489">
        <v>653.71900000000005</v>
      </c>
      <c r="D489">
        <v>25680</v>
      </c>
      <c r="E489">
        <v>14.36</v>
      </c>
      <c r="F489">
        <v>4514.83</v>
      </c>
      <c r="G489">
        <v>1789.21</v>
      </c>
      <c r="H489">
        <v>653.48</v>
      </c>
      <c r="I489">
        <v>240.35</v>
      </c>
      <c r="J489">
        <v>1522.9</v>
      </c>
      <c r="K489">
        <v>12120000</v>
      </c>
      <c r="L489">
        <v>2005.55</v>
      </c>
      <c r="AO489" s="749">
        <v>42356</v>
      </c>
      <c r="AP489">
        <v>4514.83</v>
      </c>
      <c r="AQ489">
        <v>1789.21</v>
      </c>
      <c r="AR489">
        <f t="shared" si="77"/>
        <v>1.0374626591295555</v>
      </c>
      <c r="AS489">
        <f t="shared" si="78"/>
        <v>0.912834300990786</v>
      </c>
      <c r="BF489" s="749">
        <v>42356</v>
      </c>
      <c r="BG489">
        <v>4514.83</v>
      </c>
      <c r="BH489">
        <v>29850</v>
      </c>
      <c r="BI489">
        <v>653.71900000000005</v>
      </c>
      <c r="BJ489">
        <v>14.36</v>
      </c>
      <c r="BK489">
        <v>2005.55</v>
      </c>
      <c r="BL489">
        <v>653.48</v>
      </c>
      <c r="BM489">
        <v>1522.9</v>
      </c>
      <c r="BN489" s="14">
        <f t="shared" si="87"/>
        <v>-5.0093001525050029E-3</v>
      </c>
      <c r="BO489" s="14">
        <f t="shared" si="79"/>
        <v>-4.3269230769230727E-2</v>
      </c>
      <c r="BP489" s="14">
        <f t="shared" si="80"/>
        <v>-1.0682861717551062E-2</v>
      </c>
      <c r="BQ489" s="14">
        <f t="shared" si="81"/>
        <v>2.2792022792022859E-2</v>
      </c>
      <c r="BR489" s="14">
        <f t="shared" si="82"/>
        <v>-3.3890387950525902E-3</v>
      </c>
      <c r="BS489" s="14">
        <f t="shared" si="83"/>
        <v>-4.7085757615527024E-2</v>
      </c>
      <c r="BT489" s="14">
        <f t="shared" si="84"/>
        <v>-1.0822865763666645E-3</v>
      </c>
      <c r="BV489" s="749">
        <v>42356</v>
      </c>
      <c r="BW489">
        <f t="shared" si="85"/>
        <v>0.96366003901632735</v>
      </c>
      <c r="BX489">
        <f t="shared" si="86"/>
        <v>0.93913269586604009</v>
      </c>
    </row>
    <row r="490" spans="1:76" x14ac:dyDescent="0.3">
      <c r="A490" s="749">
        <v>42349</v>
      </c>
      <c r="B490">
        <v>31200</v>
      </c>
      <c r="C490">
        <v>660.77800000000002</v>
      </c>
      <c r="D490">
        <v>25380</v>
      </c>
      <c r="E490">
        <v>14.04</v>
      </c>
      <c r="F490">
        <v>4537.5600000000004</v>
      </c>
      <c r="G490">
        <v>1798.02</v>
      </c>
      <c r="H490">
        <v>685.77</v>
      </c>
      <c r="I490">
        <v>242.15</v>
      </c>
      <c r="J490">
        <v>1524.55</v>
      </c>
      <c r="K490">
        <v>14260000</v>
      </c>
      <c r="L490">
        <v>2012.37</v>
      </c>
      <c r="AO490" s="749">
        <v>42349</v>
      </c>
      <c r="AP490">
        <v>4537.5600000000004</v>
      </c>
      <c r="AQ490">
        <v>1798.02</v>
      </c>
      <c r="AR490">
        <f t="shared" si="77"/>
        <v>1.0426857851923343</v>
      </c>
      <c r="AS490">
        <f t="shared" si="78"/>
        <v>0.9173290613552646</v>
      </c>
      <c r="BF490" s="749">
        <v>42349</v>
      </c>
      <c r="BG490">
        <v>4537.5600000000004</v>
      </c>
      <c r="BH490">
        <v>31200</v>
      </c>
      <c r="BI490">
        <v>660.77800000000002</v>
      </c>
      <c r="BJ490">
        <v>14.04</v>
      </c>
      <c r="BK490">
        <v>2012.37</v>
      </c>
      <c r="BL490">
        <v>685.77</v>
      </c>
      <c r="BM490">
        <v>1524.55</v>
      </c>
      <c r="BN490" s="14">
        <f t="shared" si="87"/>
        <v>-3.7861632019541402E-2</v>
      </c>
      <c r="BO490" s="14">
        <f t="shared" si="79"/>
        <v>-2.5000000000000022E-2</v>
      </c>
      <c r="BP490" s="14">
        <f t="shared" si="80"/>
        <v>-4.4408708202335223E-2</v>
      </c>
      <c r="BQ490" s="14">
        <f t="shared" si="81"/>
        <v>-9.4193548387096815E-2</v>
      </c>
      <c r="BR490" s="14">
        <f t="shared" si="82"/>
        <v>-3.7921489322031543E-2</v>
      </c>
      <c r="BS490" s="14">
        <f t="shared" si="83"/>
        <v>-1.2157704441019379E-2</v>
      </c>
      <c r="BT490" s="14">
        <f t="shared" si="84"/>
        <v>-2.8144323325046239E-2</v>
      </c>
      <c r="BV490" s="749">
        <v>42349</v>
      </c>
      <c r="BW490">
        <f t="shared" si="85"/>
        <v>0.9669370261101875</v>
      </c>
      <c r="BX490">
        <f t="shared" si="86"/>
        <v>0.94927365505510808</v>
      </c>
    </row>
    <row r="491" spans="1:76" x14ac:dyDescent="0.3">
      <c r="A491" s="749">
        <v>42342</v>
      </c>
      <c r="B491">
        <v>32000</v>
      </c>
      <c r="C491">
        <v>691.48599999999999</v>
      </c>
      <c r="D491">
        <v>26540</v>
      </c>
      <c r="E491">
        <v>15.5</v>
      </c>
      <c r="F491">
        <v>4716.12</v>
      </c>
      <c r="G491">
        <v>1849.08</v>
      </c>
      <c r="H491">
        <v>694.21</v>
      </c>
      <c r="I491">
        <v>249.07</v>
      </c>
      <c r="J491">
        <v>1568.7</v>
      </c>
      <c r="K491">
        <v>29800000</v>
      </c>
      <c r="L491">
        <v>2091.69</v>
      </c>
      <c r="AO491" s="749">
        <v>42342</v>
      </c>
      <c r="AP491">
        <v>4716.12</v>
      </c>
      <c r="AQ491">
        <v>1849.08</v>
      </c>
      <c r="AR491">
        <f t="shared" si="77"/>
        <v>1.0837170825865159</v>
      </c>
      <c r="AS491">
        <f t="shared" si="78"/>
        <v>0.94337928430762319</v>
      </c>
      <c r="BF491" s="749">
        <v>42342</v>
      </c>
      <c r="BG491">
        <v>4716.12</v>
      </c>
      <c r="BH491">
        <v>32000</v>
      </c>
      <c r="BI491">
        <v>691.48599999999999</v>
      </c>
      <c r="BJ491">
        <v>15.5</v>
      </c>
      <c r="BK491">
        <v>2091.69</v>
      </c>
      <c r="BL491">
        <v>694.21</v>
      </c>
      <c r="BM491">
        <v>1568.7</v>
      </c>
      <c r="BN491" s="14">
        <f t="shared" si="87"/>
        <v>7.6167564368534446E-3</v>
      </c>
      <c r="BO491" s="14">
        <f t="shared" si="79"/>
        <v>3.2258064516129004E-2</v>
      </c>
      <c r="BP491" s="14">
        <f t="shared" si="80"/>
        <v>3.1285187819999338E-2</v>
      </c>
      <c r="BQ491" s="14">
        <f t="shared" si="81"/>
        <v>-3.856041131105381E-3</v>
      </c>
      <c r="BR491" s="14">
        <f t="shared" si="82"/>
        <v>7.5594107487164663E-4</v>
      </c>
      <c r="BS491" s="14">
        <f t="shared" si="83"/>
        <v>1.3208593613170727E-2</v>
      </c>
      <c r="BT491" s="14">
        <f t="shared" si="84"/>
        <v>1.7671558133198317E-2</v>
      </c>
      <c r="BV491" s="749">
        <v>42342</v>
      </c>
      <c r="BW491">
        <f t="shared" si="85"/>
        <v>1.0050500197003625</v>
      </c>
      <c r="BX491">
        <f t="shared" si="86"/>
        <v>0.99338876693751366</v>
      </c>
    </row>
    <row r="492" spans="1:76" x14ac:dyDescent="0.3">
      <c r="A492" s="749">
        <v>42335</v>
      </c>
      <c r="B492">
        <v>31000</v>
      </c>
      <c r="C492">
        <v>670.50900000000001</v>
      </c>
      <c r="D492">
        <v>25700</v>
      </c>
      <c r="E492">
        <v>15.56</v>
      </c>
      <c r="F492">
        <v>4680.47</v>
      </c>
      <c r="G492">
        <v>1818.39</v>
      </c>
      <c r="H492">
        <v>685.16</v>
      </c>
      <c r="I492">
        <v>244.8</v>
      </c>
      <c r="J492">
        <v>1541.46</v>
      </c>
      <c r="K492">
        <v>12050000</v>
      </c>
      <c r="L492">
        <v>2090.11</v>
      </c>
      <c r="AO492" s="749">
        <v>42335</v>
      </c>
      <c r="AP492">
        <v>4680.47</v>
      </c>
      <c r="AQ492">
        <v>1818.39</v>
      </c>
      <c r="AR492">
        <f t="shared" si="77"/>
        <v>1.0755250700859416</v>
      </c>
      <c r="AS492">
        <f t="shared" si="78"/>
        <v>0.92772160035917273</v>
      </c>
      <c r="BF492" s="749">
        <v>42335</v>
      </c>
      <c r="BG492">
        <v>4680.47</v>
      </c>
      <c r="BH492">
        <v>31000</v>
      </c>
      <c r="BI492">
        <v>670.50900000000001</v>
      </c>
      <c r="BJ492">
        <v>15.56</v>
      </c>
      <c r="BK492">
        <v>2090.11</v>
      </c>
      <c r="BL492">
        <v>685.16</v>
      </c>
      <c r="BM492">
        <v>1541.46</v>
      </c>
      <c r="BN492" s="14">
        <f t="shared" si="87"/>
        <v>-1.2568389965771365E-3</v>
      </c>
      <c r="BO492" s="14">
        <f t="shared" si="79"/>
        <v>-4.8154093097912964E-3</v>
      </c>
      <c r="BP492" s="14">
        <f t="shared" si="80"/>
        <v>7.1392522185305118E-3</v>
      </c>
      <c r="BQ492" s="14">
        <f t="shared" si="81"/>
        <v>8.4251458198314477E-3</v>
      </c>
      <c r="BR492" s="14">
        <f t="shared" si="82"/>
        <v>4.4993944963800381E-4</v>
      </c>
      <c r="BS492" s="14">
        <f t="shared" si="83"/>
        <v>2.183380063234508E-2</v>
      </c>
      <c r="BT492" s="14">
        <f t="shared" si="84"/>
        <v>8.3007908318453172E-3</v>
      </c>
      <c r="BV492" s="749">
        <v>42335</v>
      </c>
      <c r="BW492">
        <f t="shared" si="85"/>
        <v>1.0042908350070634</v>
      </c>
      <c r="BX492">
        <f t="shared" si="86"/>
        <v>0.96325320936433334</v>
      </c>
    </row>
    <row r="493" spans="1:76" x14ac:dyDescent="0.3">
      <c r="A493" s="749">
        <v>42328</v>
      </c>
      <c r="B493">
        <v>31150</v>
      </c>
      <c r="C493">
        <v>665.75599999999997</v>
      </c>
      <c r="D493">
        <v>26000</v>
      </c>
      <c r="E493">
        <v>15.43</v>
      </c>
      <c r="F493">
        <v>4686.3599999999997</v>
      </c>
      <c r="G493">
        <v>1805.56</v>
      </c>
      <c r="H493">
        <v>670.52</v>
      </c>
      <c r="I493">
        <v>242.71</v>
      </c>
      <c r="J493">
        <v>1528.77</v>
      </c>
      <c r="K493">
        <v>12690000</v>
      </c>
      <c r="L493">
        <v>2089.17</v>
      </c>
      <c r="AO493" s="749">
        <v>42328</v>
      </c>
      <c r="AP493">
        <v>4686.3599999999997</v>
      </c>
      <c r="AQ493">
        <v>1805.56</v>
      </c>
      <c r="AR493">
        <f t="shared" si="77"/>
        <v>1.0768785330208188</v>
      </c>
      <c r="AS493">
        <f t="shared" si="78"/>
        <v>0.92117588237094783</v>
      </c>
      <c r="BF493" s="749">
        <v>42328</v>
      </c>
      <c r="BG493">
        <v>4686.3599999999997</v>
      </c>
      <c r="BH493">
        <v>31150</v>
      </c>
      <c r="BI493">
        <v>665.75599999999997</v>
      </c>
      <c r="BJ493">
        <v>15.43</v>
      </c>
      <c r="BK493">
        <v>2089.17</v>
      </c>
      <c r="BL493">
        <v>670.52</v>
      </c>
      <c r="BM493">
        <v>1528.77</v>
      </c>
      <c r="BN493" s="14">
        <f t="shared" si="87"/>
        <v>4.0918318843927493E-2</v>
      </c>
      <c r="BO493" s="14">
        <f t="shared" si="79"/>
        <v>-1.6025641025640969E-3</v>
      </c>
      <c r="BP493" s="14">
        <f t="shared" si="80"/>
        <v>3.4248341644529168E-2</v>
      </c>
      <c r="BQ493" s="14">
        <f t="shared" si="81"/>
        <v>2.8666666666666618E-2</v>
      </c>
      <c r="BR493" s="14">
        <f t="shared" si="82"/>
        <v>3.2688429294527088E-2</v>
      </c>
      <c r="BS493" s="14">
        <f t="shared" si="83"/>
        <v>-3.4125120640728368E-2</v>
      </c>
      <c r="BT493" s="14">
        <f t="shared" si="84"/>
        <v>-2.6998644339640721E-2</v>
      </c>
      <c r="BV493" s="749">
        <v>42328</v>
      </c>
      <c r="BW493">
        <f t="shared" si="85"/>
        <v>1.0038391681642147</v>
      </c>
      <c r="BX493">
        <f t="shared" si="86"/>
        <v>0.956425049706359</v>
      </c>
    </row>
    <row r="494" spans="1:76" x14ac:dyDescent="0.3">
      <c r="A494" s="749">
        <v>42321</v>
      </c>
      <c r="B494">
        <v>31200</v>
      </c>
      <c r="C494">
        <v>643.71</v>
      </c>
      <c r="D494">
        <v>26760</v>
      </c>
      <c r="E494">
        <v>15</v>
      </c>
      <c r="F494">
        <v>4502.1400000000003</v>
      </c>
      <c r="G494">
        <v>1859.77</v>
      </c>
      <c r="H494">
        <v>694.21</v>
      </c>
      <c r="I494">
        <v>250.25</v>
      </c>
      <c r="J494">
        <v>1571.19</v>
      </c>
      <c r="K494">
        <v>19370000</v>
      </c>
      <c r="L494">
        <v>2023.04</v>
      </c>
      <c r="AO494" s="749">
        <v>42321</v>
      </c>
      <c r="AP494">
        <v>4502.1400000000003</v>
      </c>
      <c r="AQ494">
        <v>1859.77</v>
      </c>
      <c r="AR494">
        <f t="shared" si="77"/>
        <v>1.0345466243853119</v>
      </c>
      <c r="AS494">
        <f t="shared" si="78"/>
        <v>0.94883319898370455</v>
      </c>
      <c r="BF494" s="749">
        <v>42321</v>
      </c>
      <c r="BG494">
        <v>4502.1400000000003</v>
      </c>
      <c r="BH494">
        <v>31200</v>
      </c>
      <c r="BI494">
        <v>643.71</v>
      </c>
      <c r="BJ494">
        <v>15</v>
      </c>
      <c r="BK494">
        <v>2023.04</v>
      </c>
      <c r="BL494">
        <v>694.21</v>
      </c>
      <c r="BM494">
        <v>1571.19</v>
      </c>
      <c r="BN494" s="14">
        <f t="shared" si="87"/>
        <v>-4.3569147885274218E-2</v>
      </c>
      <c r="BO494" s="14">
        <f t="shared" si="79"/>
        <v>1.6286644951140072E-2</v>
      </c>
      <c r="BP494" s="14">
        <f t="shared" si="80"/>
        <v>-4.8426461522996678E-2</v>
      </c>
      <c r="BQ494" s="14">
        <f t="shared" si="81"/>
        <v>-8.8145896656534939E-2</v>
      </c>
      <c r="BR494" s="14">
        <f t="shared" si="82"/>
        <v>-3.6280487804878025E-2</v>
      </c>
      <c r="BS494" s="14">
        <f t="shared" si="83"/>
        <v>1.5476207890233074E-2</v>
      </c>
      <c r="BT494" s="14">
        <f t="shared" si="84"/>
        <v>1.0257521120300428E-3</v>
      </c>
      <c r="BV494" s="749">
        <v>42321</v>
      </c>
      <c r="BW494">
        <f t="shared" si="85"/>
        <v>0.97206392527316243</v>
      </c>
      <c r="BX494">
        <f t="shared" si="86"/>
        <v>0.92475376676512178</v>
      </c>
    </row>
    <row r="495" spans="1:76" x14ac:dyDescent="0.3">
      <c r="A495" s="749">
        <v>42314</v>
      </c>
      <c r="B495">
        <v>30700</v>
      </c>
      <c r="C495">
        <v>676.46900000000005</v>
      </c>
      <c r="D495">
        <v>27440</v>
      </c>
      <c r="E495">
        <v>16.45</v>
      </c>
      <c r="F495">
        <v>4707.2299999999996</v>
      </c>
      <c r="G495">
        <v>1857.57</v>
      </c>
      <c r="H495">
        <v>683.63</v>
      </c>
      <c r="I495">
        <v>249.41</v>
      </c>
      <c r="J495">
        <v>1569.58</v>
      </c>
      <c r="K495">
        <v>20100000</v>
      </c>
      <c r="L495">
        <v>2099.1999999999998</v>
      </c>
      <c r="AO495" s="749">
        <v>42314</v>
      </c>
      <c r="AP495">
        <v>4707.2299999999996</v>
      </c>
      <c r="AQ495">
        <v>1857.57</v>
      </c>
      <c r="AR495">
        <f t="shared" si="77"/>
        <v>1.0816742497357414</v>
      </c>
      <c r="AS495">
        <f t="shared" si="78"/>
        <v>0.94771078436374401</v>
      </c>
      <c r="BF495" s="749">
        <v>42314</v>
      </c>
      <c r="BG495">
        <v>4707.2299999999996</v>
      </c>
      <c r="BH495">
        <v>30700</v>
      </c>
      <c r="BI495">
        <v>676.46900000000005</v>
      </c>
      <c r="BJ495">
        <v>16.45</v>
      </c>
      <c r="BK495">
        <v>2099.1999999999998</v>
      </c>
      <c r="BL495">
        <v>683.63</v>
      </c>
      <c r="BM495">
        <v>1569.58</v>
      </c>
      <c r="BN495" s="14">
        <f t="shared" si="87"/>
        <v>1.256230062187691E-2</v>
      </c>
      <c r="BO495" s="14">
        <f t="shared" si="79"/>
        <v>-4.3613707165109039E-2</v>
      </c>
      <c r="BP495" s="14">
        <f t="shared" si="80"/>
        <v>2.1059082257511852E-2</v>
      </c>
      <c r="BQ495" s="14">
        <f t="shared" si="81"/>
        <v>-6.6425120772946045E-3</v>
      </c>
      <c r="BR495" s="14">
        <f t="shared" si="82"/>
        <v>9.541397353031611E-3</v>
      </c>
      <c r="BS495" s="14">
        <f t="shared" si="83"/>
        <v>2.4341246682404449E-3</v>
      </c>
      <c r="BT495" s="14">
        <f t="shared" si="84"/>
        <v>2.8239924352779777E-3</v>
      </c>
      <c r="BV495" s="749">
        <v>42314</v>
      </c>
      <c r="BW495">
        <f t="shared" si="85"/>
        <v>1.0086585494767391</v>
      </c>
      <c r="BX495">
        <f t="shared" si="86"/>
        <v>0.97181534518624091</v>
      </c>
    </row>
    <row r="496" spans="1:76" x14ac:dyDescent="0.3">
      <c r="A496" s="749">
        <v>42307</v>
      </c>
      <c r="B496">
        <v>32100</v>
      </c>
      <c r="C496">
        <v>662.51700000000005</v>
      </c>
      <c r="D496">
        <v>25780</v>
      </c>
      <c r="E496">
        <v>16.559999999999999</v>
      </c>
      <c r="F496">
        <v>4648.83</v>
      </c>
      <c r="G496">
        <v>1855.72</v>
      </c>
      <c r="H496">
        <v>681.97</v>
      </c>
      <c r="I496">
        <v>249.41</v>
      </c>
      <c r="J496">
        <v>1565.16</v>
      </c>
      <c r="K496">
        <v>31870000</v>
      </c>
      <c r="L496">
        <v>2079.36</v>
      </c>
      <c r="AO496" s="749">
        <v>42307</v>
      </c>
      <c r="AP496">
        <v>4648.83</v>
      </c>
      <c r="AQ496">
        <v>1855.72</v>
      </c>
      <c r="AR496">
        <f t="shared" si="77"/>
        <v>1.068254515372949</v>
      </c>
      <c r="AS496">
        <f t="shared" si="78"/>
        <v>0.94676693570604986</v>
      </c>
      <c r="BF496" s="749">
        <v>42307</v>
      </c>
      <c r="BG496">
        <v>4648.83</v>
      </c>
      <c r="BH496">
        <v>32100</v>
      </c>
      <c r="BI496">
        <v>662.51700000000005</v>
      </c>
      <c r="BJ496">
        <v>16.559999999999999</v>
      </c>
      <c r="BK496">
        <v>2079.36</v>
      </c>
      <c r="BL496">
        <v>681.97</v>
      </c>
      <c r="BM496">
        <v>1565.16</v>
      </c>
      <c r="BN496" s="14">
        <f t="shared" si="87"/>
        <v>5.350241885430318E-3</v>
      </c>
      <c r="BO496" s="14">
        <f t="shared" si="79"/>
        <v>-0.11080332409972304</v>
      </c>
      <c r="BP496" s="14">
        <f t="shared" si="80"/>
        <v>-3.0999894692501972E-2</v>
      </c>
      <c r="BQ496" s="14">
        <f t="shared" si="81"/>
        <v>-3.9443155452436152E-2</v>
      </c>
      <c r="BR496" s="14">
        <f t="shared" si="82"/>
        <v>2.0287690046503215E-3</v>
      </c>
      <c r="BS496" s="14">
        <f t="shared" si="83"/>
        <v>3.5204553122203386E-4</v>
      </c>
      <c r="BT496" s="14">
        <f t="shared" si="84"/>
        <v>1.0954657021056802E-2</v>
      </c>
      <c r="BV496" s="749">
        <v>42307</v>
      </c>
      <c r="BW496">
        <f t="shared" si="85"/>
        <v>0.99912549611278234</v>
      </c>
      <c r="BX496">
        <f t="shared" si="86"/>
        <v>0.95177190240314458</v>
      </c>
    </row>
    <row r="497" spans="1:76" x14ac:dyDescent="0.3">
      <c r="A497" s="749">
        <v>42300</v>
      </c>
      <c r="B497">
        <v>36100</v>
      </c>
      <c r="C497">
        <v>683.71199999999999</v>
      </c>
      <c r="D497">
        <v>25300</v>
      </c>
      <c r="E497">
        <v>17.239999999999998</v>
      </c>
      <c r="F497">
        <v>4624.09</v>
      </c>
      <c r="G497">
        <v>1839.9</v>
      </c>
      <c r="H497">
        <v>681.73</v>
      </c>
      <c r="I497">
        <v>247.37</v>
      </c>
      <c r="J497">
        <v>1548.2</v>
      </c>
      <c r="K497">
        <v>14040000</v>
      </c>
      <c r="L497">
        <v>2075.15</v>
      </c>
      <c r="AO497" s="749">
        <v>42300</v>
      </c>
      <c r="AP497">
        <v>4624.09</v>
      </c>
      <c r="AQ497">
        <v>1839.9</v>
      </c>
      <c r="AR497">
        <f t="shared" si="77"/>
        <v>1.0625695114665197</v>
      </c>
      <c r="AS497">
        <f t="shared" si="78"/>
        <v>0.93869575421160589</v>
      </c>
      <c r="BF497" s="749">
        <v>42300</v>
      </c>
      <c r="BG497">
        <v>4624.09</v>
      </c>
      <c r="BH497">
        <v>36100</v>
      </c>
      <c r="BI497">
        <v>683.71199999999999</v>
      </c>
      <c r="BJ497">
        <v>17.239999999999998</v>
      </c>
      <c r="BK497">
        <v>2075.15</v>
      </c>
      <c r="BL497">
        <v>681.73</v>
      </c>
      <c r="BM497">
        <v>1548.2</v>
      </c>
      <c r="BN497" s="14">
        <f t="shared" si="87"/>
        <v>4.1785509910738039E-2</v>
      </c>
      <c r="BO497" s="14">
        <f t="shared" si="79"/>
        <v>-3.8615179760319585E-2</v>
      </c>
      <c r="BP497" s="14">
        <f t="shared" si="80"/>
        <v>4.7619339476643763E-2</v>
      </c>
      <c r="BQ497" s="14">
        <f t="shared" si="81"/>
        <v>-6.810810810810819E-2</v>
      </c>
      <c r="BR497" s="14">
        <f t="shared" si="82"/>
        <v>2.0677680991190828E-2</v>
      </c>
      <c r="BS497" s="14">
        <f t="shared" si="83"/>
        <v>1.001525993747876E-2</v>
      </c>
      <c r="BT497" s="14">
        <f t="shared" si="84"/>
        <v>6.5469108592901559E-3</v>
      </c>
      <c r="BV497" s="749">
        <v>42300</v>
      </c>
      <c r="BW497">
        <f t="shared" si="85"/>
        <v>0.99710260525278938</v>
      </c>
      <c r="BX497">
        <f t="shared" si="86"/>
        <v>0.98222063876981069</v>
      </c>
    </row>
    <row r="498" spans="1:76" x14ac:dyDescent="0.3">
      <c r="A498" s="749">
        <v>42293</v>
      </c>
      <c r="B498">
        <v>37550</v>
      </c>
      <c r="C498">
        <v>652.63400000000001</v>
      </c>
      <c r="D498">
        <v>25400</v>
      </c>
      <c r="E498">
        <v>18.5</v>
      </c>
      <c r="F498">
        <v>4438.62</v>
      </c>
      <c r="G498">
        <v>1828.19</v>
      </c>
      <c r="H498">
        <v>674.97</v>
      </c>
      <c r="I498">
        <v>246.02</v>
      </c>
      <c r="J498">
        <v>1538.13</v>
      </c>
      <c r="K498">
        <v>18020000</v>
      </c>
      <c r="L498">
        <v>2033.11</v>
      </c>
      <c r="AO498" s="749">
        <v>42293</v>
      </c>
      <c r="AP498">
        <v>4438.62</v>
      </c>
      <c r="AQ498">
        <v>1828.19</v>
      </c>
      <c r="AR498">
        <f t="shared" si="77"/>
        <v>1.0199503653660553</v>
      </c>
      <c r="AS498">
        <f t="shared" si="78"/>
        <v>0.93272144730263362</v>
      </c>
      <c r="BF498" s="749">
        <v>42293</v>
      </c>
      <c r="BG498">
        <v>4438.62</v>
      </c>
      <c r="BH498">
        <v>37550</v>
      </c>
      <c r="BI498">
        <v>652.63400000000001</v>
      </c>
      <c r="BJ498">
        <v>18.5</v>
      </c>
      <c r="BK498">
        <v>2033.11</v>
      </c>
      <c r="BL498">
        <v>674.97</v>
      </c>
      <c r="BM498">
        <v>1538.13</v>
      </c>
      <c r="BN498" s="14">
        <f t="shared" si="87"/>
        <v>1.5700192905736987E-2</v>
      </c>
      <c r="BO498" s="14">
        <f t="shared" si="79"/>
        <v>8.6830680173661356E-2</v>
      </c>
      <c r="BP498" s="14">
        <f t="shared" si="80"/>
        <v>3.6739919873678861E-2</v>
      </c>
      <c r="BQ498" s="14">
        <f t="shared" si="81"/>
        <v>1.8722466960352513E-2</v>
      </c>
      <c r="BR498" s="14">
        <f t="shared" si="82"/>
        <v>9.0426772677416611E-3</v>
      </c>
      <c r="BS498" s="14">
        <f t="shared" si="83"/>
        <v>-1.6680749395413752E-2</v>
      </c>
      <c r="BT498" s="14">
        <f t="shared" si="84"/>
        <v>4.7665429281749105E-2</v>
      </c>
      <c r="BV498" s="749">
        <v>42293</v>
      </c>
      <c r="BW498">
        <f t="shared" si="85"/>
        <v>0.97690252645134013</v>
      </c>
      <c r="BX498">
        <f t="shared" si="86"/>
        <v>0.93757398489846122</v>
      </c>
    </row>
    <row r="499" spans="1:76" x14ac:dyDescent="0.3">
      <c r="A499" s="749">
        <v>42286</v>
      </c>
      <c r="B499">
        <v>34550</v>
      </c>
      <c r="C499">
        <v>629.50599999999997</v>
      </c>
      <c r="D499">
        <v>22380</v>
      </c>
      <c r="E499">
        <v>18.16</v>
      </c>
      <c r="F499">
        <v>4370.01</v>
      </c>
      <c r="G499">
        <v>1755.09</v>
      </c>
      <c r="H499">
        <v>686.42</v>
      </c>
      <c r="I499">
        <v>237.15</v>
      </c>
      <c r="J499">
        <v>1468.15</v>
      </c>
      <c r="K499">
        <v>10880000</v>
      </c>
      <c r="L499">
        <v>2014.89</v>
      </c>
      <c r="AO499" s="749">
        <v>42286</v>
      </c>
      <c r="AP499">
        <v>4370.01</v>
      </c>
      <c r="AQ499">
        <v>1755.09</v>
      </c>
      <c r="AR499">
        <f t="shared" si="77"/>
        <v>1.004184475389494</v>
      </c>
      <c r="AS499">
        <f t="shared" si="78"/>
        <v>0.89542667061212411</v>
      </c>
      <c r="BF499" s="749">
        <v>42286</v>
      </c>
      <c r="BG499">
        <v>4370.01</v>
      </c>
      <c r="BH499">
        <v>34550</v>
      </c>
      <c r="BI499">
        <v>629.50599999999997</v>
      </c>
      <c r="BJ499">
        <v>18.16</v>
      </c>
      <c r="BK499">
        <v>2014.89</v>
      </c>
      <c r="BL499">
        <v>686.42</v>
      </c>
      <c r="BM499">
        <v>1468.15</v>
      </c>
      <c r="BN499" s="14">
        <f t="shared" si="87"/>
        <v>2.403308767530965E-2</v>
      </c>
      <c r="BO499" s="14">
        <f t="shared" si="79"/>
        <v>5.8224163027655873E-3</v>
      </c>
      <c r="BP499" s="14">
        <f t="shared" si="80"/>
        <v>3.4594063343835302E-2</v>
      </c>
      <c r="BQ499" s="14">
        <f t="shared" si="81"/>
        <v>0.14142049025769965</v>
      </c>
      <c r="BR499" s="14">
        <f t="shared" si="82"/>
        <v>3.2556780911774386E-2</v>
      </c>
      <c r="BS499" s="14">
        <f t="shared" si="83"/>
        <v>5.448952687856945E-3</v>
      </c>
      <c r="BT499" s="14">
        <f t="shared" si="84"/>
        <v>1.7760462520710174E-2</v>
      </c>
      <c r="BV499" s="749">
        <v>42286</v>
      </c>
      <c r="BW499">
        <f t="shared" si="85"/>
        <v>0.96814787764633536</v>
      </c>
      <c r="BX499">
        <f t="shared" si="86"/>
        <v>0.9043483007895553</v>
      </c>
    </row>
    <row r="500" spans="1:76" x14ac:dyDescent="0.3">
      <c r="A500" s="749">
        <v>42279</v>
      </c>
      <c r="B500">
        <v>34350</v>
      </c>
      <c r="C500">
        <v>608.45699999999999</v>
      </c>
      <c r="D500">
        <v>22240</v>
      </c>
      <c r="E500">
        <v>15.91</v>
      </c>
      <c r="F500">
        <v>4267.45</v>
      </c>
      <c r="G500">
        <v>1727.87</v>
      </c>
      <c r="H500">
        <v>682.7</v>
      </c>
      <c r="I500">
        <v>233.79</v>
      </c>
      <c r="J500">
        <v>1442.53</v>
      </c>
      <c r="K500">
        <v>13170000</v>
      </c>
      <c r="L500">
        <v>1951.36</v>
      </c>
      <c r="AO500" s="749">
        <v>42279</v>
      </c>
      <c r="AP500">
        <v>4267.45</v>
      </c>
      <c r="AQ500">
        <v>1727.87</v>
      </c>
      <c r="AR500">
        <f t="shared" si="77"/>
        <v>0.98061721586469963</v>
      </c>
      <c r="AS500">
        <f t="shared" si="78"/>
        <v>0.88153934063242956</v>
      </c>
      <c r="BF500" s="749">
        <v>42279</v>
      </c>
      <c r="BG500">
        <v>4267.45</v>
      </c>
      <c r="BH500">
        <v>34350</v>
      </c>
      <c r="BI500">
        <v>608.45699999999999</v>
      </c>
      <c r="BJ500">
        <v>15.91</v>
      </c>
      <c r="BK500">
        <v>1951.36</v>
      </c>
      <c r="BL500">
        <v>682.7</v>
      </c>
      <c r="BM500">
        <v>1442.53</v>
      </c>
      <c r="BN500" s="14">
        <f t="shared" si="87"/>
        <v>1.0109497862590411E-2</v>
      </c>
      <c r="BO500" s="14">
        <f t="shared" si="79"/>
        <v>-3.9160839160839123E-2</v>
      </c>
      <c r="BP500" s="14">
        <f t="shared" si="80"/>
        <v>2.6280368913567109E-2</v>
      </c>
      <c r="BQ500" s="14">
        <f t="shared" si="81"/>
        <v>6.7069081153588117E-2</v>
      </c>
      <c r="BR500" s="14">
        <f t="shared" si="82"/>
        <v>1.0365859972868652E-2</v>
      </c>
      <c r="BS500" s="14">
        <f t="shared" si="83"/>
        <v>-1.0837752470369888E-2</v>
      </c>
      <c r="BT500" s="14">
        <f t="shared" si="84"/>
        <v>-3.0036309844002185E-2</v>
      </c>
      <c r="BV500" s="749">
        <v>42279</v>
      </c>
      <c r="BW500">
        <f t="shared" si="85"/>
        <v>0.93762192602273708</v>
      </c>
      <c r="BX500">
        <f t="shared" si="86"/>
        <v>0.87410930801852638</v>
      </c>
    </row>
    <row r="501" spans="1:76" x14ac:dyDescent="0.3">
      <c r="A501" s="749">
        <v>42272</v>
      </c>
      <c r="B501">
        <v>35750</v>
      </c>
      <c r="C501">
        <v>592.87599999999998</v>
      </c>
      <c r="D501">
        <v>23800</v>
      </c>
      <c r="E501">
        <v>14.91</v>
      </c>
      <c r="F501">
        <v>4224.74</v>
      </c>
      <c r="G501">
        <v>1783.72</v>
      </c>
      <c r="H501">
        <v>690.18</v>
      </c>
      <c r="I501">
        <v>241.12</v>
      </c>
      <c r="J501">
        <v>1487.2</v>
      </c>
      <c r="K501">
        <v>17920000</v>
      </c>
      <c r="L501">
        <v>1931.34</v>
      </c>
      <c r="AO501" s="749">
        <v>42272</v>
      </c>
      <c r="AP501">
        <v>4224.74</v>
      </c>
      <c r="AQ501">
        <v>1783.72</v>
      </c>
      <c r="AR501">
        <f t="shared" si="77"/>
        <v>0.9708028861620478</v>
      </c>
      <c r="AS501">
        <f t="shared" si="78"/>
        <v>0.91003336632552068</v>
      </c>
      <c r="BF501" s="749">
        <v>42272</v>
      </c>
      <c r="BG501">
        <v>4224.74</v>
      </c>
      <c r="BH501">
        <v>35750</v>
      </c>
      <c r="BI501">
        <v>592.87599999999998</v>
      </c>
      <c r="BJ501">
        <v>14.91</v>
      </c>
      <c r="BK501">
        <v>1931.34</v>
      </c>
      <c r="BL501">
        <v>690.18</v>
      </c>
      <c r="BM501">
        <v>1487.2</v>
      </c>
      <c r="BN501" s="14">
        <f t="shared" si="87"/>
        <v>-2.2923961460361797E-2</v>
      </c>
      <c r="BO501" s="14">
        <f t="shared" si="79"/>
        <v>2.1428571428571352E-2</v>
      </c>
      <c r="BP501" s="14">
        <f t="shared" si="80"/>
        <v>-2.9260888714967015E-2</v>
      </c>
      <c r="BQ501" s="14">
        <f t="shared" si="81"/>
        <v>-3.8064516129032278E-2</v>
      </c>
      <c r="BR501" s="14">
        <f t="shared" si="82"/>
        <v>-1.363104753246891E-2</v>
      </c>
      <c r="BS501" s="14">
        <f t="shared" si="83"/>
        <v>3.031931568811852E-2</v>
      </c>
      <c r="BT501" s="14">
        <f t="shared" si="84"/>
        <v>3.5899864870512443E-2</v>
      </c>
      <c r="BV501" s="749">
        <v>42272</v>
      </c>
      <c r="BW501">
        <f t="shared" si="85"/>
        <v>0.92800238326334106</v>
      </c>
      <c r="BX501">
        <f t="shared" si="86"/>
        <v>0.85172564388410665</v>
      </c>
    </row>
    <row r="502" spans="1:76" x14ac:dyDescent="0.3">
      <c r="A502" s="749">
        <v>42265</v>
      </c>
      <c r="B502">
        <v>35000</v>
      </c>
      <c r="C502">
        <v>610.74699999999996</v>
      </c>
      <c r="D502">
        <v>22300</v>
      </c>
      <c r="E502">
        <v>15.5</v>
      </c>
      <c r="F502">
        <v>4323.8599999999997</v>
      </c>
      <c r="G502">
        <v>1729.2</v>
      </c>
      <c r="H502">
        <v>669.87</v>
      </c>
      <c r="I502">
        <v>233.74</v>
      </c>
      <c r="J502">
        <v>1435.66</v>
      </c>
      <c r="K502">
        <v>12480000</v>
      </c>
      <c r="L502">
        <v>1958.03</v>
      </c>
      <c r="AO502" s="749">
        <v>42265</v>
      </c>
      <c r="AP502">
        <v>4323.8599999999997</v>
      </c>
      <c r="AQ502">
        <v>1729.2</v>
      </c>
      <c r="AR502">
        <f t="shared" si="77"/>
        <v>0.99357966818328036</v>
      </c>
      <c r="AS502">
        <f t="shared" si="78"/>
        <v>0.88221789128904227</v>
      </c>
      <c r="BF502" s="749">
        <v>42265</v>
      </c>
      <c r="BG502">
        <v>4323.8599999999997</v>
      </c>
      <c r="BH502">
        <v>35000</v>
      </c>
      <c r="BI502">
        <v>610.74699999999996</v>
      </c>
      <c r="BJ502">
        <v>15.5</v>
      </c>
      <c r="BK502">
        <v>1958.03</v>
      </c>
      <c r="BL502">
        <v>669.87</v>
      </c>
      <c r="BM502">
        <v>1435.66</v>
      </c>
      <c r="BN502" s="14">
        <f t="shared" si="87"/>
        <v>1.457243773752559E-4</v>
      </c>
      <c r="BO502" s="14">
        <f t="shared" si="79"/>
        <v>4.3041606886657924E-3</v>
      </c>
      <c r="BP502" s="14">
        <f t="shared" si="80"/>
        <v>-8.224912798061812E-3</v>
      </c>
      <c r="BQ502" s="14">
        <f t="shared" si="81"/>
        <v>-7.7380952380952439E-2</v>
      </c>
      <c r="BR502" s="14">
        <f t="shared" si="82"/>
        <v>-1.5399913311746616E-3</v>
      </c>
      <c r="BS502" s="14">
        <f t="shared" si="83"/>
        <v>2.9856253363056195E-2</v>
      </c>
      <c r="BT502" s="14">
        <f t="shared" si="84"/>
        <v>1.9652128211137931E-2</v>
      </c>
      <c r="BV502" s="749">
        <v>42265</v>
      </c>
      <c r="BW502">
        <f t="shared" si="85"/>
        <v>0.94082683862039806</v>
      </c>
      <c r="BX502">
        <f t="shared" si="86"/>
        <v>0.87739912195009828</v>
      </c>
    </row>
    <row r="503" spans="1:76" x14ac:dyDescent="0.3">
      <c r="A503" s="749">
        <v>42258</v>
      </c>
      <c r="B503">
        <v>34850</v>
      </c>
      <c r="C503">
        <v>615.81200000000001</v>
      </c>
      <c r="D503">
        <v>22580</v>
      </c>
      <c r="E503">
        <v>16.8</v>
      </c>
      <c r="F503">
        <v>4323.2299999999996</v>
      </c>
      <c r="G503">
        <v>1689.63</v>
      </c>
      <c r="H503">
        <v>650.45000000000005</v>
      </c>
      <c r="I503">
        <v>227.9</v>
      </c>
      <c r="J503">
        <v>1407.99</v>
      </c>
      <c r="K503">
        <v>21670000</v>
      </c>
      <c r="L503">
        <v>1961.05</v>
      </c>
      <c r="AO503" s="749">
        <v>42258</v>
      </c>
      <c r="AP503">
        <v>4323.2299999999996</v>
      </c>
      <c r="AQ503">
        <v>1689.63</v>
      </c>
      <c r="AR503">
        <f t="shared" si="77"/>
        <v>0.99343490050094196</v>
      </c>
      <c r="AS503">
        <f t="shared" si="78"/>
        <v>0.86202973378365977</v>
      </c>
      <c r="BF503" s="749">
        <v>42258</v>
      </c>
      <c r="BG503">
        <v>4323.2299999999996</v>
      </c>
      <c r="BH503">
        <v>34850</v>
      </c>
      <c r="BI503">
        <v>615.81200000000001</v>
      </c>
      <c r="BJ503">
        <v>16.8</v>
      </c>
      <c r="BK503">
        <v>1961.05</v>
      </c>
      <c r="BL503">
        <v>650.45000000000005</v>
      </c>
      <c r="BM503">
        <v>1407.99</v>
      </c>
      <c r="BN503" s="14">
        <f t="shared" si="87"/>
        <v>3.3098988701752985E-2</v>
      </c>
      <c r="BO503" s="14">
        <f t="shared" si="79"/>
        <v>-5.555555555555558E-2</v>
      </c>
      <c r="BP503" s="14">
        <f t="shared" si="80"/>
        <v>3.0437299831666209E-2</v>
      </c>
      <c r="BQ503" s="14">
        <f t="shared" si="81"/>
        <v>-1.1890606420926764E-3</v>
      </c>
      <c r="BR503" s="14">
        <f t="shared" si="82"/>
        <v>2.0731618450775979E-2</v>
      </c>
      <c r="BS503" s="14">
        <f t="shared" si="83"/>
        <v>-5.4523518809233118E-2</v>
      </c>
      <c r="BT503" s="14">
        <f t="shared" si="84"/>
        <v>-8.7648897524711389E-3</v>
      </c>
      <c r="BV503" s="749">
        <v>42258</v>
      </c>
      <c r="BW503">
        <f t="shared" si="85"/>
        <v>0.94227793847721009</v>
      </c>
      <c r="BX503">
        <f t="shared" si="86"/>
        <v>0.88467550079874968</v>
      </c>
    </row>
    <row r="504" spans="1:76" x14ac:dyDescent="0.3">
      <c r="A504" s="749">
        <v>42251</v>
      </c>
      <c r="B504">
        <v>36900</v>
      </c>
      <c r="C504">
        <v>597.62199999999996</v>
      </c>
      <c r="D504">
        <v>21620</v>
      </c>
      <c r="E504">
        <v>16.82</v>
      </c>
      <c r="F504">
        <v>4184.72</v>
      </c>
      <c r="G504">
        <v>1714.86</v>
      </c>
      <c r="H504">
        <v>687.96</v>
      </c>
      <c r="I504">
        <v>232.35</v>
      </c>
      <c r="J504">
        <v>1420.44</v>
      </c>
      <c r="K504">
        <v>41400000</v>
      </c>
      <c r="L504">
        <v>1921.22</v>
      </c>
      <c r="AO504" s="749">
        <v>42251</v>
      </c>
      <c r="AP504">
        <v>4184.72</v>
      </c>
      <c r="AQ504">
        <v>1714.86</v>
      </c>
      <c r="AR504">
        <f t="shared" si="77"/>
        <v>0.9616066914839837</v>
      </c>
      <c r="AS504">
        <f t="shared" si="78"/>
        <v>0.87490178872075341</v>
      </c>
      <c r="BF504" s="749">
        <v>42251</v>
      </c>
      <c r="BG504">
        <v>4184.72</v>
      </c>
      <c r="BH504">
        <v>36900</v>
      </c>
      <c r="BI504">
        <v>597.62199999999996</v>
      </c>
      <c r="BJ504">
        <v>16.82</v>
      </c>
      <c r="BK504">
        <v>1921.22</v>
      </c>
      <c r="BL504">
        <v>687.96</v>
      </c>
      <c r="BM504">
        <v>1420.44</v>
      </c>
      <c r="BN504" s="14">
        <f t="shared" si="87"/>
        <v>-3.3355508740806394E-2</v>
      </c>
      <c r="BO504" s="14">
        <f t="shared" si="79"/>
        <v>0.15312499999999996</v>
      </c>
      <c r="BP504" s="14">
        <f t="shared" si="80"/>
        <v>-2.6526819208772756E-2</v>
      </c>
      <c r="BQ504" s="14">
        <f t="shared" si="81"/>
        <v>5.3884711779448535E-2</v>
      </c>
      <c r="BR504" s="14">
        <f t="shared" si="82"/>
        <v>-3.4014289521185348E-2</v>
      </c>
      <c r="BS504" s="14">
        <f t="shared" si="83"/>
        <v>9.7137389362889959E-2</v>
      </c>
      <c r="BT504" s="14">
        <f t="shared" si="84"/>
        <v>1.2993681447989625E-2</v>
      </c>
      <c r="BV504" s="749">
        <v>42251</v>
      </c>
      <c r="BW504">
        <f t="shared" si="85"/>
        <v>0.92313975725309694</v>
      </c>
      <c r="BX504">
        <f t="shared" si="86"/>
        <v>0.85854374734229</v>
      </c>
    </row>
    <row r="505" spans="1:76" x14ac:dyDescent="0.3">
      <c r="A505" s="749">
        <v>42244</v>
      </c>
      <c r="B505">
        <v>32000</v>
      </c>
      <c r="C505">
        <v>613.90700000000004</v>
      </c>
      <c r="D505">
        <v>22020</v>
      </c>
      <c r="E505">
        <v>15.96</v>
      </c>
      <c r="F505">
        <v>4329.12</v>
      </c>
      <c r="G505">
        <v>1681.35</v>
      </c>
      <c r="H505">
        <v>627.04999999999995</v>
      </c>
      <c r="I505">
        <v>227.14</v>
      </c>
      <c r="J505">
        <v>1402.22</v>
      </c>
      <c r="K505">
        <v>28000000</v>
      </c>
      <c r="L505">
        <v>1988.87</v>
      </c>
      <c r="AO505" s="749">
        <v>42244</v>
      </c>
      <c r="AP505">
        <v>4329.12</v>
      </c>
      <c r="AQ505">
        <v>1681.35</v>
      </c>
      <c r="AR505">
        <f t="shared" si="77"/>
        <v>0.99478836343581956</v>
      </c>
      <c r="AS505">
        <f t="shared" si="78"/>
        <v>0.85780537330489881</v>
      </c>
      <c r="BF505" s="749">
        <v>42244</v>
      </c>
      <c r="BG505">
        <v>4329.12</v>
      </c>
      <c r="BH505">
        <v>32000</v>
      </c>
      <c r="BI505">
        <v>613.90700000000004</v>
      </c>
      <c r="BJ505">
        <v>15.96</v>
      </c>
      <c r="BK505">
        <v>1988.87</v>
      </c>
      <c r="BL505">
        <v>627.04999999999995</v>
      </c>
      <c r="BM505">
        <v>1402.22</v>
      </c>
      <c r="BN505" s="14">
        <f t="shared" si="87"/>
        <v>3.141327577210884E-2</v>
      </c>
      <c r="BO505" s="14">
        <f t="shared" si="79"/>
        <v>-0.13279132791327908</v>
      </c>
      <c r="BP505" s="14">
        <f t="shared" si="80"/>
        <v>6.103243379640988E-2</v>
      </c>
      <c r="BQ505" s="14">
        <f t="shared" si="81"/>
        <v>9.8417068134893482E-2</v>
      </c>
      <c r="BR505" s="14">
        <f t="shared" si="82"/>
        <v>9.1227820933688086E-3</v>
      </c>
      <c r="BS505" s="14">
        <f t="shared" si="83"/>
        <v>-0.14262469919054921</v>
      </c>
      <c r="BT505" s="14">
        <f t="shared" si="84"/>
        <v>-3.27115697690461E-2</v>
      </c>
      <c r="BV505" s="749">
        <v>42244</v>
      </c>
      <c r="BW505">
        <f t="shared" si="85"/>
        <v>0.9556453550389683</v>
      </c>
      <c r="BX505">
        <f t="shared" si="86"/>
        <v>0.88193877785567354</v>
      </c>
    </row>
    <row r="506" spans="1:76" x14ac:dyDescent="0.3">
      <c r="A506" s="749">
        <v>42237</v>
      </c>
      <c r="B506">
        <v>36900</v>
      </c>
      <c r="C506">
        <v>578.59400000000005</v>
      </c>
      <c r="D506">
        <v>22800</v>
      </c>
      <c r="E506">
        <v>14.53</v>
      </c>
      <c r="F506">
        <v>4197.2700000000004</v>
      </c>
      <c r="G506">
        <v>1749.68</v>
      </c>
      <c r="H506">
        <v>731.36</v>
      </c>
      <c r="I506">
        <v>237.32</v>
      </c>
      <c r="J506">
        <v>1449.64</v>
      </c>
      <c r="K506">
        <v>9800000</v>
      </c>
      <c r="L506">
        <v>1970.89</v>
      </c>
      <c r="AO506" s="749">
        <v>42237</v>
      </c>
      <c r="AP506">
        <v>4197.2700000000004</v>
      </c>
      <c r="AQ506">
        <v>1749.68</v>
      </c>
      <c r="AR506">
        <f t="shared" si="77"/>
        <v>0.96449055563215225</v>
      </c>
      <c r="AS506">
        <f t="shared" si="78"/>
        <v>0.89266655102394832</v>
      </c>
      <c r="BF506" s="749">
        <v>42237</v>
      </c>
      <c r="BG506">
        <v>4197.2700000000004</v>
      </c>
      <c r="BH506">
        <v>36900</v>
      </c>
      <c r="BI506">
        <v>578.59400000000005</v>
      </c>
      <c r="BJ506">
        <v>14.53</v>
      </c>
      <c r="BK506">
        <v>1970.89</v>
      </c>
      <c r="BL506">
        <v>731.36</v>
      </c>
      <c r="BM506">
        <v>1449.64</v>
      </c>
      <c r="BN506" s="14">
        <f t="shared" si="87"/>
        <v>-7.3601663304449061E-2</v>
      </c>
      <c r="BO506" s="14">
        <f t="shared" si="79"/>
        <v>1.9337016574585641E-2</v>
      </c>
      <c r="BP506" s="14">
        <f t="shared" si="80"/>
        <v>-8.3113326846707469E-2</v>
      </c>
      <c r="BQ506" s="14">
        <f t="shared" si="81"/>
        <v>-0.14277286135693212</v>
      </c>
      <c r="BR506" s="14">
        <f t="shared" si="82"/>
        <v>-5.7684768161259115E-2</v>
      </c>
      <c r="BS506" s="14">
        <f t="shared" si="83"/>
        <v>-2.6786783589934693E-2</v>
      </c>
      <c r="BT506" s="14">
        <f t="shared" si="84"/>
        <v>-5.6247599187838615E-3</v>
      </c>
      <c r="BV506" s="749">
        <v>42237</v>
      </c>
      <c r="BW506">
        <f t="shared" si="85"/>
        <v>0.94700602542788237</v>
      </c>
      <c r="BX506">
        <f t="shared" si="86"/>
        <v>0.83120812311087111</v>
      </c>
    </row>
    <row r="507" spans="1:76" x14ac:dyDescent="0.3">
      <c r="A507" s="749">
        <v>42230</v>
      </c>
      <c r="B507">
        <v>36200</v>
      </c>
      <c r="C507">
        <v>631.04200000000003</v>
      </c>
      <c r="D507">
        <v>22720</v>
      </c>
      <c r="E507">
        <v>16.95</v>
      </c>
      <c r="F507">
        <v>4530.74</v>
      </c>
      <c r="G507">
        <v>1765.98</v>
      </c>
      <c r="H507">
        <v>751.49</v>
      </c>
      <c r="I507">
        <v>239.79</v>
      </c>
      <c r="J507">
        <v>1457.84</v>
      </c>
      <c r="K507">
        <v>20140000</v>
      </c>
      <c r="L507">
        <v>2091.54</v>
      </c>
      <c r="AO507" s="749">
        <v>42230</v>
      </c>
      <c r="AP507">
        <v>4530.74</v>
      </c>
      <c r="AQ507">
        <v>1765.98</v>
      </c>
      <c r="AR507">
        <f t="shared" si="77"/>
        <v>1.0411186175835285</v>
      </c>
      <c r="AS507">
        <f t="shared" si="78"/>
        <v>0.90098262298092924</v>
      </c>
      <c r="BF507" s="749">
        <v>42230</v>
      </c>
      <c r="BG507">
        <v>4530.74</v>
      </c>
      <c r="BH507">
        <v>36200</v>
      </c>
      <c r="BI507">
        <v>631.04200000000003</v>
      </c>
      <c r="BJ507">
        <v>16.95</v>
      </c>
      <c r="BK507">
        <v>2091.54</v>
      </c>
      <c r="BL507">
        <v>751.49</v>
      </c>
      <c r="BM507">
        <v>1457.84</v>
      </c>
      <c r="BN507" s="14">
        <f t="shared" si="87"/>
        <v>2.3583653386665127E-3</v>
      </c>
      <c r="BO507" s="14">
        <f t="shared" si="79"/>
        <v>-2.425876010781669E-2</v>
      </c>
      <c r="BP507" s="14">
        <f t="shared" si="80"/>
        <v>-9.0778756420543116E-3</v>
      </c>
      <c r="BQ507" s="14">
        <f t="shared" si="81"/>
        <v>-8.0802603036876475E-2</v>
      </c>
      <c r="BR507" s="14">
        <f t="shared" si="82"/>
        <v>6.7242018319477737E-3</v>
      </c>
      <c r="BS507" s="14">
        <f t="shared" si="83"/>
        <v>3.6452155683667664E-2</v>
      </c>
      <c r="BT507" s="14">
        <f t="shared" si="84"/>
        <v>-2.9290931729956116E-2</v>
      </c>
      <c r="BV507" s="749">
        <v>42230</v>
      </c>
      <c r="BW507">
        <f t="shared" si="85"/>
        <v>1.0049779452041632</v>
      </c>
      <c r="BX507">
        <f t="shared" si="86"/>
        <v>0.90655491834365776</v>
      </c>
    </row>
    <row r="508" spans="1:76" x14ac:dyDescent="0.3">
      <c r="A508" s="749">
        <v>42223</v>
      </c>
      <c r="B508">
        <v>37100</v>
      </c>
      <c r="C508">
        <v>636.82299999999998</v>
      </c>
      <c r="D508">
        <v>23700</v>
      </c>
      <c r="E508">
        <v>18.440000000000001</v>
      </c>
      <c r="F508">
        <v>4520.08</v>
      </c>
      <c r="G508">
        <v>1807.71</v>
      </c>
      <c r="H508">
        <v>725.06</v>
      </c>
      <c r="I508">
        <v>244.3</v>
      </c>
      <c r="J508">
        <v>1501.83</v>
      </c>
      <c r="K508">
        <v>27240000</v>
      </c>
      <c r="L508">
        <v>2077.5700000000002</v>
      </c>
      <c r="AO508" s="749">
        <v>42223</v>
      </c>
      <c r="AP508">
        <v>4520.08</v>
      </c>
      <c r="AQ508">
        <v>1807.71</v>
      </c>
      <c r="AR508">
        <f t="shared" si="77"/>
        <v>1.0386690564823751</v>
      </c>
      <c r="AS508">
        <f t="shared" si="78"/>
        <v>0.92227278756772757</v>
      </c>
      <c r="BF508" s="749">
        <v>42223</v>
      </c>
      <c r="BG508">
        <v>4520.08</v>
      </c>
      <c r="BH508">
        <v>37100</v>
      </c>
      <c r="BI508">
        <v>636.82299999999998</v>
      </c>
      <c r="BJ508">
        <v>18.440000000000001</v>
      </c>
      <c r="BK508">
        <v>2077.5700000000002</v>
      </c>
      <c r="BL508">
        <v>725.06</v>
      </c>
      <c r="BM508">
        <v>1501.83</v>
      </c>
      <c r="BN508" s="14">
        <f t="shared" si="87"/>
        <v>-1.4999204604143501E-2</v>
      </c>
      <c r="BO508" s="14">
        <f t="shared" si="79"/>
        <v>-3.7613488975356657E-2</v>
      </c>
      <c r="BP508" s="14">
        <f t="shared" si="80"/>
        <v>-1.4643649028991845E-2</v>
      </c>
      <c r="BQ508" s="14">
        <f t="shared" si="81"/>
        <v>-3.7817396002161052E-3</v>
      </c>
      <c r="BR508" s="14">
        <f t="shared" si="82"/>
        <v>-1.2486691003118056E-2</v>
      </c>
      <c r="BS508" s="14">
        <f t="shared" si="83"/>
        <v>-6.5957282353850566E-2</v>
      </c>
      <c r="BT508" s="14">
        <f t="shared" si="84"/>
        <v>4.1521242026718586E-3</v>
      </c>
      <c r="BV508" s="749">
        <v>42223</v>
      </c>
      <c r="BW508">
        <f t="shared" si="85"/>
        <v>0.99826540712480438</v>
      </c>
      <c r="BX508">
        <f t="shared" si="86"/>
        <v>0.914859902770914</v>
      </c>
    </row>
    <row r="509" spans="1:76" x14ac:dyDescent="0.3">
      <c r="A509" s="749">
        <v>42216</v>
      </c>
      <c r="B509">
        <v>38550</v>
      </c>
      <c r="C509">
        <v>646.28700000000003</v>
      </c>
      <c r="D509">
        <v>24580</v>
      </c>
      <c r="E509">
        <v>18.510000000000002</v>
      </c>
      <c r="F509">
        <v>4588.91</v>
      </c>
      <c r="G509">
        <v>1800.52</v>
      </c>
      <c r="H509">
        <v>776.26</v>
      </c>
      <c r="I509">
        <v>244.91</v>
      </c>
      <c r="J509">
        <v>1495.62</v>
      </c>
      <c r="K509">
        <v>20680000</v>
      </c>
      <c r="L509">
        <v>2103.84</v>
      </c>
      <c r="AO509" s="749">
        <v>42216</v>
      </c>
      <c r="AP509">
        <v>4588.91</v>
      </c>
      <c r="AQ509">
        <v>1800.52</v>
      </c>
      <c r="AR509">
        <f t="shared" si="77"/>
        <v>1.0544855002527689</v>
      </c>
      <c r="AS509">
        <f t="shared" si="78"/>
        <v>0.91860453251431085</v>
      </c>
      <c r="BF509" s="749">
        <v>42216</v>
      </c>
      <c r="BG509">
        <v>4588.91</v>
      </c>
      <c r="BH509">
        <v>38550</v>
      </c>
      <c r="BI509">
        <v>646.28700000000003</v>
      </c>
      <c r="BJ509">
        <v>18.510000000000002</v>
      </c>
      <c r="BK509">
        <v>2103.84</v>
      </c>
      <c r="BL509">
        <v>776.26</v>
      </c>
      <c r="BM509">
        <v>1495.62</v>
      </c>
      <c r="BN509" s="14">
        <f t="shared" si="87"/>
        <v>6.9184487578388687E-3</v>
      </c>
      <c r="BO509" s="14">
        <f t="shared" si="79"/>
        <v>-3.5043804755944929E-2</v>
      </c>
      <c r="BP509" s="14">
        <f t="shared" si="80"/>
        <v>5.9301733758563291E-3</v>
      </c>
      <c r="BQ509" s="14">
        <f t="shared" si="81"/>
        <v>9.2693565976009751E-3</v>
      </c>
      <c r="BR509" s="14">
        <f t="shared" si="82"/>
        <v>1.1631764960450042E-2</v>
      </c>
      <c r="BS509" s="14">
        <f t="shared" si="83"/>
        <v>3.9186270579258942E-3</v>
      </c>
      <c r="BT509" s="14">
        <f t="shared" si="84"/>
        <v>-2.250253259697399E-2</v>
      </c>
      <c r="BV509" s="749">
        <v>42216</v>
      </c>
      <c r="BW509">
        <f t="shared" si="85"/>
        <v>1.0108880538925034</v>
      </c>
      <c r="BX509">
        <f t="shared" si="86"/>
        <v>0.9284558848881177</v>
      </c>
    </row>
    <row r="510" spans="1:76" x14ac:dyDescent="0.3">
      <c r="A510" s="749">
        <v>42209</v>
      </c>
      <c r="B510">
        <v>39950</v>
      </c>
      <c r="C510">
        <v>642.47699999999998</v>
      </c>
      <c r="D510">
        <v>26100</v>
      </c>
      <c r="E510">
        <v>18.34</v>
      </c>
      <c r="F510">
        <v>4557.38</v>
      </c>
      <c r="G510">
        <v>1843.69</v>
      </c>
      <c r="H510">
        <v>773.23</v>
      </c>
      <c r="I510">
        <v>250.23</v>
      </c>
      <c r="J510">
        <v>1530.05</v>
      </c>
      <c r="K510">
        <v>32900000</v>
      </c>
      <c r="L510">
        <v>2079.65</v>
      </c>
      <c r="AO510" s="749">
        <v>42209</v>
      </c>
      <c r="AP510">
        <v>4557.38</v>
      </c>
      <c r="AQ510">
        <v>1843.69</v>
      </c>
      <c r="AR510">
        <f t="shared" si="77"/>
        <v>1.0472402224366928</v>
      </c>
      <c r="AS510">
        <f t="shared" si="78"/>
        <v>0.94062936848871981</v>
      </c>
      <c r="BF510" s="749">
        <v>42209</v>
      </c>
      <c r="BG510">
        <v>4557.38</v>
      </c>
      <c r="BH510">
        <v>39950</v>
      </c>
      <c r="BI510">
        <v>642.47699999999998</v>
      </c>
      <c r="BJ510">
        <v>18.34</v>
      </c>
      <c r="BK510">
        <v>2079.65</v>
      </c>
      <c r="BL510">
        <v>773.23</v>
      </c>
      <c r="BM510">
        <v>1530.05</v>
      </c>
      <c r="BN510" s="14">
        <f t="shared" si="87"/>
        <v>-2.235713059893607E-2</v>
      </c>
      <c r="BO510" s="14">
        <f t="shared" si="79"/>
        <v>-2.2031823745410017E-2</v>
      </c>
      <c r="BP510" s="14">
        <f t="shared" si="80"/>
        <v>-3.6845537474421097E-2</v>
      </c>
      <c r="BQ510" s="14">
        <f t="shared" si="81"/>
        <v>-8.8469184890656138E-2</v>
      </c>
      <c r="BR510" s="14">
        <f t="shared" si="82"/>
        <v>-2.2095888349697113E-2</v>
      </c>
      <c r="BS510" s="14">
        <f t="shared" si="83"/>
        <v>5.8175498138822057E-2</v>
      </c>
      <c r="BT510" s="14">
        <f t="shared" si="84"/>
        <v>8.6091536529575574E-3</v>
      </c>
      <c r="BV510" s="749">
        <v>42209</v>
      </c>
      <c r="BW510">
        <f t="shared" si="85"/>
        <v>0.9992648401387676</v>
      </c>
      <c r="BX510">
        <f t="shared" si="86"/>
        <v>0.9229824390019653</v>
      </c>
    </row>
    <row r="511" spans="1:76" x14ac:dyDescent="0.3">
      <c r="A511" s="749">
        <v>42202</v>
      </c>
      <c r="B511">
        <v>40850</v>
      </c>
      <c r="C511">
        <v>667.05499999999995</v>
      </c>
      <c r="D511">
        <v>25180</v>
      </c>
      <c r="E511">
        <v>20.12</v>
      </c>
      <c r="F511">
        <v>4661.6000000000004</v>
      </c>
      <c r="G511">
        <v>1823.2</v>
      </c>
      <c r="H511">
        <v>730.72</v>
      </c>
      <c r="I511">
        <v>246.83</v>
      </c>
      <c r="J511">
        <v>1516.99</v>
      </c>
      <c r="K511">
        <v>16810000</v>
      </c>
      <c r="L511">
        <v>2126.64</v>
      </c>
      <c r="AO511" s="749">
        <v>42202</v>
      </c>
      <c r="AP511">
        <v>4661.6000000000004</v>
      </c>
      <c r="AQ511">
        <v>1823.2</v>
      </c>
      <c r="AR511">
        <f t="shared" si="77"/>
        <v>1.0711889333149502</v>
      </c>
      <c r="AS511">
        <f t="shared" si="78"/>
        <v>0.93017560686917755</v>
      </c>
      <c r="BF511" s="749">
        <v>42202</v>
      </c>
      <c r="BG511">
        <v>4661.6000000000004</v>
      </c>
      <c r="BH511">
        <v>40850</v>
      </c>
      <c r="BI511">
        <v>667.05499999999995</v>
      </c>
      <c r="BJ511">
        <v>20.12</v>
      </c>
      <c r="BK511">
        <v>2126.64</v>
      </c>
      <c r="BL511">
        <v>730.72</v>
      </c>
      <c r="BM511">
        <v>1516.99</v>
      </c>
      <c r="BN511" s="14">
        <f t="shared" si="87"/>
        <v>5.4624843048312943E-2</v>
      </c>
      <c r="BO511" s="14">
        <f t="shared" si="79"/>
        <v>-4.2203985932004695E-2</v>
      </c>
      <c r="BP511" s="14">
        <f t="shared" si="80"/>
        <v>1.2408955210288841E-2</v>
      </c>
      <c r="BQ511" s="14">
        <f t="shared" si="81"/>
        <v>0.14513375071144008</v>
      </c>
      <c r="BR511" s="14">
        <f t="shared" si="82"/>
        <v>2.4087218653388698E-2</v>
      </c>
      <c r="BS511" s="14">
        <f t="shared" si="83"/>
        <v>-5.0100096196344479E-2</v>
      </c>
      <c r="BT511" s="14">
        <f t="shared" si="84"/>
        <v>-2.9356248440369215E-2</v>
      </c>
      <c r="BV511" s="749">
        <v>42202</v>
      </c>
      <c r="BW511">
        <f t="shared" si="85"/>
        <v>1.0218433773147926</v>
      </c>
      <c r="BX511">
        <f t="shared" si="86"/>
        <v>0.95829119306754318</v>
      </c>
    </row>
    <row r="512" spans="1:76" x14ac:dyDescent="0.3">
      <c r="A512" s="749">
        <v>42195</v>
      </c>
      <c r="B512">
        <v>42650</v>
      </c>
      <c r="C512">
        <v>658.87900000000002</v>
      </c>
      <c r="D512">
        <v>25360</v>
      </c>
      <c r="E512">
        <v>17.57</v>
      </c>
      <c r="F512">
        <v>4420.1499999999996</v>
      </c>
      <c r="G512">
        <v>1878.94</v>
      </c>
      <c r="H512">
        <v>769.26</v>
      </c>
      <c r="I512">
        <v>254.66</v>
      </c>
      <c r="J512">
        <v>1562.87</v>
      </c>
      <c r="K512">
        <v>15110000</v>
      </c>
      <c r="L512">
        <v>2076.62</v>
      </c>
      <c r="AO512" s="749">
        <v>42195</v>
      </c>
      <c r="AP512">
        <v>4420.1499999999996</v>
      </c>
      <c r="AQ512">
        <v>1878.94</v>
      </c>
      <c r="AR512">
        <f t="shared" si="77"/>
        <v>1.0157061445838502</v>
      </c>
      <c r="AS512">
        <f t="shared" si="78"/>
        <v>0.95861351183127053</v>
      </c>
      <c r="BF512" s="749">
        <v>42195</v>
      </c>
      <c r="BG512">
        <v>4420.1499999999996</v>
      </c>
      <c r="BH512">
        <v>42650</v>
      </c>
      <c r="BI512">
        <v>658.87900000000002</v>
      </c>
      <c r="BJ512">
        <v>17.57</v>
      </c>
      <c r="BK512">
        <v>2076.62</v>
      </c>
      <c r="BL512">
        <v>769.26</v>
      </c>
      <c r="BM512">
        <v>1562.87</v>
      </c>
      <c r="BN512" s="14">
        <f t="shared" si="87"/>
        <v>-2.9864279930258419E-3</v>
      </c>
      <c r="BO512" s="14">
        <f t="shared" si="79"/>
        <v>1.5476190476190421E-2</v>
      </c>
      <c r="BP512" s="14">
        <f t="shared" si="80"/>
        <v>-3.8851252786238466E-2</v>
      </c>
      <c r="BQ512" s="14">
        <f t="shared" si="81"/>
        <v>-7.8657577346617713E-2</v>
      </c>
      <c r="BR512" s="14">
        <f t="shared" si="82"/>
        <v>-7.7042344398647877E-5</v>
      </c>
      <c r="BS512" s="14">
        <f t="shared" si="83"/>
        <v>2.4996668887408369E-2</v>
      </c>
      <c r="BT512" s="14">
        <f t="shared" si="84"/>
        <v>-4.0402495523226278E-3</v>
      </c>
      <c r="BV512" s="749">
        <v>42195</v>
      </c>
      <c r="BW512">
        <f t="shared" si="85"/>
        <v>0.99780893531554216</v>
      </c>
      <c r="BX512">
        <f t="shared" si="86"/>
        <v>0.94654555171185262</v>
      </c>
    </row>
    <row r="513" spans="1:76" x14ac:dyDescent="0.3">
      <c r="A513" s="749">
        <v>42188</v>
      </c>
      <c r="B513">
        <v>42000</v>
      </c>
      <c r="C513">
        <v>685.51199999999994</v>
      </c>
      <c r="D513">
        <v>25560</v>
      </c>
      <c r="E513">
        <v>19.07</v>
      </c>
      <c r="F513">
        <v>4433.3900000000003</v>
      </c>
      <c r="G513">
        <v>1883.07</v>
      </c>
      <c r="H513">
        <v>750.5</v>
      </c>
      <c r="I513">
        <v>254.48</v>
      </c>
      <c r="J513">
        <v>1569.21</v>
      </c>
      <c r="K513">
        <v>19420000</v>
      </c>
      <c r="L513">
        <v>2076.7800000000002</v>
      </c>
      <c r="AO513" s="749">
        <v>42188</v>
      </c>
      <c r="AP513">
        <v>4433.3900000000003</v>
      </c>
      <c r="AQ513">
        <v>1883.07</v>
      </c>
      <c r="AR513">
        <f t="shared" si="77"/>
        <v>1.0187485638126752</v>
      </c>
      <c r="AS513">
        <f t="shared" si="78"/>
        <v>0.96072059018601474</v>
      </c>
      <c r="BF513" s="749">
        <v>42188</v>
      </c>
      <c r="BG513">
        <v>4433.3900000000003</v>
      </c>
      <c r="BH513">
        <v>42000</v>
      </c>
      <c r="BI513">
        <v>685.51199999999994</v>
      </c>
      <c r="BJ513">
        <v>19.07</v>
      </c>
      <c r="BK513">
        <v>2076.7800000000002</v>
      </c>
      <c r="BL513">
        <v>750.5</v>
      </c>
      <c r="BM513">
        <v>1569.21</v>
      </c>
      <c r="BN513" s="14">
        <f t="shared" si="87"/>
        <v>-1.1348533097843894E-2</v>
      </c>
      <c r="BO513" s="14">
        <f t="shared" si="79"/>
        <v>-3.5591274397244521E-2</v>
      </c>
      <c r="BP513" s="14">
        <f t="shared" si="80"/>
        <v>-1.839317140087382E-2</v>
      </c>
      <c r="BQ513" s="14">
        <f t="shared" si="81"/>
        <v>-3.0010172939979651E-2</v>
      </c>
      <c r="BR513" s="14">
        <f t="shared" si="82"/>
        <v>-1.1758323855930564E-2</v>
      </c>
      <c r="BS513" s="14">
        <f t="shared" si="83"/>
        <v>2.8194870670758432E-2</v>
      </c>
      <c r="BT513" s="14">
        <f t="shared" si="84"/>
        <v>1.3374233128834456E-2</v>
      </c>
      <c r="BV513" s="749">
        <v>42188</v>
      </c>
      <c r="BW513">
        <f t="shared" si="85"/>
        <v>0.99788581477815486</v>
      </c>
      <c r="BX513">
        <f t="shared" si="86"/>
        <v>0.98480651871602443</v>
      </c>
    </row>
    <row r="514" spans="1:76" x14ac:dyDescent="0.3">
      <c r="A514" s="749">
        <v>42181</v>
      </c>
      <c r="B514">
        <v>43550</v>
      </c>
      <c r="C514">
        <v>698.35699999999997</v>
      </c>
      <c r="D514">
        <v>25320</v>
      </c>
      <c r="E514">
        <v>19.66</v>
      </c>
      <c r="F514">
        <v>4484.28</v>
      </c>
      <c r="G514">
        <v>1850.6</v>
      </c>
      <c r="H514">
        <v>729.92</v>
      </c>
      <c r="I514">
        <v>249.84</v>
      </c>
      <c r="J514">
        <v>1548.5</v>
      </c>
      <c r="K514">
        <v>17480000</v>
      </c>
      <c r="L514">
        <v>2101.4899999999998</v>
      </c>
      <c r="AO514" s="749">
        <v>42181</v>
      </c>
      <c r="AP514">
        <v>4484.28</v>
      </c>
      <c r="AQ514">
        <v>1850.6</v>
      </c>
      <c r="AR514">
        <f t="shared" si="77"/>
        <v>1.0304425754860056</v>
      </c>
      <c r="AS514">
        <f t="shared" si="78"/>
        <v>0.94415477077232324</v>
      </c>
      <c r="BF514" s="749">
        <v>42181</v>
      </c>
      <c r="BG514">
        <v>4484.28</v>
      </c>
      <c r="BH514">
        <v>43550</v>
      </c>
      <c r="BI514">
        <v>698.35699999999997</v>
      </c>
      <c r="BJ514">
        <v>19.66</v>
      </c>
      <c r="BK514">
        <v>2101.4899999999998</v>
      </c>
      <c r="BL514">
        <v>729.92</v>
      </c>
      <c r="BM514">
        <v>1548.5</v>
      </c>
      <c r="BN514" s="14">
        <f t="shared" si="87"/>
        <v>-6.4563014299577892E-3</v>
      </c>
      <c r="BO514" s="14">
        <f t="shared" si="79"/>
        <v>-6.4446831364124546E-2</v>
      </c>
      <c r="BP514" s="14">
        <f t="shared" si="80"/>
        <v>-3.4577096889692571E-2</v>
      </c>
      <c r="BQ514" s="14">
        <f t="shared" si="81"/>
        <v>-0.19656722517368197</v>
      </c>
      <c r="BR514" s="14">
        <f t="shared" si="82"/>
        <v>-4.0284551111616773E-3</v>
      </c>
      <c r="BS514" s="14">
        <f t="shared" si="83"/>
        <v>2.4592925322852288E-2</v>
      </c>
      <c r="BT514" s="14">
        <f t="shared" si="84"/>
        <v>-1.1572611273880984E-2</v>
      </c>
      <c r="BV514" s="749">
        <v>42181</v>
      </c>
      <c r="BW514">
        <f t="shared" si="85"/>
        <v>1.0097588867853813</v>
      </c>
      <c r="BX514">
        <f t="shared" si="86"/>
        <v>1.0032596453321994</v>
      </c>
    </row>
    <row r="515" spans="1:76" x14ac:dyDescent="0.3">
      <c r="A515" s="749">
        <v>42174</v>
      </c>
      <c r="B515">
        <v>46550</v>
      </c>
      <c r="C515">
        <v>723.36900000000003</v>
      </c>
      <c r="D515">
        <v>25540</v>
      </c>
      <c r="E515">
        <v>24.47</v>
      </c>
      <c r="F515">
        <v>4513.42</v>
      </c>
      <c r="G515">
        <v>1866.19</v>
      </c>
      <c r="H515">
        <v>712.4</v>
      </c>
      <c r="I515">
        <v>251.66</v>
      </c>
      <c r="J515">
        <v>1566.63</v>
      </c>
      <c r="K515">
        <v>11780000</v>
      </c>
      <c r="L515">
        <v>2109.9899999999998</v>
      </c>
      <c r="AO515" s="749">
        <v>42174</v>
      </c>
      <c r="AP515">
        <v>4513.42</v>
      </c>
      <c r="AQ515">
        <v>1866.19</v>
      </c>
      <c r="AR515">
        <f t="shared" ref="AR515:AR523" si="88">+AP515/$AP$524</f>
        <v>1.037138655269084</v>
      </c>
      <c r="AS515">
        <f t="shared" ref="AS515:AS523" si="89">+AQ515/$AQ$524</f>
        <v>0.95210860892013516</v>
      </c>
      <c r="BF515" s="749">
        <v>42174</v>
      </c>
      <c r="BG515">
        <v>4513.42</v>
      </c>
      <c r="BH515">
        <v>46550</v>
      </c>
      <c r="BI515">
        <v>723.36900000000003</v>
      </c>
      <c r="BJ515">
        <v>24.47</v>
      </c>
      <c r="BK515">
        <v>2109.9899999999998</v>
      </c>
      <c r="BL515">
        <v>712.4</v>
      </c>
      <c r="BM515">
        <v>1566.63</v>
      </c>
      <c r="BN515" s="14">
        <f t="shared" si="87"/>
        <v>1.3388597127390378E-2</v>
      </c>
      <c r="BO515" s="14">
        <f t="shared" ref="BO515:BO538" si="90">+BH515/BH516-1</f>
        <v>-5.0968399592252855E-2</v>
      </c>
      <c r="BP515" s="14">
        <f t="shared" ref="BP515:BP538" si="91">+BI515/BI516-1</f>
        <v>1.2941675640327333E-2</v>
      </c>
      <c r="BQ515" s="14">
        <f t="shared" ref="BQ515:BQ538" si="92">+BJ515/BJ516-1</f>
        <v>-2.626343016315158E-2</v>
      </c>
      <c r="BR515" s="14">
        <f t="shared" ref="BR515:BR538" si="93">+BK515/BK516-1</f>
        <v>7.5831737587803705E-3</v>
      </c>
      <c r="BS515" s="14">
        <f t="shared" ref="BS515:BS538" si="94">+BL515/BL516-1</f>
        <v>7.2532413364061465E-3</v>
      </c>
      <c r="BT515" s="14">
        <f t="shared" ref="BT515:BT538" si="95">+BM515/BM516-1</f>
        <v>-1.9274830664446352E-2</v>
      </c>
      <c r="BV515" s="749">
        <v>42174</v>
      </c>
      <c r="BW515">
        <f t="shared" ref="BW515:BW524" si="96">+L515/$L$524</f>
        <v>1.0138431082366735</v>
      </c>
      <c r="BX515">
        <f t="shared" ref="BX515:BX524" si="97">+C515/$C$524</f>
        <v>1.0391918837848089</v>
      </c>
    </row>
    <row r="516" spans="1:76" x14ac:dyDescent="0.3">
      <c r="A516" s="749">
        <v>42167</v>
      </c>
      <c r="B516">
        <v>49050</v>
      </c>
      <c r="C516">
        <v>714.12699999999995</v>
      </c>
      <c r="D516">
        <v>26820</v>
      </c>
      <c r="E516">
        <v>25.13</v>
      </c>
      <c r="F516">
        <v>4453.79</v>
      </c>
      <c r="G516">
        <v>1896.73</v>
      </c>
      <c r="H516">
        <v>707.27</v>
      </c>
      <c r="I516">
        <v>254.94</v>
      </c>
      <c r="J516">
        <v>1597.42</v>
      </c>
      <c r="K516">
        <v>14920000</v>
      </c>
      <c r="L516">
        <v>2094.11</v>
      </c>
      <c r="AO516" s="749">
        <v>42167</v>
      </c>
      <c r="AP516">
        <v>4453.79</v>
      </c>
      <c r="AQ516">
        <v>1896.73</v>
      </c>
      <c r="AR516">
        <f t="shared" si="88"/>
        <v>1.0234362792407738</v>
      </c>
      <c r="AS516">
        <f t="shared" si="89"/>
        <v>0.96768976459904288</v>
      </c>
      <c r="BF516" s="749">
        <v>42167</v>
      </c>
      <c r="BG516">
        <v>4453.79</v>
      </c>
      <c r="BH516">
        <v>49050</v>
      </c>
      <c r="BI516">
        <v>714.12699999999995</v>
      </c>
      <c r="BJ516">
        <v>25.13</v>
      </c>
      <c r="BK516">
        <v>2094.11</v>
      </c>
      <c r="BL516">
        <v>707.27</v>
      </c>
      <c r="BM516">
        <v>1597.42</v>
      </c>
      <c r="BN516" s="14">
        <f t="shared" ref="BN516:BN538" si="98">+BG516/BG517-1</f>
        <v>-5.2264925098107762E-3</v>
      </c>
      <c r="BO516" s="14">
        <f t="shared" si="90"/>
        <v>-4.0117416829745567E-2</v>
      </c>
      <c r="BP516" s="14">
        <f t="shared" si="91"/>
        <v>-1.6745400247009212E-2</v>
      </c>
      <c r="BQ516" s="14">
        <f t="shared" si="92"/>
        <v>-5.4907860097781147E-2</v>
      </c>
      <c r="BR516" s="14">
        <f t="shared" si="93"/>
        <v>6.1161202773285517E-4</v>
      </c>
      <c r="BS516" s="14">
        <f t="shared" si="94"/>
        <v>-5.7914786544651653E-3</v>
      </c>
      <c r="BT516" s="14">
        <f t="shared" si="95"/>
        <v>-1.8446148552327624E-2</v>
      </c>
      <c r="BV516" s="749">
        <v>42167</v>
      </c>
      <c r="BW516">
        <f t="shared" si="96"/>
        <v>1.0062128215723773</v>
      </c>
      <c r="BX516">
        <f t="shared" si="97"/>
        <v>1.0259148268609717</v>
      </c>
    </row>
    <row r="517" spans="1:76" x14ac:dyDescent="0.3">
      <c r="A517" s="749">
        <v>42160</v>
      </c>
      <c r="B517">
        <v>51100</v>
      </c>
      <c r="C517">
        <v>726.28899999999999</v>
      </c>
      <c r="D517">
        <v>26140</v>
      </c>
      <c r="E517">
        <v>26.59</v>
      </c>
      <c r="F517">
        <v>4477.1899999999996</v>
      </c>
      <c r="G517">
        <v>1936.97</v>
      </c>
      <c r="H517">
        <v>711.39</v>
      </c>
      <c r="I517">
        <v>260.39</v>
      </c>
      <c r="J517">
        <v>1627.44</v>
      </c>
      <c r="K517">
        <v>19060000</v>
      </c>
      <c r="L517">
        <v>2092.83</v>
      </c>
      <c r="AO517" s="749">
        <v>42160</v>
      </c>
      <c r="AP517">
        <v>4477.1899999999996</v>
      </c>
      <c r="AQ517">
        <v>1936.97</v>
      </c>
      <c r="AR517">
        <f t="shared" si="88"/>
        <v>1.0288133645847695</v>
      </c>
      <c r="AS517">
        <f t="shared" si="89"/>
        <v>0.98821974837504978</v>
      </c>
      <c r="BF517" s="749">
        <v>42160</v>
      </c>
      <c r="BG517">
        <v>4477.1899999999996</v>
      </c>
      <c r="BH517">
        <v>51100</v>
      </c>
      <c r="BI517">
        <v>726.28899999999999</v>
      </c>
      <c r="BJ517">
        <v>26.59</v>
      </c>
      <c r="BK517">
        <v>2092.83</v>
      </c>
      <c r="BL517">
        <v>711.39</v>
      </c>
      <c r="BM517">
        <v>1627.44</v>
      </c>
      <c r="BN517" s="14">
        <f t="shared" si="98"/>
        <v>-6.8895913048301338E-3</v>
      </c>
      <c r="BO517" s="14">
        <f t="shared" si="90"/>
        <v>6.792058516196442E-2</v>
      </c>
      <c r="BP517" s="14">
        <f t="shared" si="91"/>
        <v>-2.5649040525457245E-2</v>
      </c>
      <c r="BQ517" s="14">
        <f t="shared" si="92"/>
        <v>-4.7977085571070499E-2</v>
      </c>
      <c r="BR517" s="14">
        <f t="shared" si="93"/>
        <v>-6.90902016238093E-3</v>
      </c>
      <c r="BS517" s="14">
        <f t="shared" si="94"/>
        <v>-3.0131457241359128E-3</v>
      </c>
      <c r="BT517" s="14">
        <f t="shared" si="95"/>
        <v>-1.6919870730012998E-2</v>
      </c>
      <c r="BV517" s="749">
        <v>42160</v>
      </c>
      <c r="BW517">
        <f t="shared" si="96"/>
        <v>1.0055977858714769</v>
      </c>
      <c r="BX517">
        <f t="shared" si="97"/>
        <v>1.0433867556975556</v>
      </c>
    </row>
    <row r="518" spans="1:76" x14ac:dyDescent="0.3">
      <c r="A518" s="749">
        <v>42153</v>
      </c>
      <c r="B518">
        <v>47850</v>
      </c>
      <c r="C518">
        <v>745.40800000000002</v>
      </c>
      <c r="D518">
        <v>27000</v>
      </c>
      <c r="E518">
        <v>27.93</v>
      </c>
      <c r="F518">
        <v>4508.25</v>
      </c>
      <c r="G518">
        <v>1981.3</v>
      </c>
      <c r="H518">
        <v>713.54</v>
      </c>
      <c r="I518">
        <v>266.02999999999997</v>
      </c>
      <c r="J518">
        <v>1655.45</v>
      </c>
      <c r="K518">
        <v>11320000</v>
      </c>
      <c r="L518">
        <v>2107.39</v>
      </c>
      <c r="AO518" s="749">
        <v>42153</v>
      </c>
      <c r="AP518">
        <v>4508.25</v>
      </c>
      <c r="AQ518">
        <v>1981.3</v>
      </c>
      <c r="AR518">
        <f t="shared" si="88"/>
        <v>1.0359506411140218</v>
      </c>
      <c r="AS518">
        <f t="shared" si="89"/>
        <v>1.0108364029672561</v>
      </c>
      <c r="BF518" s="749">
        <v>42153</v>
      </c>
      <c r="BG518">
        <v>4508.25</v>
      </c>
      <c r="BH518">
        <v>47850</v>
      </c>
      <c r="BI518">
        <v>745.40800000000002</v>
      </c>
      <c r="BJ518">
        <v>27.93</v>
      </c>
      <c r="BK518">
        <v>2107.39</v>
      </c>
      <c r="BL518">
        <v>713.54</v>
      </c>
      <c r="BM518">
        <v>1655.45</v>
      </c>
      <c r="BN518" s="14">
        <f t="shared" si="98"/>
        <v>-4.1770116364342469E-3</v>
      </c>
      <c r="BO518" s="14">
        <f t="shared" si="90"/>
        <v>5.6291390728476776E-2</v>
      </c>
      <c r="BP518" s="14">
        <f t="shared" si="91"/>
        <v>3.500426271664181E-2</v>
      </c>
      <c r="BQ518" s="14">
        <f t="shared" si="92"/>
        <v>2.1953896816685026E-2</v>
      </c>
      <c r="BR518" s="14">
        <f t="shared" si="93"/>
        <v>-8.7815019331534128E-3</v>
      </c>
      <c r="BS518" s="14">
        <f t="shared" si="94"/>
        <v>1.1539552027218569E-2</v>
      </c>
      <c r="BT518" s="14">
        <f t="shared" si="95"/>
        <v>1.4847691619207515E-2</v>
      </c>
      <c r="BV518" s="749">
        <v>42153</v>
      </c>
      <c r="BW518">
        <f t="shared" si="96"/>
        <v>1.0125938169692195</v>
      </c>
      <c r="BX518">
        <f t="shared" si="97"/>
        <v>1.0708531105262553</v>
      </c>
    </row>
    <row r="519" spans="1:76" x14ac:dyDescent="0.3">
      <c r="A519" s="749">
        <v>42146</v>
      </c>
      <c r="B519">
        <v>45300</v>
      </c>
      <c r="C519">
        <v>720.19799999999998</v>
      </c>
      <c r="D519">
        <v>26520</v>
      </c>
      <c r="E519">
        <v>27.33</v>
      </c>
      <c r="F519">
        <v>4527.16</v>
      </c>
      <c r="G519">
        <v>1947.43</v>
      </c>
      <c r="H519">
        <v>705.4</v>
      </c>
      <c r="I519">
        <v>261.33</v>
      </c>
      <c r="J519">
        <v>1631.23</v>
      </c>
      <c r="K519">
        <v>8960000</v>
      </c>
      <c r="L519">
        <v>2126.06</v>
      </c>
      <c r="AO519" s="749">
        <v>42146</v>
      </c>
      <c r="AP519">
        <v>4527.16</v>
      </c>
      <c r="AQ519">
        <v>1947.43</v>
      </c>
      <c r="AR519">
        <f t="shared" si="88"/>
        <v>1.0402959694838916</v>
      </c>
      <c r="AS519">
        <f t="shared" si="89"/>
        <v>0.99355631970449887</v>
      </c>
      <c r="BF519" s="749">
        <v>42146</v>
      </c>
      <c r="BG519">
        <v>4527.16</v>
      </c>
      <c r="BH519">
        <v>45300</v>
      </c>
      <c r="BI519">
        <v>720.19799999999998</v>
      </c>
      <c r="BJ519">
        <v>27.33</v>
      </c>
      <c r="BK519">
        <v>2126.06</v>
      </c>
      <c r="BL519">
        <v>705.4</v>
      </c>
      <c r="BM519">
        <v>1631.23</v>
      </c>
      <c r="BN519" s="14">
        <f t="shared" si="98"/>
        <v>7.3137247485142165E-3</v>
      </c>
      <c r="BO519" s="14">
        <f t="shared" si="90"/>
        <v>-1.4145810663764968E-2</v>
      </c>
      <c r="BP519" s="14">
        <f t="shared" si="91"/>
        <v>1.5048180392123633E-2</v>
      </c>
      <c r="BQ519" s="14">
        <f t="shared" si="92"/>
        <v>3.7979491074819682E-2</v>
      </c>
      <c r="BR519" s="14">
        <f t="shared" si="93"/>
        <v>1.5687346011974412E-3</v>
      </c>
      <c r="BS519" s="14">
        <f t="shared" si="94"/>
        <v>3.4781205533306769E-2</v>
      </c>
      <c r="BT519" s="14">
        <f t="shared" si="95"/>
        <v>-4.7953437578167613E-3</v>
      </c>
      <c r="BV519" s="749">
        <v>42146</v>
      </c>
      <c r="BW519">
        <f t="shared" si="96"/>
        <v>1.0215646892628221</v>
      </c>
      <c r="BX519">
        <f t="shared" si="97"/>
        <v>1.0346364252795623</v>
      </c>
    </row>
    <row r="520" spans="1:76" x14ac:dyDescent="0.3">
      <c r="A520" s="749">
        <v>42139</v>
      </c>
      <c r="B520">
        <v>45950</v>
      </c>
      <c r="C520">
        <v>709.52099999999996</v>
      </c>
      <c r="D520">
        <v>26760</v>
      </c>
      <c r="E520">
        <v>26.33</v>
      </c>
      <c r="F520">
        <v>4494.29</v>
      </c>
      <c r="G520">
        <v>1947.82</v>
      </c>
      <c r="H520">
        <v>681.69</v>
      </c>
      <c r="I520">
        <v>260.81</v>
      </c>
      <c r="J520">
        <v>1639.09</v>
      </c>
      <c r="K520">
        <v>9370000</v>
      </c>
      <c r="L520">
        <v>2122.73</v>
      </c>
      <c r="AO520" s="749">
        <v>42139</v>
      </c>
      <c r="AP520">
        <v>4494.29</v>
      </c>
      <c r="AQ520">
        <v>1947.82</v>
      </c>
      <c r="AR520">
        <f t="shared" si="88"/>
        <v>1.0327427731053815</v>
      </c>
      <c r="AS520">
        <f t="shared" si="89"/>
        <v>0.99375529320531009</v>
      </c>
      <c r="BF520" s="749">
        <v>42139</v>
      </c>
      <c r="BG520">
        <v>4494.29</v>
      </c>
      <c r="BH520">
        <v>45950</v>
      </c>
      <c r="BI520">
        <v>709.52099999999996</v>
      </c>
      <c r="BJ520">
        <v>26.33</v>
      </c>
      <c r="BK520">
        <v>2122.73</v>
      </c>
      <c r="BL520">
        <v>681.69</v>
      </c>
      <c r="BM520">
        <v>1639.09</v>
      </c>
      <c r="BN520" s="14">
        <f t="shared" si="98"/>
        <v>7.9934509324572911E-3</v>
      </c>
      <c r="BO520" s="14">
        <f t="shared" si="90"/>
        <v>-4.3336944745395733E-3</v>
      </c>
      <c r="BP520" s="14">
        <f t="shared" si="91"/>
        <v>1.0526540669106854E-2</v>
      </c>
      <c r="BQ520" s="14">
        <f t="shared" si="92"/>
        <v>-3.1272994849153801E-2</v>
      </c>
      <c r="BR520" s="14">
        <f t="shared" si="93"/>
        <v>3.1331222532016145E-3</v>
      </c>
      <c r="BS520" s="14">
        <f t="shared" si="94"/>
        <v>-1.0623938694648727E-2</v>
      </c>
      <c r="BT520" s="14">
        <f t="shared" si="95"/>
        <v>-2.2110193001819711E-2</v>
      </c>
      <c r="BV520" s="749">
        <v>42139</v>
      </c>
      <c r="BW520">
        <f t="shared" si="96"/>
        <v>1.0199646354471983</v>
      </c>
      <c r="BX520">
        <f t="shared" si="97"/>
        <v>1.0192978473986047</v>
      </c>
    </row>
    <row r="521" spans="1:76" x14ac:dyDescent="0.3">
      <c r="A521" s="749">
        <v>42132</v>
      </c>
      <c r="B521">
        <v>46150</v>
      </c>
      <c r="C521">
        <v>702.13</v>
      </c>
      <c r="D521">
        <v>28200</v>
      </c>
      <c r="E521">
        <v>27.18</v>
      </c>
      <c r="F521">
        <v>4458.6499999999996</v>
      </c>
      <c r="G521">
        <v>1990.63</v>
      </c>
      <c r="H521">
        <v>689.01</v>
      </c>
      <c r="I521">
        <v>266.42</v>
      </c>
      <c r="J521">
        <v>1676.15</v>
      </c>
      <c r="K521">
        <v>10840000</v>
      </c>
      <c r="L521">
        <v>2116.1</v>
      </c>
      <c r="AO521" s="749">
        <v>42132</v>
      </c>
      <c r="AP521">
        <v>4458.6499999999996</v>
      </c>
      <c r="AQ521">
        <v>1990.63</v>
      </c>
      <c r="AR521">
        <f t="shared" si="88"/>
        <v>1.0245530585045268</v>
      </c>
      <c r="AS521">
        <f t="shared" si="89"/>
        <v>1.0155964613328163</v>
      </c>
      <c r="BF521" s="749">
        <v>42132</v>
      </c>
      <c r="BG521">
        <v>4458.6499999999996</v>
      </c>
      <c r="BH521">
        <v>46150</v>
      </c>
      <c r="BI521">
        <v>702.13</v>
      </c>
      <c r="BJ521">
        <v>27.18</v>
      </c>
      <c r="BK521">
        <v>2116.1</v>
      </c>
      <c r="BL521">
        <v>689.01</v>
      </c>
      <c r="BM521">
        <v>1676.15</v>
      </c>
      <c r="BN521" s="14">
        <f t="shared" si="98"/>
        <v>-4.5567596772538854E-3</v>
      </c>
      <c r="BO521" s="14">
        <f t="shared" si="90"/>
        <v>-2.2245762711864403E-2</v>
      </c>
      <c r="BP521" s="14">
        <f t="shared" si="91"/>
        <v>-4.7767540751240123E-3</v>
      </c>
      <c r="BQ521" s="14">
        <f t="shared" si="92"/>
        <v>-6.2435322525008607E-2</v>
      </c>
      <c r="BR521" s="14">
        <f t="shared" si="93"/>
        <v>3.7044239644450361E-3</v>
      </c>
      <c r="BS521" s="14">
        <f t="shared" si="94"/>
        <v>-2.5045603266062866E-3</v>
      </c>
      <c r="BT521" s="14">
        <f t="shared" si="95"/>
        <v>-2.0328125639272221E-2</v>
      </c>
      <c r="BV521" s="749">
        <v>42132</v>
      </c>
      <c r="BW521">
        <f t="shared" si="96"/>
        <v>1.0167789427151905</v>
      </c>
      <c r="BX521">
        <f t="shared" si="97"/>
        <v>1.0086799370194575</v>
      </c>
    </row>
    <row r="522" spans="1:76" x14ac:dyDescent="0.3">
      <c r="A522" s="749">
        <v>42125</v>
      </c>
      <c r="B522">
        <v>47200</v>
      </c>
      <c r="C522">
        <v>705.5</v>
      </c>
      <c r="D522">
        <v>28200</v>
      </c>
      <c r="E522">
        <v>28.99</v>
      </c>
      <c r="F522">
        <v>4479.0600000000004</v>
      </c>
      <c r="G522">
        <v>2026.15</v>
      </c>
      <c r="H522">
        <v>690.74</v>
      </c>
      <c r="I522">
        <v>271.05</v>
      </c>
      <c r="J522">
        <v>1710.93</v>
      </c>
      <c r="K522">
        <v>18840000</v>
      </c>
      <c r="L522">
        <v>2108.29</v>
      </c>
      <c r="AO522" s="749">
        <v>42125</v>
      </c>
      <c r="AP522">
        <v>4479.0600000000004</v>
      </c>
      <c r="AQ522">
        <v>2026.15</v>
      </c>
      <c r="AR522">
        <f t="shared" si="88"/>
        <v>1.0292430718323453</v>
      </c>
      <c r="AS522">
        <f t="shared" si="89"/>
        <v>1.033718355560544</v>
      </c>
      <c r="BF522" s="749">
        <v>42125</v>
      </c>
      <c r="BG522">
        <v>4479.0600000000004</v>
      </c>
      <c r="BH522">
        <v>47200</v>
      </c>
      <c r="BI522">
        <v>705.5</v>
      </c>
      <c r="BJ522">
        <v>28.99</v>
      </c>
      <c r="BK522">
        <v>2108.29</v>
      </c>
      <c r="BL522">
        <v>690.74</v>
      </c>
      <c r="BM522">
        <v>1710.93</v>
      </c>
      <c r="BN522" s="14">
        <f t="shared" si="98"/>
        <v>-1.2722679962440142E-2</v>
      </c>
      <c r="BO522" s="14">
        <f t="shared" si="90"/>
        <v>5.9483726150392879E-2</v>
      </c>
      <c r="BP522" s="14">
        <f t="shared" si="91"/>
        <v>1.6970652720738943E-2</v>
      </c>
      <c r="BQ522" s="14">
        <f t="shared" si="92"/>
        <v>-7.1917808219178481E-3</v>
      </c>
      <c r="BR522" s="14">
        <f t="shared" si="93"/>
        <v>-4.4387988799116096E-3</v>
      </c>
      <c r="BS522" s="14">
        <f t="shared" si="94"/>
        <v>-2.2860376290847362E-2</v>
      </c>
      <c r="BT522" s="14">
        <f t="shared" si="95"/>
        <v>1.3337992549202982E-2</v>
      </c>
      <c r="BV522" s="749">
        <v>42125</v>
      </c>
      <c r="BW522">
        <f t="shared" si="96"/>
        <v>1.0130262639464152</v>
      </c>
      <c r="BX522">
        <f t="shared" si="97"/>
        <v>1.0135212789187575</v>
      </c>
    </row>
    <row r="523" spans="1:76" x14ac:dyDescent="0.3">
      <c r="A523" s="749">
        <v>42118</v>
      </c>
      <c r="B523">
        <v>44550</v>
      </c>
      <c r="C523">
        <v>693.72699999999998</v>
      </c>
      <c r="D523">
        <v>29000</v>
      </c>
      <c r="E523">
        <v>29.2</v>
      </c>
      <c r="F523">
        <v>4536.78</v>
      </c>
      <c r="G523">
        <v>2003.39</v>
      </c>
      <c r="H523">
        <v>706.9</v>
      </c>
      <c r="I523">
        <v>268.27999999999997</v>
      </c>
      <c r="J523">
        <v>1688.41</v>
      </c>
      <c r="K523">
        <v>11890000</v>
      </c>
      <c r="L523">
        <v>2117.69</v>
      </c>
      <c r="AO523" s="749">
        <v>42118</v>
      </c>
      <c r="AP523">
        <v>4536.78</v>
      </c>
      <c r="AQ523">
        <v>2003.39</v>
      </c>
      <c r="AR523">
        <f t="shared" si="88"/>
        <v>1.0425065490142009</v>
      </c>
      <c r="AS523">
        <f t="shared" si="89"/>
        <v>1.0221064661285879</v>
      </c>
      <c r="BF523" s="749">
        <v>42118</v>
      </c>
      <c r="BG523">
        <v>4536.78</v>
      </c>
      <c r="BH523">
        <v>44550</v>
      </c>
      <c r="BI523">
        <v>693.72699999999998</v>
      </c>
      <c r="BJ523">
        <v>29.2</v>
      </c>
      <c r="BK523">
        <v>2117.69</v>
      </c>
      <c r="BL523">
        <v>706.9</v>
      </c>
      <c r="BM523">
        <v>1688.41</v>
      </c>
      <c r="BN523" s="14">
        <f t="shared" si="98"/>
        <v>4.2506549014200923E-2</v>
      </c>
      <c r="BO523" s="14">
        <f t="shared" si="90"/>
        <v>2.1788990825688082E-2</v>
      </c>
      <c r="BP523" s="14">
        <f t="shared" si="91"/>
        <v>-3.391812529450311E-3</v>
      </c>
      <c r="BQ523" s="14">
        <f t="shared" si="92"/>
        <v>4.2112776588151268E-2</v>
      </c>
      <c r="BR523" s="14">
        <f t="shared" si="93"/>
        <v>1.7542932374902787E-2</v>
      </c>
      <c r="BS523" s="14">
        <f t="shared" si="94"/>
        <v>3.6479868625553413E-2</v>
      </c>
      <c r="BT523" s="14">
        <f t="shared" si="95"/>
        <v>1.842122723735895E-2</v>
      </c>
      <c r="BV523" s="749">
        <v>42118</v>
      </c>
      <c r="BW523">
        <f t="shared" si="96"/>
        <v>1.0175429323749028</v>
      </c>
      <c r="BX523">
        <f t="shared" si="97"/>
        <v>0.99660818747054969</v>
      </c>
    </row>
    <row r="524" spans="1:76" x14ac:dyDescent="0.3">
      <c r="A524" s="749">
        <v>42111</v>
      </c>
      <c r="B524">
        <v>43600</v>
      </c>
      <c r="C524">
        <v>696.08799999999997</v>
      </c>
      <c r="D524">
        <v>29800</v>
      </c>
      <c r="E524">
        <v>28.02</v>
      </c>
      <c r="F524">
        <v>4351.8</v>
      </c>
      <c r="G524">
        <v>1960.06</v>
      </c>
      <c r="H524">
        <v>682.02</v>
      </c>
      <c r="I524">
        <v>261.95</v>
      </c>
      <c r="J524">
        <v>1657.87</v>
      </c>
      <c r="K524">
        <v>23870000</v>
      </c>
      <c r="L524">
        <v>2081.1799999999998</v>
      </c>
      <c r="AO524" s="749">
        <v>42111</v>
      </c>
      <c r="AP524">
        <v>4351.8</v>
      </c>
      <c r="AQ524">
        <v>1960.06</v>
      </c>
      <c r="AR524">
        <f>+AP524/$AP$524</f>
        <v>1</v>
      </c>
      <c r="AS524">
        <f>+AQ524/$AQ$524</f>
        <v>1</v>
      </c>
      <c r="BF524" s="749">
        <v>42111</v>
      </c>
      <c r="BG524">
        <v>4351.8</v>
      </c>
      <c r="BH524">
        <v>43600</v>
      </c>
      <c r="BI524">
        <v>696.08799999999997</v>
      </c>
      <c r="BJ524">
        <v>28.02</v>
      </c>
      <c r="BK524">
        <v>2081.1799999999998</v>
      </c>
      <c r="BL524">
        <v>682.02</v>
      </c>
      <c r="BM524">
        <v>1657.87</v>
      </c>
      <c r="BN524" s="14">
        <f t="shared" si="98"/>
        <v>-1.5879620625867896E-2</v>
      </c>
      <c r="BO524" s="14">
        <f t="shared" si="90"/>
        <v>-1.3574660633484115E-2</v>
      </c>
      <c r="BP524" s="14" t="e">
        <f t="shared" si="91"/>
        <v>#DIV/0!</v>
      </c>
      <c r="BQ524" s="14">
        <f t="shared" si="92"/>
        <v>0</v>
      </c>
      <c r="BR524" s="14">
        <f t="shared" si="93"/>
        <v>-9.9331132317822535E-3</v>
      </c>
      <c r="BS524" s="14">
        <f t="shared" si="94"/>
        <v>3.6441553704942065E-2</v>
      </c>
      <c r="BT524" s="14">
        <f t="shared" si="95"/>
        <v>1.9581434536878106E-2</v>
      </c>
      <c r="BV524" s="749">
        <v>42111</v>
      </c>
      <c r="BW524">
        <f t="shared" si="96"/>
        <v>1</v>
      </c>
      <c r="BX524">
        <f t="shared" si="97"/>
        <v>1</v>
      </c>
    </row>
    <row r="525" spans="1:76" x14ac:dyDescent="0.3">
      <c r="B525">
        <v>44200</v>
      </c>
      <c r="D525">
        <v>28680</v>
      </c>
      <c r="E525">
        <v>28.02</v>
      </c>
      <c r="F525">
        <v>4422.0200000000004</v>
      </c>
      <c r="G525">
        <v>1921.4</v>
      </c>
      <c r="H525">
        <v>658.04</v>
      </c>
      <c r="I525">
        <v>256.75</v>
      </c>
      <c r="J525">
        <v>1626.03</v>
      </c>
      <c r="K525">
        <v>13210000</v>
      </c>
      <c r="L525">
        <v>2102.06</v>
      </c>
      <c r="AP525">
        <v>4422.0200000000004</v>
      </c>
      <c r="BG525">
        <v>4422.0200000000004</v>
      </c>
      <c r="BH525">
        <v>44200</v>
      </c>
      <c r="BJ525">
        <v>28.02</v>
      </c>
      <c r="BK525">
        <v>2102.06</v>
      </c>
      <c r="BL525">
        <v>658.04</v>
      </c>
      <c r="BM525">
        <v>1626.03</v>
      </c>
      <c r="BN525" s="14">
        <f t="shared" si="98"/>
        <v>2.4562037622711808E-2</v>
      </c>
      <c r="BO525" s="14">
        <f t="shared" si="90"/>
        <v>-3.4934497816593857E-2</v>
      </c>
      <c r="BP525" s="14" t="e">
        <f t="shared" si="91"/>
        <v>#DIV/0!</v>
      </c>
      <c r="BQ525" s="14">
        <f t="shared" si="92"/>
        <v>4.8456501403180363E-2</v>
      </c>
      <c r="BR525" s="14">
        <f t="shared" si="93"/>
        <v>1.6981460695901118E-2</v>
      </c>
      <c r="BS525" s="14">
        <f t="shared" si="94"/>
        <v>2.7994750984190464E-2</v>
      </c>
      <c r="BT525" s="14">
        <f t="shared" si="95"/>
        <v>-2.6558551485561521E-3</v>
      </c>
    </row>
    <row r="526" spans="1:76" x14ac:dyDescent="0.3">
      <c r="B526">
        <v>45800</v>
      </c>
      <c r="D526">
        <v>28420</v>
      </c>
      <c r="E526">
        <v>26.725000000000001</v>
      </c>
      <c r="F526">
        <v>4316.01</v>
      </c>
      <c r="G526">
        <v>1915.39</v>
      </c>
      <c r="H526">
        <v>640.12</v>
      </c>
      <c r="I526">
        <v>255.54</v>
      </c>
      <c r="J526">
        <v>1630.36</v>
      </c>
      <c r="K526">
        <v>16730000</v>
      </c>
      <c r="L526">
        <v>2066.96</v>
      </c>
      <c r="AP526">
        <v>4316.01</v>
      </c>
      <c r="BG526">
        <v>4316.01</v>
      </c>
      <c r="BH526">
        <v>45800</v>
      </c>
      <c r="BJ526">
        <v>26.725000000000001</v>
      </c>
      <c r="BK526">
        <v>2066.96</v>
      </c>
      <c r="BL526">
        <v>640.12</v>
      </c>
      <c r="BM526">
        <v>1630.36</v>
      </c>
      <c r="BN526" s="14">
        <f t="shared" si="98"/>
        <v>-3.8888863245061245E-3</v>
      </c>
      <c r="BO526" s="14">
        <f t="shared" si="90"/>
        <v>-2.2411953041622246E-2</v>
      </c>
      <c r="BP526" s="14" t="e">
        <f t="shared" si="91"/>
        <v>#DIV/0!</v>
      </c>
      <c r="BQ526" s="14">
        <f t="shared" si="92"/>
        <v>1.8744142455482393E-3</v>
      </c>
      <c r="BR526" s="14">
        <f t="shared" si="93"/>
        <v>2.882068102201929E-3</v>
      </c>
      <c r="BS526" s="14">
        <f t="shared" si="94"/>
        <v>6.2492188476426236E-5</v>
      </c>
      <c r="BT526" s="14">
        <f t="shared" si="95"/>
        <v>-1.8423080628070632E-2</v>
      </c>
    </row>
    <row r="527" spans="1:76" x14ac:dyDescent="0.3">
      <c r="B527">
        <v>46850</v>
      </c>
      <c r="D527">
        <v>29280</v>
      </c>
      <c r="E527">
        <v>26.675000000000001</v>
      </c>
      <c r="F527">
        <v>4332.8599999999997</v>
      </c>
      <c r="G527">
        <v>1942.19</v>
      </c>
      <c r="H527">
        <v>640.08000000000004</v>
      </c>
      <c r="I527">
        <v>258.7</v>
      </c>
      <c r="J527">
        <v>1660.96</v>
      </c>
      <c r="K527">
        <v>13540000</v>
      </c>
      <c r="L527">
        <v>2061.02</v>
      </c>
      <c r="AP527">
        <v>4332.8599999999997</v>
      </c>
      <c r="BG527">
        <v>4332.8599999999997</v>
      </c>
      <c r="BH527">
        <v>46850</v>
      </c>
      <c r="BJ527">
        <v>26.675000000000001</v>
      </c>
      <c r="BK527">
        <v>2061.02</v>
      </c>
      <c r="BL527">
        <v>640.08000000000004</v>
      </c>
      <c r="BM527">
        <v>1660.96</v>
      </c>
      <c r="BN527" s="14">
        <f t="shared" si="98"/>
        <v>-2.8188599855558216E-2</v>
      </c>
      <c r="BO527" s="14">
        <f t="shared" si="90"/>
        <v>6.2358276643990962E-2</v>
      </c>
      <c r="BP527" s="14" t="e">
        <f t="shared" si="91"/>
        <v>#DIV/0!</v>
      </c>
      <c r="BQ527" s="14">
        <f t="shared" si="92"/>
        <v>-6.9909344490934444E-2</v>
      </c>
      <c r="BR527" s="14">
        <f t="shared" si="93"/>
        <v>-2.2332906408614406E-2</v>
      </c>
      <c r="BS527" s="14">
        <f t="shared" si="94"/>
        <v>9.1919590067008894E-3</v>
      </c>
      <c r="BT527" s="14">
        <f t="shared" si="95"/>
        <v>2.141895174432551E-2</v>
      </c>
    </row>
    <row r="528" spans="1:76" x14ac:dyDescent="0.3">
      <c r="B528">
        <v>44100</v>
      </c>
      <c r="D528">
        <v>29140</v>
      </c>
      <c r="E528">
        <v>28.68</v>
      </c>
      <c r="F528">
        <v>4458.54</v>
      </c>
      <c r="G528">
        <v>1895.59</v>
      </c>
      <c r="H528">
        <v>634.25</v>
      </c>
      <c r="I528">
        <v>252.18</v>
      </c>
      <c r="J528">
        <v>1626.13</v>
      </c>
      <c r="K528">
        <v>18830000</v>
      </c>
      <c r="L528">
        <v>2108.1</v>
      </c>
      <c r="AP528">
        <v>4458.54</v>
      </c>
      <c r="BG528">
        <v>4458.54</v>
      </c>
      <c r="BH528">
        <v>44100</v>
      </c>
      <c r="BJ528">
        <v>28.68</v>
      </c>
      <c r="BK528">
        <v>2108.1</v>
      </c>
      <c r="BL528">
        <v>634.25</v>
      </c>
      <c r="BM528">
        <v>1626.13</v>
      </c>
      <c r="BN528" s="14">
        <f t="shared" si="98"/>
        <v>3.3289299867899746E-2</v>
      </c>
      <c r="BO528" s="14">
        <f t="shared" si="90"/>
        <v>-4.5454545454545414E-2</v>
      </c>
      <c r="BP528" s="14" t="e">
        <f t="shared" si="91"/>
        <v>#DIV/0!</v>
      </c>
      <c r="BQ528" s="14">
        <f t="shared" si="92"/>
        <v>-1.218875152359411E-3</v>
      </c>
      <c r="BR528" s="14">
        <f t="shared" si="93"/>
        <v>2.6638745495276117E-2</v>
      </c>
      <c r="BS528" s="14">
        <f t="shared" si="94"/>
        <v>-2.5006290890791094E-3</v>
      </c>
      <c r="BT528" s="14">
        <f t="shared" si="95"/>
        <v>-1.2755442767463543E-2</v>
      </c>
    </row>
    <row r="529" spans="2:72" x14ac:dyDescent="0.3">
      <c r="B529">
        <v>46200</v>
      </c>
      <c r="D529">
        <v>28840</v>
      </c>
      <c r="E529">
        <v>28.715</v>
      </c>
      <c r="F529">
        <v>4314.8999999999996</v>
      </c>
      <c r="G529">
        <v>1925.4</v>
      </c>
      <c r="H529">
        <v>635.84</v>
      </c>
      <c r="I529">
        <v>255.96</v>
      </c>
      <c r="J529">
        <v>1647.14</v>
      </c>
      <c r="K529">
        <v>12600000</v>
      </c>
      <c r="L529">
        <v>2053.4</v>
      </c>
      <c r="AP529">
        <v>4314.8999999999996</v>
      </c>
      <c r="BG529">
        <v>4314.8999999999996</v>
      </c>
      <c r="BH529">
        <v>46200</v>
      </c>
      <c r="BJ529">
        <v>28.715</v>
      </c>
      <c r="BK529">
        <v>2053.4</v>
      </c>
      <c r="BL529">
        <v>635.84</v>
      </c>
      <c r="BM529">
        <v>1647.14</v>
      </c>
      <c r="BN529" s="14">
        <f t="shared" si="98"/>
        <v>-1.9169263712058737E-2</v>
      </c>
      <c r="BO529" s="14">
        <f t="shared" si="90"/>
        <v>-8.5836909871244149E-3</v>
      </c>
      <c r="BP529" s="14" t="e">
        <f t="shared" si="91"/>
        <v>#DIV/0!</v>
      </c>
      <c r="BQ529" s="14">
        <f t="shared" si="92"/>
        <v>7.5438596491228527E-3</v>
      </c>
      <c r="BR529" s="14">
        <f t="shared" si="93"/>
        <v>-8.6227706806485394E-3</v>
      </c>
      <c r="BS529" s="14">
        <f t="shared" si="94"/>
        <v>1.8060714743179274E-2</v>
      </c>
      <c r="BT529" s="14">
        <f t="shared" si="95"/>
        <v>2.2008227490739385E-2</v>
      </c>
    </row>
    <row r="530" spans="2:72" x14ac:dyDescent="0.3">
      <c r="B530">
        <v>46600</v>
      </c>
      <c r="D530">
        <v>27140</v>
      </c>
      <c r="E530">
        <v>28.5</v>
      </c>
      <c r="F530">
        <v>4399.2299999999996</v>
      </c>
      <c r="G530">
        <v>1890.27</v>
      </c>
      <c r="H530">
        <v>624.55999999999995</v>
      </c>
      <c r="I530">
        <v>251.46</v>
      </c>
      <c r="J530">
        <v>1611.67</v>
      </c>
      <c r="K530">
        <v>11070000</v>
      </c>
      <c r="L530">
        <v>2071.2600000000002</v>
      </c>
      <c r="AP530">
        <v>4399.2299999999996</v>
      </c>
      <c r="BG530">
        <v>4399.2299999999996</v>
      </c>
      <c r="BH530">
        <v>46600</v>
      </c>
      <c r="BJ530">
        <v>28.5</v>
      </c>
      <c r="BK530">
        <v>2071.2600000000002</v>
      </c>
      <c r="BL530">
        <v>624.55999999999995</v>
      </c>
      <c r="BM530">
        <v>1611.67</v>
      </c>
      <c r="BN530" s="14">
        <f t="shared" si="98"/>
        <v>-9.3319251374230916E-3</v>
      </c>
      <c r="BO530" s="14">
        <f t="shared" si="90"/>
        <v>3.2292787944026013E-3</v>
      </c>
      <c r="BP530" s="14" t="e">
        <f t="shared" si="91"/>
        <v>#DIV/0!</v>
      </c>
      <c r="BQ530" s="14">
        <f t="shared" si="92"/>
        <v>-7.0753179002282396E-2</v>
      </c>
      <c r="BR530" s="14">
        <f t="shared" si="93"/>
        <v>-1.5794725588025527E-2</v>
      </c>
      <c r="BS530" s="14">
        <f t="shared" si="94"/>
        <v>2.5381710720735473E-2</v>
      </c>
      <c r="BT530" s="14">
        <f t="shared" si="95"/>
        <v>8.694194141356526E-4</v>
      </c>
    </row>
    <row r="531" spans="2:72" x14ac:dyDescent="0.3">
      <c r="B531">
        <v>46450</v>
      </c>
      <c r="D531">
        <v>27540</v>
      </c>
      <c r="E531">
        <v>30.67</v>
      </c>
      <c r="F531">
        <v>4440.67</v>
      </c>
      <c r="G531">
        <v>1883</v>
      </c>
      <c r="H531">
        <v>609.1</v>
      </c>
      <c r="I531">
        <v>250.37</v>
      </c>
      <c r="J531">
        <v>1610.27</v>
      </c>
      <c r="K531">
        <v>3210000</v>
      </c>
      <c r="L531">
        <v>2104.5</v>
      </c>
      <c r="AP531">
        <v>4440.67</v>
      </c>
      <c r="BG531">
        <v>4440.67</v>
      </c>
      <c r="BH531">
        <v>46450</v>
      </c>
      <c r="BJ531">
        <v>30.67</v>
      </c>
      <c r="BK531">
        <v>2104.5</v>
      </c>
      <c r="BL531">
        <v>609.1</v>
      </c>
      <c r="BM531">
        <v>1610.27</v>
      </c>
      <c r="BN531" s="14">
        <f t="shared" si="98"/>
        <v>-5.3566806585569893E-4</v>
      </c>
      <c r="BO531" s="14">
        <f t="shared" si="90"/>
        <v>-1.2752391073326264E-2</v>
      </c>
      <c r="BP531" s="14" t="e">
        <f t="shared" si="91"/>
        <v>#DIV/0!</v>
      </c>
      <c r="BQ531" s="14">
        <f t="shared" si="92"/>
        <v>-4.2460193568529481E-2</v>
      </c>
      <c r="BR531" s="14">
        <f t="shared" si="93"/>
        <v>-2.7484243946359621E-3</v>
      </c>
      <c r="BS531" s="14">
        <f t="shared" si="94"/>
        <v>1.6938839278373141E-3</v>
      </c>
      <c r="BT531" s="14">
        <f t="shared" si="95"/>
        <v>2.1408611987578929E-3</v>
      </c>
    </row>
    <row r="532" spans="2:72" x14ac:dyDescent="0.3">
      <c r="B532">
        <v>47050</v>
      </c>
      <c r="D532">
        <v>27220</v>
      </c>
      <c r="E532">
        <v>32.03</v>
      </c>
      <c r="F532">
        <v>4443.05</v>
      </c>
      <c r="G532">
        <v>1878.68</v>
      </c>
      <c r="H532">
        <v>608.07000000000005</v>
      </c>
      <c r="I532">
        <v>249.76</v>
      </c>
      <c r="J532">
        <v>1606.83</v>
      </c>
      <c r="K532">
        <v>11490000</v>
      </c>
      <c r="L532">
        <v>2110.3000000000002</v>
      </c>
      <c r="AP532">
        <v>4443.05</v>
      </c>
      <c r="BG532">
        <v>4443.05</v>
      </c>
      <c r="BH532">
        <v>47050</v>
      </c>
      <c r="BJ532">
        <v>32.03</v>
      </c>
      <c r="BK532">
        <v>2110.3000000000002</v>
      </c>
      <c r="BL532">
        <v>608.07000000000005</v>
      </c>
      <c r="BM532">
        <v>1606.83</v>
      </c>
      <c r="BN532" s="14">
        <f t="shared" si="98"/>
        <v>1.3462499116110083E-2</v>
      </c>
      <c r="BO532" s="14">
        <f t="shared" si="90"/>
        <v>3.4065934065934167E-2</v>
      </c>
      <c r="BP532" s="14" t="e">
        <f t="shared" si="91"/>
        <v>#DIV/0!</v>
      </c>
      <c r="BQ532" s="14">
        <f t="shared" si="92"/>
        <v>5.6514913657770283E-3</v>
      </c>
      <c r="BR532" s="14">
        <f t="shared" si="93"/>
        <v>6.3471928812250944E-3</v>
      </c>
      <c r="BS532" s="14">
        <f t="shared" si="94"/>
        <v>6.5217751146278147E-3</v>
      </c>
      <c r="BT532" s="14">
        <f t="shared" si="95"/>
        <v>-1.9441476806877356E-3</v>
      </c>
    </row>
    <row r="533" spans="2:72" x14ac:dyDescent="0.3">
      <c r="B533">
        <v>45500</v>
      </c>
      <c r="D533">
        <v>27440</v>
      </c>
      <c r="E533">
        <v>31.85</v>
      </c>
      <c r="F533">
        <v>4384.03</v>
      </c>
      <c r="G533">
        <v>1883.27</v>
      </c>
      <c r="H533">
        <v>604.13</v>
      </c>
      <c r="I533">
        <v>250.16</v>
      </c>
      <c r="J533">
        <v>1609.96</v>
      </c>
      <c r="K533">
        <v>14130000</v>
      </c>
      <c r="L533">
        <v>2096.9899999999998</v>
      </c>
      <c r="AP533">
        <v>4384.03</v>
      </c>
      <c r="BG533">
        <v>4384.03</v>
      </c>
      <c r="BH533">
        <v>45500</v>
      </c>
      <c r="BJ533">
        <v>31.85</v>
      </c>
      <c r="BK533">
        <v>2096.9899999999998</v>
      </c>
      <c r="BL533">
        <v>604.13</v>
      </c>
      <c r="BM533">
        <v>1609.96</v>
      </c>
      <c r="BN533" s="14">
        <f t="shared" si="98"/>
        <v>3.6737232422410671E-2</v>
      </c>
      <c r="BO533" s="14">
        <f t="shared" si="90"/>
        <v>-4.5120671563483761E-2</v>
      </c>
      <c r="BP533" s="14" t="e">
        <f t="shared" si="91"/>
        <v>#DIV/0!</v>
      </c>
      <c r="BQ533" s="14">
        <f t="shared" si="92"/>
        <v>0.10169491525423724</v>
      </c>
      <c r="BR533" s="14">
        <f t="shared" si="93"/>
        <v>2.0199759665672667E-2</v>
      </c>
      <c r="BS533" s="14">
        <f t="shared" si="94"/>
        <v>2.1214375063389523E-2</v>
      </c>
      <c r="BT533" s="14">
        <f t="shared" si="95"/>
        <v>-1.1043964907491155E-3</v>
      </c>
    </row>
    <row r="534" spans="2:72" x14ac:dyDescent="0.3">
      <c r="B534">
        <v>47650</v>
      </c>
      <c r="D534">
        <v>27300</v>
      </c>
      <c r="E534">
        <v>28.91</v>
      </c>
      <c r="F534">
        <v>4228.68</v>
      </c>
      <c r="G534">
        <v>1881.44</v>
      </c>
      <c r="H534">
        <v>591.58000000000004</v>
      </c>
      <c r="I534">
        <v>249.88</v>
      </c>
      <c r="J534">
        <v>1611.74</v>
      </c>
      <c r="K534">
        <v>13800000</v>
      </c>
      <c r="L534">
        <v>2055.4699999999998</v>
      </c>
      <c r="AP534">
        <v>4228.68</v>
      </c>
      <c r="BG534">
        <v>4228.68</v>
      </c>
      <c r="BH534">
        <v>47650</v>
      </c>
      <c r="BJ534">
        <v>28.91</v>
      </c>
      <c r="BK534">
        <v>2055.4699999999998</v>
      </c>
      <c r="BL534">
        <v>591.58000000000004</v>
      </c>
      <c r="BM534">
        <v>1611.74</v>
      </c>
      <c r="BN534" s="14">
        <f t="shared" si="98"/>
        <v>1.9344667741772126E-2</v>
      </c>
      <c r="BO534" s="14">
        <f t="shared" si="90"/>
        <v>3.1578947368420263E-3</v>
      </c>
      <c r="BP534" s="14" t="e">
        <f t="shared" si="91"/>
        <v>#DIV/0!</v>
      </c>
      <c r="BQ534" s="14">
        <f t="shared" si="92"/>
        <v>-1.2130531351443707E-2</v>
      </c>
      <c r="BR534" s="14">
        <f t="shared" si="93"/>
        <v>3.0315941433290305E-2</v>
      </c>
      <c r="BS534" s="14">
        <f t="shared" si="94"/>
        <v>3.8519624645774186E-3</v>
      </c>
      <c r="BT534" s="14">
        <f t="shared" si="95"/>
        <v>-7.9524331244691382E-3</v>
      </c>
    </row>
    <row r="535" spans="2:72" x14ac:dyDescent="0.3">
      <c r="B535">
        <v>47500</v>
      </c>
      <c r="D535">
        <v>27720</v>
      </c>
      <c r="E535">
        <v>29.265000000000001</v>
      </c>
      <c r="F535">
        <v>4148.43</v>
      </c>
      <c r="G535">
        <v>1888.04</v>
      </c>
      <c r="H535">
        <v>589.30999999999995</v>
      </c>
      <c r="I535">
        <v>250.32</v>
      </c>
      <c r="J535">
        <v>1624.66</v>
      </c>
      <c r="K535">
        <v>12030000</v>
      </c>
      <c r="L535">
        <v>1994.99</v>
      </c>
      <c r="AP535">
        <v>4148.43</v>
      </c>
      <c r="BG535">
        <v>4148.43</v>
      </c>
      <c r="BH535">
        <v>47500</v>
      </c>
      <c r="BJ535">
        <v>29.265000000000001</v>
      </c>
      <c r="BK535">
        <v>1994.99</v>
      </c>
      <c r="BL535">
        <v>589.30999999999995</v>
      </c>
      <c r="BM535">
        <v>1624.66</v>
      </c>
      <c r="BN535" s="14">
        <f t="shared" si="98"/>
        <v>-3.0319250889405236E-2</v>
      </c>
      <c r="BO535" s="14">
        <f t="shared" si="90"/>
        <v>1.0537407797681642E-3</v>
      </c>
      <c r="BP535" s="14" t="e">
        <f t="shared" si="91"/>
        <v>#DIV/0!</v>
      </c>
      <c r="BQ535" s="14">
        <f t="shared" si="92"/>
        <v>-5.4442649434571888E-2</v>
      </c>
      <c r="BR535" s="14">
        <f t="shared" si="93"/>
        <v>-2.7697361366981532E-2</v>
      </c>
      <c r="BS535" s="14">
        <f t="shared" si="94"/>
        <v>2.0609272440726745E-2</v>
      </c>
      <c r="BT535" s="14">
        <f t="shared" si="95"/>
        <v>3.6373146895970931E-2</v>
      </c>
    </row>
    <row r="536" spans="2:72" x14ac:dyDescent="0.3">
      <c r="B536">
        <v>47450</v>
      </c>
      <c r="D536">
        <v>26320</v>
      </c>
      <c r="E536">
        <v>30.95</v>
      </c>
      <c r="F536">
        <v>4278.1400000000003</v>
      </c>
      <c r="G536">
        <v>1825.24</v>
      </c>
      <c r="H536">
        <v>577.41</v>
      </c>
      <c r="I536">
        <v>242.22</v>
      </c>
      <c r="J536">
        <v>1567.64</v>
      </c>
      <c r="K536">
        <v>13290000</v>
      </c>
      <c r="L536">
        <v>2051.8200000000002</v>
      </c>
      <c r="AP536">
        <v>4278.1400000000003</v>
      </c>
      <c r="BG536">
        <v>4278.1400000000003</v>
      </c>
      <c r="BH536">
        <v>47450</v>
      </c>
      <c r="BJ536">
        <v>30.95</v>
      </c>
      <c r="BK536">
        <v>2051.8200000000002</v>
      </c>
      <c r="BL536">
        <v>577.41</v>
      </c>
      <c r="BM536">
        <v>1567.64</v>
      </c>
      <c r="BN536" s="14">
        <f t="shared" si="98"/>
        <v>3.2833269759110051E-2</v>
      </c>
      <c r="BO536" s="14">
        <f t="shared" si="90"/>
        <v>-4.5271629778672051E-2</v>
      </c>
      <c r="BP536" s="14" t="e">
        <f t="shared" si="91"/>
        <v>#DIV/0!</v>
      </c>
      <c r="BQ536" s="14">
        <f t="shared" si="92"/>
        <v>6.7609520524318789E-2</v>
      </c>
      <c r="BR536" s="14">
        <f t="shared" si="93"/>
        <v>1.6044210713967333E-2</v>
      </c>
      <c r="BS536" s="14">
        <f t="shared" si="94"/>
        <v>7.7139217089303713E-3</v>
      </c>
      <c r="BT536" s="14">
        <f t="shared" si="95"/>
        <v>-1.8617986953636589E-2</v>
      </c>
    </row>
    <row r="537" spans="2:72" x14ac:dyDescent="0.3">
      <c r="B537">
        <v>49700</v>
      </c>
      <c r="D537">
        <v>26280</v>
      </c>
      <c r="E537">
        <v>28.99</v>
      </c>
      <c r="F537">
        <v>4142.1400000000003</v>
      </c>
      <c r="G537">
        <v>1857.6</v>
      </c>
      <c r="H537">
        <v>572.99</v>
      </c>
      <c r="I537">
        <v>246.05</v>
      </c>
      <c r="J537">
        <v>1597.38</v>
      </c>
      <c r="K537">
        <v>13210000</v>
      </c>
      <c r="L537">
        <v>2019.42</v>
      </c>
      <c r="AP537">
        <v>4142.1400000000003</v>
      </c>
      <c r="BG537">
        <v>4142.1400000000003</v>
      </c>
      <c r="BH537">
        <v>49700</v>
      </c>
      <c r="BJ537">
        <v>28.99</v>
      </c>
      <c r="BK537">
        <v>2019.42</v>
      </c>
      <c r="BL537">
        <v>572.99</v>
      </c>
      <c r="BM537">
        <v>1597.38</v>
      </c>
      <c r="BN537" s="14">
        <f t="shared" si="98"/>
        <v>-1.6884707401359389E-2</v>
      </c>
      <c r="BO537" s="14">
        <f t="shared" si="90"/>
        <v>4.0837696335078499E-2</v>
      </c>
      <c r="BP537" s="14" t="e">
        <f t="shared" si="91"/>
        <v>#DIV/0!</v>
      </c>
      <c r="BQ537" s="14">
        <f t="shared" si="92"/>
        <v>-0.13527218493661453</v>
      </c>
      <c r="BR537" s="14">
        <f t="shared" si="93"/>
        <v>-1.2416801561025204E-2</v>
      </c>
      <c r="BS537" s="14">
        <f t="shared" si="94"/>
        <v>3.4782294620121723E-2</v>
      </c>
      <c r="BT537" s="14">
        <f t="shared" si="95"/>
        <v>6.1602418745276832E-3</v>
      </c>
    </row>
    <row r="538" spans="2:72" x14ac:dyDescent="0.3">
      <c r="B538">
        <v>47750</v>
      </c>
      <c r="D538">
        <v>26600</v>
      </c>
      <c r="E538">
        <v>33.524999999999999</v>
      </c>
      <c r="F538">
        <v>4213.28</v>
      </c>
      <c r="G538">
        <v>1848.55</v>
      </c>
      <c r="H538">
        <v>553.73</v>
      </c>
      <c r="I538">
        <v>244.79</v>
      </c>
      <c r="J538">
        <v>1587.6</v>
      </c>
      <c r="K538">
        <v>4070000</v>
      </c>
      <c r="L538">
        <v>2044.81</v>
      </c>
      <c r="AP538">
        <v>4213.28</v>
      </c>
      <c r="BG538">
        <v>4213.28</v>
      </c>
      <c r="BH538">
        <v>47750</v>
      </c>
      <c r="BJ538">
        <v>33.524999999999999</v>
      </c>
      <c r="BK538">
        <v>2044.81</v>
      </c>
      <c r="BL538">
        <v>553.73</v>
      </c>
      <c r="BM538">
        <v>1587.6</v>
      </c>
      <c r="BN538" s="14">
        <f t="shared" si="98"/>
        <v>-4.0092287908014557E-3</v>
      </c>
      <c r="BO538" s="14" t="e">
        <f t="shared" si="90"/>
        <v>#DIV/0!</v>
      </c>
      <c r="BP538" s="14" t="e">
        <f t="shared" si="91"/>
        <v>#DIV/0!</v>
      </c>
      <c r="BQ538" s="14">
        <f t="shared" si="92"/>
        <v>-3.5251798561151126E-2</v>
      </c>
      <c r="BR538" s="14">
        <f t="shared" si="93"/>
        <v>-6.5056845787581086E-3</v>
      </c>
      <c r="BS538" s="14" t="e">
        <f t="shared" si="94"/>
        <v>#DIV/0!</v>
      </c>
      <c r="BT538" s="14" t="e">
        <f t="shared" si="95"/>
        <v>#DIV/0!</v>
      </c>
    </row>
    <row r="539" spans="2:72" x14ac:dyDescent="0.3">
      <c r="E539">
        <v>34.75</v>
      </c>
      <c r="F539">
        <v>4230.24</v>
      </c>
      <c r="L539">
        <v>2058.1999999999998</v>
      </c>
      <c r="AP539">
        <v>4230.24</v>
      </c>
      <c r="BG539">
        <v>4230.24</v>
      </c>
      <c r="BJ539">
        <v>34.75</v>
      </c>
      <c r="BK539">
        <v>2058.1999999999998</v>
      </c>
    </row>
    <row r="545" spans="7:43" x14ac:dyDescent="0.3">
      <c r="G545" t="s">
        <v>697</v>
      </c>
      <c r="H545" t="s">
        <v>698</v>
      </c>
      <c r="I545" t="s">
        <v>699</v>
      </c>
      <c r="J545" t="s">
        <v>700</v>
      </c>
      <c r="K545" t="s">
        <v>701</v>
      </c>
      <c r="AB545" t="s">
        <v>702</v>
      </c>
      <c r="AC545" t="s">
        <v>703</v>
      </c>
      <c r="AD545" t="s">
        <v>704</v>
      </c>
      <c r="AE545" t="s">
        <v>705</v>
      </c>
      <c r="AF545" t="s">
        <v>697</v>
      </c>
    </row>
    <row r="546" spans="7:43" ht="40" customHeight="1" x14ac:dyDescent="0.3">
      <c r="AD546" s="77" t="str">
        <f>"000660"</f>
        <v>000660</v>
      </c>
      <c r="AE546" s="1" t="str">
        <f>"005930"</f>
        <v>005930</v>
      </c>
      <c r="AF546" s="1" t="s">
        <v>341</v>
      </c>
      <c r="AG546" s="1" t="s">
        <v>709</v>
      </c>
      <c r="AH546" s="1" t="s">
        <v>710</v>
      </c>
      <c r="AI546" s="1" t="s">
        <v>708</v>
      </c>
      <c r="AL546" s="18" t="str">
        <f>"005930"</f>
        <v>005930</v>
      </c>
      <c r="AM546" s="18" t="str">
        <f>"000660"</f>
        <v>000660</v>
      </c>
      <c r="AN546" s="18" t="s">
        <v>341</v>
      </c>
      <c r="AO546" s="18" t="s">
        <v>711</v>
      </c>
      <c r="AP546" s="18" t="s">
        <v>712</v>
      </c>
      <c r="AQ546" s="18" t="s">
        <v>708</v>
      </c>
    </row>
    <row r="547" spans="7:43" ht="40" customHeight="1" x14ac:dyDescent="0.3">
      <c r="AC547" s="1" t="str" cm="1">
        <f t="array" ref="AC547:AC552">TRANSPOSE(AD546:AI546)</f>
        <v>000660</v>
      </c>
      <c r="AD547" s="922"/>
      <c r="AE547" s="922">
        <f>CORREL(D3:D55,$B$3:$B$55)</f>
        <v>0.24711176393015283</v>
      </c>
      <c r="AF547" s="922">
        <f>CORREL(E3:E55,$B$3:$B$55)</f>
        <v>0.54524799308652871</v>
      </c>
      <c r="AG547" s="922">
        <f>CORREL(F3:F55,$B$3:$B$55)</f>
        <v>0.22321493011443325</v>
      </c>
      <c r="AH547" s="922">
        <f>CORREL(G3:G55,$B$3:$B$55)</f>
        <v>0.51975737957056312</v>
      </c>
      <c r="AI547" s="922">
        <f>CORREL(C3:C55,$B$3:$B$55)</f>
        <v>0.47918418657721706</v>
      </c>
      <c r="AK547" s="18" t="str" cm="1">
        <f t="array" ref="AK547:AK552">TRANSPOSE(AL546:AQ546)</f>
        <v>005930</v>
      </c>
      <c r="AL547" s="922"/>
      <c r="AM547" s="922">
        <f>+AE547</f>
        <v>0.24711176393015283</v>
      </c>
      <c r="AN547" s="922">
        <f>AF548</f>
        <v>0.66819119520156689</v>
      </c>
      <c r="AO547" s="922">
        <f t="shared" ref="AO547:AQ547" si="99">AG548</f>
        <v>-0.62233324736317097</v>
      </c>
      <c r="AP547" s="922">
        <f t="shared" si="99"/>
        <v>0.92408146922251555</v>
      </c>
      <c r="AQ547" s="922">
        <f t="shared" si="99"/>
        <v>0.24333508556480865</v>
      </c>
    </row>
    <row r="548" spans="7:43" ht="40" customHeight="1" x14ac:dyDescent="0.3">
      <c r="AC548" s="1" t="str">
        <v>005930</v>
      </c>
      <c r="AD548" s="922" cm="1">
        <f t="array" ref="AD548:AD552">+TRANSPOSE(AE547:AI547)</f>
        <v>0.24711176393015283</v>
      </c>
      <c r="AE548" s="922"/>
      <c r="AF548" s="922">
        <f>+CORREL($D$3:$D$55,E3:E55)</f>
        <v>0.66819119520156689</v>
      </c>
      <c r="AG548" s="922">
        <f>+CORREL($D$3:$D$55,F3:F55)</f>
        <v>-0.62233324736317097</v>
      </c>
      <c r="AH548" s="923">
        <f>+CORREL($D$3:$D$55,G3:G55)</f>
        <v>0.92408146922251555</v>
      </c>
      <c r="AI548" s="922">
        <f>+CORREL($D$3:$D$55,C3:C55)</f>
        <v>0.24333508556480865</v>
      </c>
      <c r="AK548" s="18" t="str">
        <v>000660</v>
      </c>
      <c r="AL548" s="922">
        <f>+AD548</f>
        <v>0.24711176393015283</v>
      </c>
      <c r="AM548" s="922"/>
      <c r="AN548" s="922">
        <f>AF547</f>
        <v>0.54524799308652871</v>
      </c>
      <c r="AO548" s="922">
        <f t="shared" ref="AO548:AQ548" si="100">AG547</f>
        <v>0.22321493011443325</v>
      </c>
      <c r="AP548" s="922">
        <f t="shared" si="100"/>
        <v>0.51975737957056312</v>
      </c>
      <c r="AQ548" s="922">
        <f t="shared" si="100"/>
        <v>0.47918418657721706</v>
      </c>
    </row>
    <row r="549" spans="7:43" ht="40" customHeight="1" x14ac:dyDescent="0.3">
      <c r="AC549" s="1" t="str">
        <v>MU</v>
      </c>
      <c r="AD549" s="922">
        <v>0.54524799308652871</v>
      </c>
      <c r="AE549" s="922" cm="1">
        <f t="array" ref="AE549:AE552">+TRANSPOSE(AF548:AI548)</f>
        <v>0.66819119520156689</v>
      </c>
      <c r="AF549" s="922"/>
      <c r="AG549" s="922">
        <f>+CORREL($F$3:$F$55,E3:E55)</f>
        <v>-0.12452534054295827</v>
      </c>
      <c r="AH549" s="922">
        <f>+CORREL($E$3:$E$54,G3:G54)</f>
        <v>0.75647186109345332</v>
      </c>
      <c r="AI549" s="922">
        <f>+CORREL($E$3:$E$54,C3:C54)</f>
        <v>0.70649355626717847</v>
      </c>
      <c r="AK549" s="18" t="str">
        <v>MU</v>
      </c>
      <c r="AL549" s="922">
        <f>AE549</f>
        <v>0.66819119520156689</v>
      </c>
      <c r="AM549" s="922">
        <f>AD549</f>
        <v>0.54524799308652871</v>
      </c>
      <c r="AN549" s="922"/>
      <c r="AO549" s="922">
        <f t="shared" ref="AO549:AO552" si="101">+AG549</f>
        <v>-0.12452534054295827</v>
      </c>
      <c r="AP549" s="922">
        <f t="shared" ref="AP549:AP552" si="102">+AH549</f>
        <v>0.75647186109345332</v>
      </c>
      <c r="AQ549" s="922">
        <f t="shared" ref="AQ549:AQ551" si="103">+AI549</f>
        <v>0.70649355626717847</v>
      </c>
    </row>
    <row r="550" spans="7:43" ht="40" customHeight="1" x14ac:dyDescent="0.3">
      <c r="AC550" s="1" t="str">
        <v>NDX100</v>
      </c>
      <c r="AD550" s="922">
        <v>0.22321493011443325</v>
      </c>
      <c r="AE550" s="922">
        <v>-0.62233324736317097</v>
      </c>
      <c r="AF550" s="922" cm="1">
        <f t="array" ref="AF550:AF552">+TRANSPOSE(AG549:AI549)</f>
        <v>-0.12452534054295827</v>
      </c>
      <c r="AG550" s="922"/>
      <c r="AH550" s="922">
        <f>+CORREL($F$3:$F$55,G3:G55)</f>
        <v>-0.42537801923170182</v>
      </c>
      <c r="AI550" s="922">
        <f>+CORREL($F$3:$F$55,C3:C55)</f>
        <v>0.5117334656465975</v>
      </c>
      <c r="AK550" s="18" t="str">
        <v>NDX</v>
      </c>
      <c r="AL550" s="922">
        <f>AE550</f>
        <v>-0.62233324736317097</v>
      </c>
      <c r="AM550" s="922">
        <f>AD550</f>
        <v>0.22321493011443325</v>
      </c>
      <c r="AN550" s="922">
        <f t="shared" ref="AN550:AN552" si="104">+AF550</f>
        <v>-0.12452534054295827</v>
      </c>
      <c r="AO550" s="922"/>
      <c r="AP550" s="922">
        <f t="shared" si="102"/>
        <v>-0.42537801923170182</v>
      </c>
      <c r="AQ550" s="922">
        <f t="shared" si="103"/>
        <v>0.5117334656465975</v>
      </c>
    </row>
    <row r="551" spans="7:43" ht="40" customHeight="1" x14ac:dyDescent="0.3">
      <c r="AC551" s="1" t="str">
        <v>KOSPI100</v>
      </c>
      <c r="AD551" s="922">
        <v>0.51975737957056312</v>
      </c>
      <c r="AE551" s="923">
        <v>0.92408146922251555</v>
      </c>
      <c r="AF551" s="922">
        <v>0.75647186109345332</v>
      </c>
      <c r="AG551" s="922" cm="1">
        <f t="array" ref="AG551:AG552">+TRANSPOSE(AH550:AI550)</f>
        <v>-0.42537801923170182</v>
      </c>
      <c r="AH551" s="922"/>
      <c r="AI551" s="922">
        <f>+CORREL(G3:G55,C3:C55)</f>
        <v>0.41653996365593959</v>
      </c>
      <c r="AK551" s="18" t="str">
        <v>KOSPI</v>
      </c>
      <c r="AL551" s="922">
        <f>AE551</f>
        <v>0.92408146922251555</v>
      </c>
      <c r="AM551" s="922">
        <f>AD551</f>
        <v>0.51975737957056312</v>
      </c>
      <c r="AN551" s="922">
        <f t="shared" si="104"/>
        <v>0.75647186109345332</v>
      </c>
      <c r="AO551" s="922">
        <f t="shared" si="101"/>
        <v>-0.42537801923170182</v>
      </c>
      <c r="AP551" s="922"/>
      <c r="AQ551" s="922">
        <f t="shared" si="103"/>
        <v>0.41653996365593959</v>
      </c>
    </row>
    <row r="552" spans="7:43" ht="40" customHeight="1" x14ac:dyDescent="0.3">
      <c r="AC552" s="1" t="str">
        <v>SOX</v>
      </c>
      <c r="AD552" s="922">
        <v>0.47918418657721706</v>
      </c>
      <c r="AE552" s="922">
        <v>0.24333508556480865</v>
      </c>
      <c r="AF552" s="922">
        <v>0.70649355626717847</v>
      </c>
      <c r="AG552" s="922">
        <v>0.5117334656465975</v>
      </c>
      <c r="AH552" s="922">
        <f>+AI551</f>
        <v>0.41653996365593959</v>
      </c>
      <c r="AI552" s="922"/>
      <c r="AK552" s="18" t="str">
        <v>SOX</v>
      </c>
      <c r="AL552" s="922">
        <f>AE552</f>
        <v>0.24333508556480865</v>
      </c>
      <c r="AM552" s="922">
        <f>AD552</f>
        <v>0.47918418657721706</v>
      </c>
      <c r="AN552" s="922">
        <f t="shared" si="104"/>
        <v>0.70649355626717847</v>
      </c>
      <c r="AO552" s="922">
        <f t="shared" si="101"/>
        <v>0.5117334656465975</v>
      </c>
      <c r="AP552" s="922">
        <f t="shared" si="102"/>
        <v>0.41653996365593959</v>
      </c>
      <c r="AQ552" s="922"/>
    </row>
    <row r="555" spans="7:43" ht="32.15" customHeight="1" x14ac:dyDescent="0.3">
      <c r="AD555" s="77" t="str">
        <f>"000660"</f>
        <v>000660</v>
      </c>
      <c r="AE555" s="1" t="str">
        <f>"005930"</f>
        <v>005930</v>
      </c>
      <c r="AF555" s="1" t="s">
        <v>341</v>
      </c>
      <c r="AG555" s="1" t="s">
        <v>709</v>
      </c>
      <c r="AH555" s="1" t="s">
        <v>710</v>
      </c>
      <c r="AI555" s="1" t="s">
        <v>708</v>
      </c>
      <c r="AL555" s="18" t="str">
        <f>"005930"</f>
        <v>005930</v>
      </c>
      <c r="AM555" s="18" t="str">
        <f>"000660"</f>
        <v>000660</v>
      </c>
      <c r="AN555" s="18" t="s">
        <v>341</v>
      </c>
      <c r="AO555" s="18" t="s">
        <v>711</v>
      </c>
      <c r="AP555" s="18" t="s">
        <v>712</v>
      </c>
      <c r="AQ555" s="18" t="s">
        <v>708</v>
      </c>
    </row>
    <row r="556" spans="7:43" ht="32.15" customHeight="1" x14ac:dyDescent="0.3">
      <c r="AC556" s="1" t="str" cm="1">
        <f t="array" ref="AC556:AC561">TRANSPOSE(AD555:AI555)</f>
        <v>000660</v>
      </c>
      <c r="AD556" s="922"/>
      <c r="AE556" s="922">
        <f>+CORREL($B$3:$B$159,D3:D159)</f>
        <v>0.2764191231976651</v>
      </c>
      <c r="AF556" s="923">
        <f>+CORREL($B$3:$B$159,E3:E159)</f>
        <v>0.92188311500856679</v>
      </c>
      <c r="AG556" s="923">
        <f>+CORREL($B$3:$B$159,F3:F159)</f>
        <v>0.93521077020014298</v>
      </c>
      <c r="AH556" s="922">
        <f>+CORREL($B$3:$B$159,G3:G159)</f>
        <v>0.70711640229713812</v>
      </c>
      <c r="AI556" s="923">
        <f>+CORREL($B$3:$B$159,C3:C159)</f>
        <v>0.94347216717404458</v>
      </c>
      <c r="AK556" s="18" t="str" cm="1">
        <f t="array" ref="AK556:AK561">TRANSPOSE(AL555:AQ555)</f>
        <v>005930</v>
      </c>
      <c r="AL556" s="922"/>
      <c r="AM556" s="922">
        <f>+AE556</f>
        <v>0.2764191231976651</v>
      </c>
      <c r="AN556" s="922">
        <f>AF557</f>
        <v>0.464610039848739</v>
      </c>
      <c r="AO556" s="922">
        <f t="shared" ref="AO556" si="105">AG557</f>
        <v>0.17212649947441852</v>
      </c>
      <c r="AP556" s="922">
        <f t="shared" ref="AP556" si="106">AH557</f>
        <v>0.76314214627854637</v>
      </c>
      <c r="AQ556" s="922">
        <f t="shared" ref="AQ556" si="107">AI557</f>
        <v>0.33868522148261593</v>
      </c>
    </row>
    <row r="557" spans="7:43" ht="32.15" customHeight="1" x14ac:dyDescent="0.3">
      <c r="AC557" s="1" t="str">
        <v>005930</v>
      </c>
      <c r="AD557" s="922" cm="1">
        <f t="array" ref="AD557:AD561">+TRANSPOSE(AE556:AI556)</f>
        <v>0.2764191231976651</v>
      </c>
      <c r="AE557" s="922"/>
      <c r="AF557" s="922">
        <f>+CORREL($D$3:$D$159,E3:E159)</f>
        <v>0.464610039848739</v>
      </c>
      <c r="AG557" s="922">
        <f>+CORREL($D$3:$D$159,F3:F159)</f>
        <v>0.17212649947441852</v>
      </c>
      <c r="AH557" s="923">
        <f>+CORREL($D$3:$D$159,G3:G159)</f>
        <v>0.76314214627854637</v>
      </c>
      <c r="AI557" s="922">
        <f>+CORREL($D$3:$D$159,C3:C159)</f>
        <v>0.33868522148261593</v>
      </c>
      <c r="AK557" s="18" t="str">
        <v>000660</v>
      </c>
      <c r="AL557" s="922">
        <f>+AD557</f>
        <v>0.2764191231976651</v>
      </c>
      <c r="AM557" s="922"/>
      <c r="AN557" s="922">
        <f>AF556</f>
        <v>0.92188311500856679</v>
      </c>
      <c r="AO557" s="922">
        <f t="shared" ref="AO557" si="108">AG556</f>
        <v>0.93521077020014298</v>
      </c>
      <c r="AP557" s="922">
        <f t="shared" ref="AP557" si="109">AH556</f>
        <v>0.70711640229713812</v>
      </c>
      <c r="AQ557" s="922">
        <f t="shared" ref="AQ557" si="110">AI556</f>
        <v>0.94347216717404458</v>
      </c>
    </row>
    <row r="558" spans="7:43" ht="32.15" customHeight="1" x14ac:dyDescent="0.3">
      <c r="AC558" s="1" t="str">
        <v>MU</v>
      </c>
      <c r="AD558" s="923">
        <v>0.92188311500856679</v>
      </c>
      <c r="AE558" s="922" cm="1">
        <f t="array" ref="AE558:AE561">+TRANSPOSE(AF557:AI557)</f>
        <v>0.464610039848739</v>
      </c>
      <c r="AF558" s="922"/>
      <c r="AG558" s="922">
        <f>+CORREL($F$3:$F$159,E3:E159)</f>
        <v>0.84615538997318396</v>
      </c>
      <c r="AH558" s="922">
        <f>+CORREL($E$3:$E$159,G3:G159)</f>
        <v>0.79414199131361496</v>
      </c>
      <c r="AI558" s="923">
        <f>+CORREL($E$3:$E$159,C3:C159)</f>
        <v>0.92546652151640152</v>
      </c>
      <c r="AK558" s="18" t="str">
        <v>MU</v>
      </c>
      <c r="AL558" s="922">
        <f>AE558</f>
        <v>0.464610039848739</v>
      </c>
      <c r="AM558" s="922">
        <f>AD558</f>
        <v>0.92188311500856679</v>
      </c>
      <c r="AN558" s="922"/>
      <c r="AO558" s="922">
        <f t="shared" ref="AO558" si="111">+AG558</f>
        <v>0.84615538997318396</v>
      </c>
      <c r="AP558" s="922">
        <f t="shared" ref="AP558:AP559" si="112">+AH558</f>
        <v>0.79414199131361496</v>
      </c>
      <c r="AQ558" s="922">
        <f t="shared" ref="AQ558:AQ560" si="113">+AI558</f>
        <v>0.92546652151640152</v>
      </c>
    </row>
    <row r="559" spans="7:43" ht="32.15" customHeight="1" x14ac:dyDescent="0.3">
      <c r="AC559" s="1" t="str">
        <v>NDX100</v>
      </c>
      <c r="AD559" s="923">
        <v>0.93521077020014298</v>
      </c>
      <c r="AE559" s="922">
        <v>0.17212649947441852</v>
      </c>
      <c r="AF559" s="922" cm="1">
        <f t="array" ref="AF559:AF561">+TRANSPOSE(AG558:AI558)</f>
        <v>0.84615538997318396</v>
      </c>
      <c r="AG559" s="922"/>
      <c r="AH559" s="922">
        <f>+CORREL($F$3:$F$159,G3:G159)</f>
        <v>0.61556897257398058</v>
      </c>
      <c r="AI559" s="923">
        <f>+CORREL($F$3:$F$159,C3:C159)</f>
        <v>0.9674189391628204</v>
      </c>
      <c r="AK559" s="18" t="str">
        <v>NDX</v>
      </c>
      <c r="AL559" s="922">
        <f>AE559</f>
        <v>0.17212649947441852</v>
      </c>
      <c r="AM559" s="922">
        <f>AD559</f>
        <v>0.93521077020014298</v>
      </c>
      <c r="AN559" s="922">
        <f t="shared" ref="AN559:AN561" si="114">+AF559</f>
        <v>0.84615538997318396</v>
      </c>
      <c r="AO559" s="922"/>
      <c r="AP559" s="922">
        <f t="shared" si="112"/>
        <v>0.61556897257398058</v>
      </c>
      <c r="AQ559" s="922">
        <f t="shared" si="113"/>
        <v>0.9674189391628204</v>
      </c>
    </row>
    <row r="560" spans="7:43" ht="32.15" customHeight="1" x14ac:dyDescent="0.3">
      <c r="AC560" s="1" t="str">
        <v>KOSPI100</v>
      </c>
      <c r="AD560" s="922">
        <v>0.70711640229713812</v>
      </c>
      <c r="AE560" s="923">
        <v>0.76314214627854637</v>
      </c>
      <c r="AF560" s="922">
        <v>0.79414199131361496</v>
      </c>
      <c r="AG560" s="922" cm="1">
        <f t="array" ref="AG560:AG561">+TRANSPOSE(AH559:AI559)</f>
        <v>0.61556897257398058</v>
      </c>
      <c r="AH560" s="922"/>
      <c r="AI560" s="922">
        <f>+CORREL(G3:G159,C3:C159)</f>
        <v>0.73326612509793876</v>
      </c>
      <c r="AK560" s="18" t="str">
        <v>KOSPI</v>
      </c>
      <c r="AL560" s="922">
        <f>AE560</f>
        <v>0.76314214627854637</v>
      </c>
      <c r="AM560" s="922">
        <f>AD560</f>
        <v>0.70711640229713812</v>
      </c>
      <c r="AN560" s="922">
        <f t="shared" si="114"/>
        <v>0.79414199131361496</v>
      </c>
      <c r="AO560" s="922">
        <f t="shared" ref="AO560:AO561" si="115">+AG560</f>
        <v>0.61556897257398058</v>
      </c>
      <c r="AP560" s="922"/>
      <c r="AQ560" s="922">
        <f t="shared" si="113"/>
        <v>0.73326612509793876</v>
      </c>
    </row>
    <row r="561" spans="29:43" ht="32.15" customHeight="1" x14ac:dyDescent="0.3">
      <c r="AC561" s="1" t="str">
        <v>SOX</v>
      </c>
      <c r="AD561" s="923">
        <v>0.94347216717404458</v>
      </c>
      <c r="AE561" s="922">
        <v>0.33868522148261593</v>
      </c>
      <c r="AF561" s="923">
        <v>0.92546652151640152</v>
      </c>
      <c r="AG561" s="923">
        <v>0.9674189391628204</v>
      </c>
      <c r="AH561" s="922">
        <f>+AI560</f>
        <v>0.73326612509793876</v>
      </c>
      <c r="AI561" s="922"/>
      <c r="AK561" s="18" t="str">
        <v>SOX</v>
      </c>
      <c r="AL561" s="922">
        <f>AE561</f>
        <v>0.33868522148261593</v>
      </c>
      <c r="AM561" s="922">
        <f>AD561</f>
        <v>0.94347216717404458</v>
      </c>
      <c r="AN561" s="922">
        <f t="shared" si="114"/>
        <v>0.92546652151640152</v>
      </c>
      <c r="AO561" s="922">
        <f t="shared" si="115"/>
        <v>0.9674189391628204</v>
      </c>
      <c r="AP561" s="922">
        <f t="shared" ref="AP561" si="116">+AH561</f>
        <v>0.73326612509793876</v>
      </c>
      <c r="AQ561" s="922"/>
    </row>
  </sheetData>
  <conditionalFormatting sqref="AD547:AI552">
    <cfRule type="colorScale" priority="6">
      <colorScale>
        <cfvo type="min"/>
        <cfvo type="percentile" val="50"/>
        <cfvo type="max"/>
        <color theme="0" tint="-0.499984740745262"/>
        <color rgb="FFFCFCFF"/>
        <color rgb="FF7B1314"/>
      </colorScale>
    </cfRule>
  </conditionalFormatting>
  <conditionalFormatting sqref="AD556:AI561">
    <cfRule type="colorScale" priority="3">
      <colorScale>
        <cfvo type="min"/>
        <cfvo type="percentile" val="50"/>
        <cfvo type="max"/>
        <color theme="0" tint="-0.499984740745262"/>
        <color rgb="FFFCFCFF"/>
        <color rgb="FF7B1314"/>
      </colorScale>
    </cfRule>
  </conditionalFormatting>
  <conditionalFormatting sqref="AL547:AQ552">
    <cfRule type="colorScale" priority="2">
      <colorScale>
        <cfvo type="min"/>
        <cfvo type="percentile" val="50"/>
        <cfvo type="max"/>
        <color theme="0" tint="-0.499984740745262"/>
        <color rgb="FFFCFCFF"/>
        <color rgb="FF7B1314"/>
      </colorScale>
    </cfRule>
  </conditionalFormatting>
  <conditionalFormatting sqref="AL556:AQ561">
    <cfRule type="colorScale" priority="1">
      <colorScale>
        <cfvo type="min"/>
        <cfvo type="percentile" val="50"/>
        <cfvo type="max"/>
        <color theme="0" tint="-0.499984740745262"/>
        <color rgb="FFFCFCFF"/>
        <color rgb="FF7B1314"/>
      </colorScale>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BFC69-9E2F-483B-BAE8-EA9424355133}">
  <dimension ref="A1:O994"/>
  <sheetViews>
    <sheetView showGridLines="0" zoomScale="70" zoomScaleNormal="70" workbookViewId="0">
      <selection activeCell="A3" sqref="A3"/>
    </sheetView>
  </sheetViews>
  <sheetFormatPr defaultRowHeight="14" x14ac:dyDescent="0.3"/>
  <cols>
    <col min="1" max="1" width="9.75" bestFit="1" customWidth="1"/>
    <col min="3" max="3" width="12.75" bestFit="1" customWidth="1"/>
    <col min="4" max="4" width="9.25" bestFit="1" customWidth="1"/>
    <col min="5" max="6" width="17.5" bestFit="1" customWidth="1"/>
    <col min="7" max="7" width="9.25" bestFit="1" customWidth="1"/>
    <col min="8" max="9" width="16.5" bestFit="1" customWidth="1"/>
  </cols>
  <sheetData>
    <row r="1" spans="1:15" ht="14.5" x14ac:dyDescent="0.35">
      <c r="A1" s="743"/>
      <c r="B1" s="743" t="s">
        <v>713</v>
      </c>
      <c r="C1" s="743" t="s">
        <v>713</v>
      </c>
      <c r="D1" s="743"/>
      <c r="E1" s="743" t="s">
        <v>714</v>
      </c>
      <c r="F1" s="743" t="s">
        <v>714</v>
      </c>
      <c r="G1" s="743"/>
      <c r="H1" s="743" t="s">
        <v>715</v>
      </c>
      <c r="I1" s="743" t="s">
        <v>715</v>
      </c>
      <c r="J1" s="743" t="s">
        <v>716</v>
      </c>
      <c r="K1" s="743"/>
      <c r="L1" s="743"/>
      <c r="M1" t="s">
        <v>717</v>
      </c>
    </row>
    <row r="2" spans="1:15" ht="14.5" x14ac:dyDescent="0.35">
      <c r="A2" s="743" t="s">
        <v>692</v>
      </c>
      <c r="B2" s="743" t="s">
        <v>718</v>
      </c>
      <c r="C2" s="743" t="s">
        <v>719</v>
      </c>
      <c r="D2" s="743" t="s">
        <v>692</v>
      </c>
      <c r="E2" s="743" t="s">
        <v>718</v>
      </c>
      <c r="F2" s="743" t="s">
        <v>719</v>
      </c>
      <c r="G2" s="743" t="s">
        <v>692</v>
      </c>
      <c r="H2" s="743" t="s">
        <v>718</v>
      </c>
      <c r="I2" s="743" t="s">
        <v>719</v>
      </c>
      <c r="J2" s="743" t="s">
        <v>217</v>
      </c>
      <c r="K2" s="743" t="s">
        <v>720</v>
      </c>
      <c r="L2" s="743" t="s">
        <v>721</v>
      </c>
      <c r="M2" s="743" t="s">
        <v>217</v>
      </c>
      <c r="N2" s="743" t="s">
        <v>720</v>
      </c>
      <c r="O2" s="743" t="s">
        <v>721</v>
      </c>
    </row>
    <row r="3" spans="1:15" ht="14.5" x14ac:dyDescent="0.35">
      <c r="A3" s="915">
        <v>45768</v>
      </c>
      <c r="B3" s="743">
        <v>28.269100000000002</v>
      </c>
      <c r="C3" s="743">
        <v>10.393800000000001</v>
      </c>
      <c r="D3" s="915">
        <v>45768</v>
      </c>
      <c r="E3" s="743">
        <v>21.625699999999998</v>
      </c>
      <c r="F3" s="743">
        <v>6.0297000000000001</v>
      </c>
      <c r="G3" s="915">
        <v>45768</v>
      </c>
      <c r="H3" s="743">
        <v>4.9992000000000001</v>
      </c>
      <c r="I3" s="743">
        <v>1.2272000000000001</v>
      </c>
      <c r="J3" s="916">
        <v>-0.63200000000000001</v>
      </c>
      <c r="K3" s="916">
        <v>-0.72099999999999997</v>
      </c>
      <c r="L3" s="916">
        <v>-0.755</v>
      </c>
      <c r="M3" s="26">
        <f>+AVERAGE(J3:J994)</f>
        <v>-0.44328830645161338</v>
      </c>
      <c r="N3" s="26">
        <f t="shared" ref="N3:O3" si="0">+AVERAGE(K3:K994)</f>
        <v>-0.45929737903225815</v>
      </c>
      <c r="O3" s="26">
        <f t="shared" si="0"/>
        <v>-0.62221875000000026</v>
      </c>
    </row>
    <row r="4" spans="1:15" ht="14.5" x14ac:dyDescent="0.35">
      <c r="A4" s="915">
        <v>45765</v>
      </c>
      <c r="B4" s="743">
        <v>29.143999999999998</v>
      </c>
      <c r="C4" s="743">
        <v>10.3614</v>
      </c>
      <c r="D4" s="915">
        <v>45765</v>
      </c>
      <c r="E4" s="743">
        <v>21.625699999999998</v>
      </c>
      <c r="F4" s="743">
        <v>6.0297000000000001</v>
      </c>
      <c r="G4" s="915">
        <v>45765</v>
      </c>
      <c r="H4" s="743">
        <v>5.1456999999999997</v>
      </c>
      <c r="I4" s="743">
        <v>1.2250000000000001</v>
      </c>
      <c r="J4" s="916">
        <v>-0.64400000000000002</v>
      </c>
      <c r="K4" s="916">
        <v>-0.72099999999999997</v>
      </c>
      <c r="L4" s="916">
        <v>-0.76200000000000001</v>
      </c>
    </row>
    <row r="5" spans="1:15" ht="14.5" x14ac:dyDescent="0.35">
      <c r="A5" s="915">
        <v>45758</v>
      </c>
      <c r="B5" s="743">
        <v>29.833500000000001</v>
      </c>
      <c r="C5" s="743">
        <v>10.186999999999999</v>
      </c>
      <c r="D5" s="915">
        <v>45758</v>
      </c>
      <c r="E5" s="743">
        <v>21.625699999999998</v>
      </c>
      <c r="F5" s="743">
        <v>6.0297000000000001</v>
      </c>
      <c r="G5" s="915">
        <v>45758</v>
      </c>
      <c r="H5" s="743">
        <v>5.2611999999999997</v>
      </c>
      <c r="I5" s="743">
        <v>1.2138</v>
      </c>
      <c r="J5" s="916">
        <v>-0.65900000000000003</v>
      </c>
      <c r="K5" s="916">
        <v>-0.72099999999999997</v>
      </c>
      <c r="L5" s="916">
        <v>-0.76900000000000002</v>
      </c>
    </row>
    <row r="6" spans="1:15" ht="14.5" x14ac:dyDescent="0.35">
      <c r="A6" s="915">
        <v>45751</v>
      </c>
      <c r="B6" s="743">
        <v>27.770600000000002</v>
      </c>
      <c r="C6" s="743">
        <v>10.3988</v>
      </c>
      <c r="D6" s="915">
        <v>45751</v>
      </c>
      <c r="E6" s="743">
        <v>21.625699999999998</v>
      </c>
      <c r="F6" s="743">
        <v>6.0297000000000001</v>
      </c>
      <c r="G6" s="915">
        <v>45751</v>
      </c>
      <c r="H6" s="743">
        <v>4.9157000000000002</v>
      </c>
      <c r="I6" s="743">
        <v>1.2272000000000001</v>
      </c>
      <c r="J6" s="916">
        <v>-0.626</v>
      </c>
      <c r="K6" s="916">
        <v>-0.72099999999999997</v>
      </c>
      <c r="L6" s="916">
        <v>-0.75</v>
      </c>
    </row>
    <row r="7" spans="1:15" ht="14.5" x14ac:dyDescent="0.35">
      <c r="A7" s="915">
        <v>45744</v>
      </c>
      <c r="B7" s="743">
        <v>30.7775</v>
      </c>
      <c r="C7" s="743">
        <v>10.8725</v>
      </c>
      <c r="D7" s="915">
        <v>45744</v>
      </c>
      <c r="E7" s="743">
        <v>21.648700000000002</v>
      </c>
      <c r="F7" s="743">
        <v>6.0297000000000001</v>
      </c>
      <c r="G7" s="915">
        <v>45744</v>
      </c>
      <c r="H7" s="743">
        <v>5.4192999999999998</v>
      </c>
      <c r="I7" s="743">
        <v>1.2585</v>
      </c>
      <c r="J7" s="916">
        <v>-0.64700000000000002</v>
      </c>
      <c r="K7" s="916">
        <v>-0.72099999999999997</v>
      </c>
      <c r="L7" s="916">
        <v>-0.76800000000000002</v>
      </c>
    </row>
    <row r="8" spans="1:15" ht="14.5" x14ac:dyDescent="0.35">
      <c r="A8" s="915">
        <v>45737</v>
      </c>
      <c r="B8" s="743">
        <v>31.533999999999999</v>
      </c>
      <c r="C8" s="743">
        <v>11.260999999999999</v>
      </c>
      <c r="D8" s="915">
        <v>45737</v>
      </c>
      <c r="E8" s="743">
        <v>21.657399999999999</v>
      </c>
      <c r="F8" s="743">
        <v>6.0297000000000001</v>
      </c>
      <c r="G8" s="915">
        <v>45737</v>
      </c>
      <c r="H8" s="743">
        <v>5.548</v>
      </c>
      <c r="I8" s="743">
        <v>1.2842</v>
      </c>
      <c r="J8" s="916">
        <v>-0.64300000000000002</v>
      </c>
      <c r="K8" s="916">
        <v>-0.72199999999999998</v>
      </c>
      <c r="L8" s="916">
        <v>-0.76900000000000002</v>
      </c>
    </row>
    <row r="9" spans="1:15" ht="14.5" x14ac:dyDescent="0.35">
      <c r="A9" s="915">
        <v>45730</v>
      </c>
      <c r="B9" s="743">
        <v>31.411000000000001</v>
      </c>
      <c r="C9" s="743">
        <v>10.802</v>
      </c>
      <c r="D9" s="915">
        <v>45730</v>
      </c>
      <c r="E9" s="743">
        <v>21.662199999999999</v>
      </c>
      <c r="F9" s="743">
        <v>6.0320999999999998</v>
      </c>
      <c r="G9" s="915">
        <v>45730</v>
      </c>
      <c r="H9" s="743">
        <v>5.5354000000000001</v>
      </c>
      <c r="I9" s="743">
        <v>1.2511000000000001</v>
      </c>
      <c r="J9" s="916">
        <v>-0.65600000000000003</v>
      </c>
      <c r="K9" s="916">
        <v>-0.72199999999999998</v>
      </c>
      <c r="L9" s="916">
        <v>-0.77400000000000002</v>
      </c>
    </row>
    <row r="10" spans="1:15" ht="14.5" x14ac:dyDescent="0.35">
      <c r="A10" s="915">
        <v>45723</v>
      </c>
      <c r="B10" s="743">
        <v>32.202599999999997</v>
      </c>
      <c r="C10" s="743">
        <v>10.6966</v>
      </c>
      <c r="D10" s="915">
        <v>45723</v>
      </c>
      <c r="E10" s="743">
        <v>21.666799999999999</v>
      </c>
      <c r="F10" s="743">
        <v>5.8208000000000002</v>
      </c>
      <c r="G10" s="915">
        <v>45723</v>
      </c>
      <c r="H10" s="743">
        <v>5.6680999999999999</v>
      </c>
      <c r="I10" s="743">
        <v>1.2262999999999999</v>
      </c>
      <c r="J10" s="916">
        <v>-0.66800000000000004</v>
      </c>
      <c r="K10" s="916">
        <v>-0.73099999999999998</v>
      </c>
      <c r="L10" s="916">
        <v>-0.78400000000000003</v>
      </c>
    </row>
    <row r="11" spans="1:15" ht="14.5" x14ac:dyDescent="0.35">
      <c r="A11" s="915">
        <v>45716</v>
      </c>
      <c r="B11" s="743">
        <v>35.503399999999999</v>
      </c>
      <c r="C11" s="743">
        <v>10.364699999999999</v>
      </c>
      <c r="D11" s="915">
        <v>45716</v>
      </c>
      <c r="E11" s="743">
        <v>21.9939</v>
      </c>
      <c r="F11" s="743">
        <v>5.6661000000000001</v>
      </c>
      <c r="G11" s="915">
        <v>45716</v>
      </c>
      <c r="H11" s="743">
        <v>6.0854999999999997</v>
      </c>
      <c r="I11" s="743">
        <v>1.2068000000000001</v>
      </c>
      <c r="J11" s="916">
        <v>-0.70799999999999996</v>
      </c>
      <c r="K11" s="916">
        <v>-0.74199999999999999</v>
      </c>
      <c r="L11" s="916">
        <v>-0.80200000000000005</v>
      </c>
    </row>
    <row r="12" spans="1:15" ht="14.5" x14ac:dyDescent="0.35">
      <c r="A12" s="915">
        <v>45709</v>
      </c>
      <c r="B12" s="743">
        <v>36.733800000000002</v>
      </c>
      <c r="C12" s="743">
        <v>10.921200000000001</v>
      </c>
      <c r="D12" s="915">
        <v>45709</v>
      </c>
      <c r="E12" s="743">
        <v>21.984200000000001</v>
      </c>
      <c r="F12" s="743">
        <v>6.0620000000000003</v>
      </c>
      <c r="G12" s="915">
        <v>45709</v>
      </c>
      <c r="H12" s="743">
        <v>6.2888000000000002</v>
      </c>
      <c r="I12" s="743">
        <v>1.2573000000000001</v>
      </c>
      <c r="J12" s="916">
        <v>-0.70299999999999996</v>
      </c>
      <c r="K12" s="916">
        <v>-0.72399999999999998</v>
      </c>
      <c r="L12" s="916">
        <v>-0.8</v>
      </c>
    </row>
    <row r="13" spans="1:15" ht="14.5" x14ac:dyDescent="0.35">
      <c r="A13" s="915">
        <v>45702</v>
      </c>
      <c r="B13" s="743">
        <v>37.584600000000002</v>
      </c>
      <c r="C13" s="743">
        <v>10.3041</v>
      </c>
      <c r="D13" s="915">
        <v>45702</v>
      </c>
      <c r="E13" s="743">
        <v>21.9848</v>
      </c>
      <c r="F13" s="743">
        <v>5.9747000000000003</v>
      </c>
      <c r="G13" s="915">
        <v>45702</v>
      </c>
      <c r="H13" s="743">
        <v>6.4283000000000001</v>
      </c>
      <c r="I13" s="743">
        <v>1.2289000000000001</v>
      </c>
      <c r="J13" s="916">
        <v>-0.72599999999999998</v>
      </c>
      <c r="K13" s="916">
        <v>-0.72799999999999998</v>
      </c>
      <c r="L13" s="916">
        <v>-0.80900000000000005</v>
      </c>
    </row>
    <row r="14" spans="1:15" ht="14.5" x14ac:dyDescent="0.35">
      <c r="A14" s="915">
        <v>45695</v>
      </c>
      <c r="B14" s="743">
        <v>36.5242</v>
      </c>
      <c r="C14" s="743">
        <v>10.0807</v>
      </c>
      <c r="D14" s="915">
        <v>45695</v>
      </c>
      <c r="E14" s="743">
        <v>21.9788</v>
      </c>
      <c r="F14" s="743">
        <v>5.9573999999999998</v>
      </c>
      <c r="G14" s="915">
        <v>45695</v>
      </c>
      <c r="H14" s="743">
        <v>6.2545999999999999</v>
      </c>
      <c r="I14" s="743">
        <v>1.2076</v>
      </c>
      <c r="J14" s="916">
        <v>-0.72399999999999998</v>
      </c>
      <c r="K14" s="916">
        <v>-0.72899999999999998</v>
      </c>
      <c r="L14" s="916">
        <v>-0.80700000000000005</v>
      </c>
    </row>
    <row r="15" spans="1:15" ht="14.5" x14ac:dyDescent="0.35">
      <c r="A15" s="915">
        <v>45688</v>
      </c>
      <c r="B15" s="743">
        <v>36.5017</v>
      </c>
      <c r="C15" s="743">
        <v>11.354100000000001</v>
      </c>
      <c r="D15" s="915">
        <v>45688</v>
      </c>
      <c r="E15" s="743">
        <v>21.977900000000002</v>
      </c>
      <c r="F15" s="743">
        <v>6.4909999999999997</v>
      </c>
      <c r="G15" s="915">
        <v>45688</v>
      </c>
      <c r="H15" s="743">
        <v>6.2508999999999997</v>
      </c>
      <c r="I15" s="743">
        <v>1.2465999999999999</v>
      </c>
      <c r="J15" s="916">
        <v>-0.68899999999999995</v>
      </c>
      <c r="K15" s="916">
        <v>-0.70499999999999996</v>
      </c>
      <c r="L15" s="916">
        <v>-0.80100000000000005</v>
      </c>
    </row>
    <row r="16" spans="1:15" ht="14.25" customHeight="1" x14ac:dyDescent="0.35">
      <c r="A16" s="915">
        <v>45681</v>
      </c>
      <c r="B16" s="743">
        <v>37.0047</v>
      </c>
      <c r="C16" s="743">
        <v>11.467000000000001</v>
      </c>
      <c r="D16" s="915">
        <v>45681</v>
      </c>
      <c r="E16" s="743">
        <v>21.977900000000002</v>
      </c>
      <c r="F16" s="743">
        <v>6.4909999999999997</v>
      </c>
      <c r="G16" s="915">
        <v>45681</v>
      </c>
      <c r="H16" s="743">
        <v>6.3333000000000004</v>
      </c>
      <c r="I16" s="743">
        <v>1.2538</v>
      </c>
      <c r="J16" s="916">
        <v>-0.69</v>
      </c>
      <c r="K16" s="916">
        <v>-0.70499999999999996</v>
      </c>
      <c r="L16" s="916">
        <v>-0.80200000000000005</v>
      </c>
    </row>
    <row r="17" spans="1:12" ht="15" customHeight="1" x14ac:dyDescent="0.35">
      <c r="A17" s="915">
        <v>45674</v>
      </c>
      <c r="B17" s="743">
        <v>36.439</v>
      </c>
      <c r="C17" s="743">
        <v>11.4099</v>
      </c>
      <c r="D17" s="915">
        <v>45674</v>
      </c>
      <c r="E17" s="743">
        <v>21.977900000000002</v>
      </c>
      <c r="F17" s="743">
        <v>6.4909999999999997</v>
      </c>
      <c r="G17" s="915">
        <v>45674</v>
      </c>
      <c r="H17" s="743">
        <v>6.2343999999999999</v>
      </c>
      <c r="I17" s="743">
        <v>1.2502</v>
      </c>
      <c r="J17" s="916">
        <v>-0.68700000000000006</v>
      </c>
      <c r="K17" s="916">
        <v>-0.70499999999999996</v>
      </c>
      <c r="L17" s="916">
        <v>-0.79900000000000004</v>
      </c>
    </row>
    <row r="18" spans="1:12" ht="15" customHeight="1" x14ac:dyDescent="0.35">
      <c r="A18" s="915">
        <v>45667</v>
      </c>
      <c r="B18" s="743">
        <v>35.430199999999999</v>
      </c>
      <c r="C18" s="743">
        <v>11.4046</v>
      </c>
      <c r="D18" s="915">
        <v>45667</v>
      </c>
      <c r="E18" s="743">
        <v>21.977900000000002</v>
      </c>
      <c r="F18" s="743">
        <v>6.4909999999999997</v>
      </c>
      <c r="G18" s="915">
        <v>45667</v>
      </c>
      <c r="H18" s="743">
        <v>6.0692000000000004</v>
      </c>
      <c r="I18" s="743">
        <v>1.2502</v>
      </c>
      <c r="J18" s="916">
        <v>-0.67800000000000005</v>
      </c>
      <c r="K18" s="916">
        <v>-0.70499999999999996</v>
      </c>
      <c r="L18" s="916">
        <v>-0.79400000000000004</v>
      </c>
    </row>
    <row r="19" spans="1:12" ht="15" customHeight="1" x14ac:dyDescent="0.35">
      <c r="A19" s="915">
        <v>45660</v>
      </c>
      <c r="B19" s="743">
        <v>36.243600000000001</v>
      </c>
      <c r="C19" s="743">
        <v>11.0311</v>
      </c>
      <c r="D19" s="915">
        <v>45660</v>
      </c>
      <c r="E19" s="743">
        <v>21.977900000000002</v>
      </c>
      <c r="F19" s="743">
        <v>6.4911000000000003</v>
      </c>
      <c r="G19" s="915">
        <v>45660</v>
      </c>
      <c r="H19" s="743">
        <v>6.2023999999999999</v>
      </c>
      <c r="I19" s="743">
        <v>1.2264999999999999</v>
      </c>
      <c r="J19" s="916">
        <v>-0.69599999999999995</v>
      </c>
      <c r="K19" s="916">
        <v>-0.70499999999999996</v>
      </c>
      <c r="L19" s="916">
        <v>-0.80200000000000005</v>
      </c>
    </row>
    <row r="20" spans="1:12" ht="15" customHeight="1" x14ac:dyDescent="0.35">
      <c r="A20" s="915">
        <v>45653</v>
      </c>
      <c r="B20" s="743">
        <v>36.479500000000002</v>
      </c>
      <c r="C20" s="743">
        <v>10.868600000000001</v>
      </c>
      <c r="D20" s="915">
        <v>45653</v>
      </c>
      <c r="E20" s="743">
        <v>21.972300000000001</v>
      </c>
      <c r="F20" s="743">
        <v>6.4890999999999996</v>
      </c>
      <c r="G20" s="915">
        <v>45653</v>
      </c>
      <c r="H20" s="743">
        <v>6.2419000000000002</v>
      </c>
      <c r="I20" s="743">
        <v>1.2138</v>
      </c>
      <c r="J20" s="916">
        <v>-0.70199999999999996</v>
      </c>
      <c r="K20" s="916">
        <v>-0.70499999999999996</v>
      </c>
      <c r="L20" s="916">
        <v>-0.80600000000000005</v>
      </c>
    </row>
    <row r="21" spans="1:12" ht="15" customHeight="1" x14ac:dyDescent="0.35">
      <c r="A21" s="915">
        <v>45646</v>
      </c>
      <c r="B21" s="743">
        <v>36.167099999999998</v>
      </c>
      <c r="C21" s="743">
        <v>10.7994</v>
      </c>
      <c r="D21" s="915">
        <v>45646</v>
      </c>
      <c r="E21" s="743">
        <v>21.970700000000001</v>
      </c>
      <c r="F21" s="743">
        <v>6.47</v>
      </c>
      <c r="G21" s="915">
        <v>45646</v>
      </c>
      <c r="H21" s="743">
        <v>6.0210999999999997</v>
      </c>
      <c r="I21" s="743">
        <v>1.2081</v>
      </c>
      <c r="J21" s="916">
        <v>-0.70099999999999996</v>
      </c>
      <c r="K21" s="916">
        <v>-0.70599999999999996</v>
      </c>
      <c r="L21" s="916">
        <v>-0.79900000000000004</v>
      </c>
    </row>
    <row r="22" spans="1:12" ht="15" customHeight="1" x14ac:dyDescent="0.35">
      <c r="A22" s="915">
        <v>45639</v>
      </c>
      <c r="B22" s="743">
        <v>37.008200000000002</v>
      </c>
      <c r="C22" s="743">
        <v>11.2263</v>
      </c>
      <c r="D22" s="915">
        <v>45639</v>
      </c>
      <c r="E22" s="743">
        <v>21.9772</v>
      </c>
      <c r="F22" s="743">
        <v>6.47</v>
      </c>
      <c r="G22" s="915">
        <v>45639</v>
      </c>
      <c r="H22" s="743">
        <v>6.1539000000000001</v>
      </c>
      <c r="I22" s="743">
        <v>1.2057</v>
      </c>
      <c r="J22" s="916">
        <v>-0.69699999999999995</v>
      </c>
      <c r="K22" s="916">
        <v>-0.70599999999999996</v>
      </c>
      <c r="L22" s="916">
        <v>-0.80400000000000005</v>
      </c>
    </row>
    <row r="23" spans="1:12" ht="15" customHeight="1" x14ac:dyDescent="0.35">
      <c r="A23" s="915">
        <v>45632</v>
      </c>
      <c r="B23" s="743">
        <v>36.762599999999999</v>
      </c>
      <c r="C23" s="743">
        <v>10.962300000000001</v>
      </c>
      <c r="D23" s="915">
        <v>45632</v>
      </c>
      <c r="E23" s="743">
        <v>22.528500000000001</v>
      </c>
      <c r="F23" s="743">
        <v>6.47</v>
      </c>
      <c r="G23" s="915">
        <v>45632</v>
      </c>
      <c r="H23" s="743">
        <v>5.9739000000000004</v>
      </c>
      <c r="I23" s="743">
        <v>1.1898</v>
      </c>
      <c r="J23" s="916">
        <v>-0.70199999999999996</v>
      </c>
      <c r="K23" s="916">
        <v>-0.71299999999999997</v>
      </c>
      <c r="L23" s="916">
        <v>-0.80100000000000005</v>
      </c>
    </row>
    <row r="24" spans="1:12" ht="15" customHeight="1" x14ac:dyDescent="0.35">
      <c r="A24" s="915">
        <v>45625</v>
      </c>
      <c r="B24" s="743">
        <v>35.586199999999998</v>
      </c>
      <c r="C24" s="743">
        <v>11.0678</v>
      </c>
      <c r="D24" s="915">
        <v>45625</v>
      </c>
      <c r="E24" s="743">
        <v>22.527799999999999</v>
      </c>
      <c r="F24" s="743">
        <v>6.47</v>
      </c>
      <c r="G24" s="915">
        <v>45625</v>
      </c>
      <c r="H24" s="743">
        <v>5.7915999999999999</v>
      </c>
      <c r="I24" s="743">
        <v>1.1961999999999999</v>
      </c>
      <c r="J24" s="916">
        <v>-0.68899999999999995</v>
      </c>
      <c r="K24" s="916">
        <v>-0.71299999999999997</v>
      </c>
      <c r="L24" s="916">
        <v>-0.79300000000000004</v>
      </c>
    </row>
    <row r="25" spans="1:12" ht="15" customHeight="1" x14ac:dyDescent="0.35">
      <c r="A25" s="915">
        <v>45618</v>
      </c>
      <c r="B25" s="743">
        <v>35.324199999999998</v>
      </c>
      <c r="C25" s="743">
        <v>11.3088</v>
      </c>
      <c r="D25" s="915">
        <v>45618</v>
      </c>
      <c r="E25" s="743">
        <v>22.5289</v>
      </c>
      <c r="F25" s="743">
        <v>6.4699</v>
      </c>
      <c r="G25" s="915">
        <v>45618</v>
      </c>
      <c r="H25" s="743">
        <v>5.7510000000000003</v>
      </c>
      <c r="I25" s="743">
        <v>1.2110000000000001</v>
      </c>
      <c r="J25" s="916">
        <v>-0.68</v>
      </c>
      <c r="K25" s="916">
        <v>-0.71299999999999997</v>
      </c>
      <c r="L25" s="916">
        <v>-0.78900000000000003</v>
      </c>
    </row>
    <row r="26" spans="1:12" ht="15" customHeight="1" x14ac:dyDescent="0.35">
      <c r="A26" s="915">
        <v>45611</v>
      </c>
      <c r="B26" s="743">
        <v>34.674500000000002</v>
      </c>
      <c r="C26" s="743">
        <v>10.8827</v>
      </c>
      <c r="D26" s="915">
        <v>45611</v>
      </c>
      <c r="E26" s="743">
        <v>22.520299999999999</v>
      </c>
      <c r="F26" s="743">
        <v>6.4687000000000001</v>
      </c>
      <c r="G26" s="915">
        <v>45611</v>
      </c>
      <c r="H26" s="743">
        <v>5.6250999999999998</v>
      </c>
      <c r="I26" s="743">
        <v>1.1853</v>
      </c>
      <c r="J26" s="916">
        <v>-0.68600000000000005</v>
      </c>
      <c r="K26" s="916">
        <v>-0.71299999999999997</v>
      </c>
      <c r="L26" s="916">
        <v>-0.78900000000000003</v>
      </c>
    </row>
    <row r="27" spans="1:12" ht="15" customHeight="1" x14ac:dyDescent="0.35">
      <c r="A27" s="915">
        <v>45604</v>
      </c>
      <c r="B27" s="743">
        <v>35.903799999999997</v>
      </c>
      <c r="C27" s="743">
        <v>11.452999999999999</v>
      </c>
      <c r="D27" s="915">
        <v>45604</v>
      </c>
      <c r="E27" s="743">
        <v>22.494199999999999</v>
      </c>
      <c r="F27" s="743">
        <v>6.6113</v>
      </c>
      <c r="G27" s="915">
        <v>45604</v>
      </c>
      <c r="H27" s="743">
        <v>5.8148</v>
      </c>
      <c r="I27" s="743">
        <v>1.1408</v>
      </c>
      <c r="J27" s="916">
        <v>-0.68100000000000005</v>
      </c>
      <c r="K27" s="916">
        <v>-0.70599999999999996</v>
      </c>
      <c r="L27" s="916">
        <v>-0.80400000000000005</v>
      </c>
    </row>
    <row r="28" spans="1:12" ht="15" customHeight="1" x14ac:dyDescent="0.35">
      <c r="A28" s="915">
        <v>45597</v>
      </c>
      <c r="B28" s="743">
        <v>34.060699999999997</v>
      </c>
      <c r="C28" s="743">
        <v>13.0191</v>
      </c>
      <c r="D28" s="915">
        <v>45597</v>
      </c>
      <c r="E28" s="743">
        <v>22.494900000000001</v>
      </c>
      <c r="F28" s="743">
        <v>7.3983999999999996</v>
      </c>
      <c r="G28" s="915">
        <v>45597</v>
      </c>
      <c r="H28" s="743">
        <v>5.5304000000000002</v>
      </c>
      <c r="I28" s="743">
        <v>1.2558</v>
      </c>
      <c r="J28" s="916">
        <v>-0.61799999999999999</v>
      </c>
      <c r="K28" s="916">
        <v>-0.67100000000000004</v>
      </c>
      <c r="L28" s="916">
        <v>-0.77300000000000002</v>
      </c>
    </row>
    <row r="29" spans="1:12" ht="15" customHeight="1" x14ac:dyDescent="0.35">
      <c r="A29" s="915">
        <v>45590</v>
      </c>
      <c r="B29" s="743">
        <v>34.602899999999998</v>
      </c>
      <c r="C29" s="743">
        <v>13.278</v>
      </c>
      <c r="D29" s="915">
        <v>45590</v>
      </c>
      <c r="E29" s="743">
        <v>22.494900000000001</v>
      </c>
      <c r="F29" s="743">
        <v>7.3985000000000003</v>
      </c>
      <c r="G29" s="915">
        <v>45590</v>
      </c>
      <c r="H29" s="743">
        <v>5.6140999999999996</v>
      </c>
      <c r="I29" s="743">
        <v>1.2698</v>
      </c>
      <c r="J29" s="916">
        <v>-0.61599999999999999</v>
      </c>
      <c r="K29" s="916">
        <v>-0.67100000000000004</v>
      </c>
      <c r="L29" s="916">
        <v>-0.77400000000000002</v>
      </c>
    </row>
    <row r="30" spans="1:12" ht="15" customHeight="1" x14ac:dyDescent="0.35">
      <c r="A30" s="915">
        <v>45583</v>
      </c>
      <c r="B30" s="743">
        <v>34.555300000000003</v>
      </c>
      <c r="C30" s="743">
        <v>13.334199999999999</v>
      </c>
      <c r="D30" s="915">
        <v>45583</v>
      </c>
      <c r="E30" s="743">
        <v>22.494199999999999</v>
      </c>
      <c r="F30" s="743">
        <v>7.3983999999999996</v>
      </c>
      <c r="G30" s="915">
        <v>45583</v>
      </c>
      <c r="H30" s="743">
        <v>5.6067</v>
      </c>
      <c r="I30" s="743">
        <v>1.2727999999999999</v>
      </c>
      <c r="J30" s="916">
        <v>-0.61399999999999999</v>
      </c>
      <c r="K30" s="916">
        <v>-0.67100000000000004</v>
      </c>
      <c r="L30" s="916">
        <v>-0.77300000000000002</v>
      </c>
    </row>
    <row r="31" spans="1:12" ht="15" customHeight="1" x14ac:dyDescent="0.35">
      <c r="A31" s="915">
        <v>45576</v>
      </c>
      <c r="B31" s="743">
        <v>34.466799999999999</v>
      </c>
      <c r="C31" s="743">
        <v>13.339600000000001</v>
      </c>
      <c r="D31" s="915">
        <v>45576</v>
      </c>
      <c r="E31" s="743">
        <v>22.494199999999999</v>
      </c>
      <c r="F31" s="743">
        <v>7.3981000000000003</v>
      </c>
      <c r="G31" s="915">
        <v>45576</v>
      </c>
      <c r="H31" s="743">
        <v>5.5930999999999997</v>
      </c>
      <c r="I31" s="743">
        <v>1.2730999999999999</v>
      </c>
      <c r="J31" s="916">
        <v>-0.61299999999999999</v>
      </c>
      <c r="K31" s="916">
        <v>-0.67100000000000004</v>
      </c>
      <c r="L31" s="916">
        <v>-0.77200000000000002</v>
      </c>
    </row>
    <row r="32" spans="1:12" ht="14.25" customHeight="1" x14ac:dyDescent="0.35">
      <c r="A32" s="915">
        <v>45569</v>
      </c>
      <c r="B32" s="743">
        <v>34.063899999999997</v>
      </c>
      <c r="C32" s="743">
        <v>13.1768</v>
      </c>
      <c r="D32" s="915">
        <v>45569</v>
      </c>
      <c r="E32" s="743">
        <v>22.494199999999999</v>
      </c>
      <c r="F32" s="743">
        <v>7.3981000000000003</v>
      </c>
      <c r="G32" s="915">
        <v>45569</v>
      </c>
      <c r="H32" s="743">
        <v>5.5232000000000001</v>
      </c>
      <c r="I32" s="743">
        <v>1.2643</v>
      </c>
      <c r="J32" s="916">
        <v>-0.61299999999999999</v>
      </c>
      <c r="K32" s="916">
        <v>-0.67100000000000004</v>
      </c>
      <c r="L32" s="916">
        <v>-0.77100000000000002</v>
      </c>
    </row>
    <row r="33" spans="1:12" ht="15" customHeight="1" x14ac:dyDescent="0.35">
      <c r="A33" s="915">
        <v>45562</v>
      </c>
      <c r="B33" s="743">
        <v>34.018999999999998</v>
      </c>
      <c r="C33" s="743">
        <v>13.6587</v>
      </c>
      <c r="D33" s="915">
        <v>45562</v>
      </c>
      <c r="E33" s="743">
        <v>22.488700000000001</v>
      </c>
      <c r="F33" s="743">
        <v>7.3944999999999999</v>
      </c>
      <c r="G33" s="915">
        <v>45562</v>
      </c>
      <c r="H33" s="743">
        <v>5.5162000000000004</v>
      </c>
      <c r="I33" s="743">
        <v>1.2882</v>
      </c>
      <c r="J33" s="916">
        <v>-0.59799999999999998</v>
      </c>
      <c r="K33" s="916">
        <v>-0.67100000000000004</v>
      </c>
      <c r="L33" s="916">
        <v>-0.76600000000000001</v>
      </c>
    </row>
    <row r="34" spans="1:12" ht="15" customHeight="1" x14ac:dyDescent="0.35">
      <c r="A34" s="915">
        <v>45555</v>
      </c>
      <c r="B34" s="743">
        <v>33.649900000000002</v>
      </c>
      <c r="C34" s="743">
        <v>13.2944</v>
      </c>
      <c r="D34" s="915">
        <v>45555</v>
      </c>
      <c r="E34" s="743">
        <v>22.490100000000002</v>
      </c>
      <c r="F34" s="743">
        <v>7.3944999999999999</v>
      </c>
      <c r="G34" s="915">
        <v>45555</v>
      </c>
      <c r="H34" s="743">
        <v>5.4690000000000003</v>
      </c>
      <c r="I34" s="743">
        <v>1.2685</v>
      </c>
      <c r="J34" s="916">
        <v>-0.60499999999999998</v>
      </c>
      <c r="K34" s="916">
        <v>-0.67100000000000004</v>
      </c>
      <c r="L34" s="916">
        <v>-0.76800000000000002</v>
      </c>
    </row>
    <row r="35" spans="1:12" ht="15" customHeight="1" x14ac:dyDescent="0.35">
      <c r="A35" s="915">
        <v>45548</v>
      </c>
      <c r="B35" s="743">
        <v>33.179099999999998</v>
      </c>
      <c r="C35" s="743">
        <v>13.2624</v>
      </c>
      <c r="D35" s="915">
        <v>45548</v>
      </c>
      <c r="E35" s="743">
        <v>22.490500000000001</v>
      </c>
      <c r="F35" s="743">
        <v>7.3944999999999999</v>
      </c>
      <c r="G35" s="915">
        <v>45548</v>
      </c>
      <c r="H35" s="743">
        <v>5.3963000000000001</v>
      </c>
      <c r="I35" s="743">
        <v>1.2667999999999999</v>
      </c>
      <c r="J35" s="916">
        <v>-0.6</v>
      </c>
      <c r="K35" s="916">
        <v>-0.67100000000000004</v>
      </c>
      <c r="L35" s="916">
        <v>-0.76500000000000001</v>
      </c>
    </row>
    <row r="36" spans="1:12" ht="15" customHeight="1" x14ac:dyDescent="0.35">
      <c r="A36" s="915">
        <v>45541</v>
      </c>
      <c r="B36" s="743">
        <v>31.3172</v>
      </c>
      <c r="C36" s="743">
        <v>13.2254</v>
      </c>
      <c r="D36" s="915">
        <v>45541</v>
      </c>
      <c r="E36" s="743">
        <v>22.490500000000001</v>
      </c>
      <c r="F36" s="743">
        <v>7.3944999999999999</v>
      </c>
      <c r="G36" s="915">
        <v>45541</v>
      </c>
      <c r="H36" s="743">
        <v>5.1094999999999997</v>
      </c>
      <c r="I36" s="743">
        <v>1.2647999999999999</v>
      </c>
      <c r="J36" s="916">
        <v>-0.57799999999999996</v>
      </c>
      <c r="K36" s="916">
        <v>-0.67100000000000004</v>
      </c>
      <c r="L36" s="916">
        <v>-0.752</v>
      </c>
    </row>
    <row r="37" spans="1:12" ht="15" customHeight="1" x14ac:dyDescent="0.35">
      <c r="A37" s="915">
        <v>45534</v>
      </c>
      <c r="B37" s="743">
        <v>34.037599999999998</v>
      </c>
      <c r="C37" s="743">
        <v>13.939500000000001</v>
      </c>
      <c r="D37" s="915">
        <v>45534</v>
      </c>
      <c r="E37" s="743">
        <v>21.1874</v>
      </c>
      <c r="F37" s="743">
        <v>7.3944000000000001</v>
      </c>
      <c r="G37" s="915">
        <v>45534</v>
      </c>
      <c r="H37" s="743">
        <v>5.4965000000000002</v>
      </c>
      <c r="I37" s="743">
        <v>1.3042</v>
      </c>
      <c r="J37" s="916">
        <v>-0.59</v>
      </c>
      <c r="K37" s="916">
        <v>-0.65100000000000002</v>
      </c>
      <c r="L37" s="916">
        <v>-0.76300000000000001</v>
      </c>
    </row>
    <row r="38" spans="1:12" ht="15" customHeight="1" x14ac:dyDescent="0.35">
      <c r="A38" s="915">
        <v>45527</v>
      </c>
      <c r="B38" s="743">
        <v>34.291899999999998</v>
      </c>
      <c r="C38" s="743">
        <v>14.182</v>
      </c>
      <c r="D38" s="915">
        <v>45527</v>
      </c>
      <c r="E38" s="743">
        <v>21.187000000000001</v>
      </c>
      <c r="F38" s="743">
        <v>7.3945999999999996</v>
      </c>
      <c r="G38" s="915">
        <v>45527</v>
      </c>
      <c r="H38" s="743">
        <v>5.5354999999999999</v>
      </c>
      <c r="I38" s="743">
        <v>1.3176000000000001</v>
      </c>
      <c r="J38" s="916">
        <v>-0.58599999999999997</v>
      </c>
      <c r="K38" s="916">
        <v>-0.65100000000000002</v>
      </c>
      <c r="L38" s="916">
        <v>-0.76200000000000001</v>
      </c>
    </row>
    <row r="39" spans="1:12" ht="15" customHeight="1" x14ac:dyDescent="0.35">
      <c r="A39" s="915">
        <v>45520</v>
      </c>
      <c r="B39" s="743">
        <v>33.922600000000003</v>
      </c>
      <c r="C39" s="743">
        <v>14.220499999999999</v>
      </c>
      <c r="D39" s="915">
        <v>45520</v>
      </c>
      <c r="E39" s="743">
        <v>21.187000000000001</v>
      </c>
      <c r="F39" s="743">
        <v>7.3947000000000003</v>
      </c>
      <c r="G39" s="915">
        <v>45520</v>
      </c>
      <c r="H39" s="743">
        <v>5.4789000000000003</v>
      </c>
      <c r="I39" s="743">
        <v>1.3199000000000001</v>
      </c>
      <c r="J39" s="916">
        <v>-0.58099999999999996</v>
      </c>
      <c r="K39" s="916">
        <v>-0.65100000000000002</v>
      </c>
      <c r="L39" s="916">
        <v>-0.75900000000000001</v>
      </c>
    </row>
    <row r="40" spans="1:12" ht="15" customHeight="1" x14ac:dyDescent="0.35">
      <c r="A40" s="915">
        <v>45513</v>
      </c>
      <c r="B40" s="743">
        <v>32.191800000000001</v>
      </c>
      <c r="C40" s="743">
        <v>13.04</v>
      </c>
      <c r="D40" s="915">
        <v>45513</v>
      </c>
      <c r="E40" s="743">
        <v>21.1875</v>
      </c>
      <c r="F40" s="743">
        <v>7.9848999999999997</v>
      </c>
      <c r="G40" s="915">
        <v>45513</v>
      </c>
      <c r="H40" s="743">
        <v>5.2138999999999998</v>
      </c>
      <c r="I40" s="743">
        <v>1.2555000000000001</v>
      </c>
      <c r="J40" s="916">
        <v>-0.59499999999999997</v>
      </c>
      <c r="K40" s="916">
        <v>-0.623</v>
      </c>
      <c r="L40" s="916">
        <v>-0.75900000000000001</v>
      </c>
    </row>
    <row r="41" spans="1:12" ht="15" customHeight="1" x14ac:dyDescent="0.35">
      <c r="A41" s="915">
        <v>45506</v>
      </c>
      <c r="B41" s="743">
        <v>32.066400000000002</v>
      </c>
      <c r="C41" s="743">
        <v>13.5768</v>
      </c>
      <c r="D41" s="915">
        <v>45506</v>
      </c>
      <c r="E41" s="743">
        <v>21.185199999999998</v>
      </c>
      <c r="F41" s="743">
        <v>7.9116999999999997</v>
      </c>
      <c r="G41" s="915">
        <v>45506</v>
      </c>
      <c r="H41" s="743">
        <v>5.1943999999999999</v>
      </c>
      <c r="I41" s="743">
        <v>1.2855000000000001</v>
      </c>
      <c r="J41" s="916">
        <v>-0.57699999999999996</v>
      </c>
      <c r="K41" s="916">
        <v>-0.627</v>
      </c>
      <c r="L41" s="916">
        <v>-0.753</v>
      </c>
    </row>
    <row r="42" spans="1:12" ht="15" customHeight="1" x14ac:dyDescent="0.35">
      <c r="A42" s="915">
        <v>45499</v>
      </c>
      <c r="B42" s="743">
        <v>33.080100000000002</v>
      </c>
      <c r="C42" s="743">
        <v>17.462599999999998</v>
      </c>
      <c r="D42" s="915">
        <v>45499</v>
      </c>
      <c r="E42" s="743">
        <v>21.185400000000001</v>
      </c>
      <c r="F42" s="743">
        <v>7.798</v>
      </c>
      <c r="G42" s="915">
        <v>45499</v>
      </c>
      <c r="H42" s="743">
        <v>5.3494999999999999</v>
      </c>
      <c r="I42" s="743">
        <v>1.3287</v>
      </c>
      <c r="J42" s="916">
        <v>-0.47199999999999998</v>
      </c>
      <c r="K42" s="916">
        <v>-0.63200000000000001</v>
      </c>
      <c r="L42" s="916">
        <v>-0.752</v>
      </c>
    </row>
    <row r="43" spans="1:12" ht="15" customHeight="1" x14ac:dyDescent="0.35">
      <c r="A43" s="915">
        <v>45492</v>
      </c>
      <c r="B43" s="743">
        <v>33.947600000000001</v>
      </c>
      <c r="C43" s="743">
        <v>17.921299999999999</v>
      </c>
      <c r="D43" s="915">
        <v>45492</v>
      </c>
      <c r="E43" s="743">
        <v>21.185300000000002</v>
      </c>
      <c r="F43" s="743">
        <v>7.7981999999999996</v>
      </c>
      <c r="G43" s="915">
        <v>45492</v>
      </c>
      <c r="H43" s="743">
        <v>5.4692999999999996</v>
      </c>
      <c r="I43" s="743">
        <v>1.3492999999999999</v>
      </c>
      <c r="J43" s="916">
        <v>-0.47199999999999998</v>
      </c>
      <c r="K43" s="916">
        <v>-0.63200000000000001</v>
      </c>
      <c r="L43" s="916">
        <v>-0.753</v>
      </c>
    </row>
    <row r="44" spans="1:12" ht="15" customHeight="1" x14ac:dyDescent="0.35">
      <c r="A44" s="915">
        <v>45485</v>
      </c>
      <c r="B44" s="743">
        <v>35.353999999999999</v>
      </c>
      <c r="C44" s="743">
        <v>18.3383</v>
      </c>
      <c r="D44" s="915">
        <v>45485</v>
      </c>
      <c r="E44" s="743">
        <v>21.185400000000001</v>
      </c>
      <c r="F44" s="743">
        <v>7.7981999999999996</v>
      </c>
      <c r="G44" s="915">
        <v>45485</v>
      </c>
      <c r="H44" s="743">
        <v>5.6840999999999999</v>
      </c>
      <c r="I44" s="743">
        <v>1.3678999999999999</v>
      </c>
      <c r="J44" s="916">
        <v>-0.48099999999999998</v>
      </c>
      <c r="K44" s="916">
        <v>-0.63200000000000001</v>
      </c>
      <c r="L44" s="916">
        <v>-0.75900000000000001</v>
      </c>
    </row>
    <row r="45" spans="1:12" ht="15" customHeight="1" x14ac:dyDescent="0.35">
      <c r="A45" s="915">
        <v>45478</v>
      </c>
      <c r="B45" s="743">
        <v>35.459200000000003</v>
      </c>
      <c r="C45" s="743">
        <v>18.52</v>
      </c>
      <c r="D45" s="915">
        <v>45478</v>
      </c>
      <c r="E45" s="743">
        <v>21.185400000000001</v>
      </c>
      <c r="F45" s="743">
        <v>7.7981999999999996</v>
      </c>
      <c r="G45" s="915">
        <v>45478</v>
      </c>
      <c r="H45" s="743">
        <v>5.7003000000000004</v>
      </c>
      <c r="I45" s="743">
        <v>1.3759999999999999</v>
      </c>
      <c r="J45" s="916">
        <v>-0.47799999999999998</v>
      </c>
      <c r="K45" s="916">
        <v>-0.63200000000000001</v>
      </c>
      <c r="L45" s="916">
        <v>-0.75900000000000001</v>
      </c>
    </row>
    <row r="46" spans="1:12" ht="15" customHeight="1" x14ac:dyDescent="0.35">
      <c r="A46" s="915">
        <v>45471</v>
      </c>
      <c r="B46" s="743">
        <v>34.231200000000001</v>
      </c>
      <c r="C46" s="743">
        <v>18.081299999999999</v>
      </c>
      <c r="D46" s="915">
        <v>45471</v>
      </c>
      <c r="E46" s="743">
        <v>21.187100000000001</v>
      </c>
      <c r="F46" s="743">
        <v>7.7655000000000003</v>
      </c>
      <c r="G46" s="915">
        <v>45471</v>
      </c>
      <c r="H46" s="743">
        <v>5.5122</v>
      </c>
      <c r="I46" s="743">
        <v>1.3420000000000001</v>
      </c>
      <c r="J46" s="916">
        <v>-0.47199999999999998</v>
      </c>
      <c r="K46" s="916">
        <v>-0.63300000000000001</v>
      </c>
      <c r="L46" s="916">
        <v>-0.75700000000000001</v>
      </c>
    </row>
    <row r="47" spans="1:12" ht="15" customHeight="1" x14ac:dyDescent="0.35">
      <c r="A47" s="915">
        <v>45464</v>
      </c>
      <c r="B47" s="743">
        <v>34.261699999999998</v>
      </c>
      <c r="C47" s="743">
        <v>17.930099999999999</v>
      </c>
      <c r="D47" s="915">
        <v>45464</v>
      </c>
      <c r="E47" s="743">
        <v>21.186900000000001</v>
      </c>
      <c r="F47" s="743">
        <v>7.7655000000000003</v>
      </c>
      <c r="G47" s="915">
        <v>45464</v>
      </c>
      <c r="H47" s="743">
        <v>5.5270999999999999</v>
      </c>
      <c r="I47" s="743">
        <v>1.3352999999999999</v>
      </c>
      <c r="J47" s="916">
        <v>-0.47699999999999998</v>
      </c>
      <c r="K47" s="916">
        <v>-0.63300000000000001</v>
      </c>
      <c r="L47" s="916">
        <v>-0.75800000000000001</v>
      </c>
    </row>
    <row r="48" spans="1:12" ht="14.5" x14ac:dyDescent="0.35">
      <c r="A48" s="915">
        <v>45457</v>
      </c>
      <c r="B48" s="743">
        <v>34.191000000000003</v>
      </c>
      <c r="C48" s="743">
        <v>17.694900000000001</v>
      </c>
      <c r="D48" s="915">
        <v>45457</v>
      </c>
      <c r="E48" s="743">
        <v>21.187100000000001</v>
      </c>
      <c r="F48" s="743">
        <v>7.7655000000000003</v>
      </c>
      <c r="G48" s="915">
        <v>45457</v>
      </c>
      <c r="H48" s="743">
        <v>5.5163000000000002</v>
      </c>
      <c r="I48" s="743">
        <v>1.3154999999999999</v>
      </c>
      <c r="J48" s="916">
        <v>-0.48199999999999998</v>
      </c>
      <c r="K48" s="916">
        <v>-0.63300000000000001</v>
      </c>
      <c r="L48" s="916">
        <v>-0.76200000000000001</v>
      </c>
    </row>
    <row r="49" spans="1:12" ht="14.5" x14ac:dyDescent="0.35">
      <c r="A49" s="915">
        <v>45450</v>
      </c>
      <c r="B49" s="743">
        <v>32.835500000000003</v>
      </c>
      <c r="C49" s="743">
        <v>17.481400000000001</v>
      </c>
      <c r="D49" s="915">
        <v>45450</v>
      </c>
      <c r="E49" s="743">
        <v>21.133900000000001</v>
      </c>
      <c r="F49" s="743">
        <v>7.7655000000000003</v>
      </c>
      <c r="G49" s="915">
        <v>45450</v>
      </c>
      <c r="H49" s="743">
        <v>5.3411</v>
      </c>
      <c r="I49" s="743">
        <v>1.3062</v>
      </c>
      <c r="J49" s="916">
        <v>-0.46800000000000003</v>
      </c>
      <c r="K49" s="916">
        <v>-0.63300000000000001</v>
      </c>
      <c r="L49" s="916">
        <v>-0.755</v>
      </c>
    </row>
    <row r="50" spans="1:12" ht="14.5" x14ac:dyDescent="0.35">
      <c r="A50" s="915">
        <v>45443</v>
      </c>
      <c r="B50" s="743">
        <v>32.022599999999997</v>
      </c>
      <c r="C50" s="743">
        <v>16.789200000000001</v>
      </c>
      <c r="D50" s="915">
        <v>45443</v>
      </c>
      <c r="E50" s="743">
        <v>21.123899999999999</v>
      </c>
      <c r="F50" s="743">
        <v>7.7653999999999996</v>
      </c>
      <c r="G50" s="915">
        <v>45443</v>
      </c>
      <c r="H50" s="743">
        <v>5.2161</v>
      </c>
      <c r="I50" s="743">
        <v>1.2759</v>
      </c>
      <c r="J50" s="916">
        <v>-0.47599999999999998</v>
      </c>
      <c r="K50" s="916">
        <v>-0.63200000000000001</v>
      </c>
      <c r="L50" s="916">
        <v>-0.755</v>
      </c>
    </row>
    <row r="51" spans="1:12" ht="14.5" x14ac:dyDescent="0.35">
      <c r="A51" s="915">
        <v>45436</v>
      </c>
      <c r="B51" s="743">
        <v>34.83</v>
      </c>
      <c r="C51" s="743">
        <v>17.199400000000001</v>
      </c>
      <c r="D51" s="915">
        <v>45436</v>
      </c>
      <c r="E51" s="743">
        <v>19.474599999999999</v>
      </c>
      <c r="F51" s="743">
        <v>7.7652999999999999</v>
      </c>
      <c r="G51" s="915">
        <v>45436</v>
      </c>
      <c r="H51" s="743">
        <v>5.4149000000000003</v>
      </c>
      <c r="I51" s="743">
        <v>1.294</v>
      </c>
      <c r="J51" s="916">
        <v>-0.50600000000000001</v>
      </c>
      <c r="K51" s="916">
        <v>-0.60099999999999998</v>
      </c>
      <c r="L51" s="916">
        <v>-0.76100000000000001</v>
      </c>
    </row>
    <row r="52" spans="1:12" ht="14.5" x14ac:dyDescent="0.35">
      <c r="A52" s="915">
        <v>45429</v>
      </c>
      <c r="B52" s="743">
        <v>34.344299999999997</v>
      </c>
      <c r="C52" s="743">
        <v>17.433</v>
      </c>
      <c r="D52" s="915">
        <v>45429</v>
      </c>
      <c r="E52" s="743">
        <v>19.474699999999999</v>
      </c>
      <c r="F52" s="743">
        <v>7.7652999999999999</v>
      </c>
      <c r="G52" s="915">
        <v>45429</v>
      </c>
      <c r="H52" s="743">
        <v>5.343</v>
      </c>
      <c r="I52" s="743">
        <v>1.3043</v>
      </c>
      <c r="J52" s="916">
        <v>-0.49199999999999999</v>
      </c>
      <c r="K52" s="916">
        <v>-0.60099999999999998</v>
      </c>
      <c r="L52" s="916">
        <v>-0.75600000000000001</v>
      </c>
    </row>
    <row r="53" spans="1:12" ht="14.5" x14ac:dyDescent="0.35">
      <c r="A53" s="915">
        <v>45422</v>
      </c>
      <c r="B53" s="743">
        <v>33.631300000000003</v>
      </c>
      <c r="C53" s="743">
        <v>16.934200000000001</v>
      </c>
      <c r="D53" s="915">
        <v>45422</v>
      </c>
      <c r="E53" s="743">
        <v>19.474699999999999</v>
      </c>
      <c r="F53" s="743">
        <v>8.1019000000000005</v>
      </c>
      <c r="G53" s="915">
        <v>45422</v>
      </c>
      <c r="H53" s="743">
        <v>5.2377000000000002</v>
      </c>
      <c r="I53" s="743">
        <v>1.2834000000000001</v>
      </c>
      <c r="J53" s="916">
        <v>-0.496</v>
      </c>
      <c r="K53" s="916">
        <v>-0.58399999999999996</v>
      </c>
      <c r="L53" s="916">
        <v>-0.755</v>
      </c>
    </row>
    <row r="54" spans="1:12" ht="14.5" x14ac:dyDescent="0.35">
      <c r="A54" s="915">
        <v>45415</v>
      </c>
      <c r="B54" s="743">
        <v>33.130600000000001</v>
      </c>
      <c r="C54" s="743">
        <v>16.599900000000002</v>
      </c>
      <c r="D54" s="915">
        <v>45415</v>
      </c>
      <c r="E54" s="743">
        <v>19.474699999999999</v>
      </c>
      <c r="F54" s="743">
        <v>8.0371000000000006</v>
      </c>
      <c r="G54" s="915">
        <v>45415</v>
      </c>
      <c r="H54" s="743">
        <v>5.1637000000000004</v>
      </c>
      <c r="I54" s="743">
        <v>1.2690999999999999</v>
      </c>
      <c r="J54" s="916">
        <v>-0.499</v>
      </c>
      <c r="K54" s="916">
        <v>-0.58699999999999997</v>
      </c>
      <c r="L54" s="916">
        <v>-0.754</v>
      </c>
    </row>
    <row r="55" spans="1:12" ht="14.5" x14ac:dyDescent="0.35">
      <c r="A55" s="915">
        <v>45408</v>
      </c>
      <c r="B55" s="743">
        <v>32.760599999999997</v>
      </c>
      <c r="C55" s="743">
        <v>19.9499</v>
      </c>
      <c r="D55" s="915">
        <v>45408</v>
      </c>
      <c r="E55" s="743">
        <v>19.4742</v>
      </c>
      <c r="F55" s="743">
        <v>8.0814000000000004</v>
      </c>
      <c r="G55" s="915">
        <v>45408</v>
      </c>
      <c r="H55" s="743">
        <v>5.1163999999999996</v>
      </c>
      <c r="I55" s="743">
        <v>1.2921</v>
      </c>
      <c r="J55" s="916">
        <v>-0.39100000000000001</v>
      </c>
      <c r="K55" s="916">
        <v>-0.58499999999999996</v>
      </c>
      <c r="L55" s="916">
        <v>-0.747</v>
      </c>
    </row>
    <row r="56" spans="1:12" ht="14.5" x14ac:dyDescent="0.35">
      <c r="A56" s="915">
        <v>45401</v>
      </c>
      <c r="B56" s="743">
        <v>31.502099999999999</v>
      </c>
      <c r="C56" s="743">
        <v>19.468</v>
      </c>
      <c r="D56" s="915">
        <v>45401</v>
      </c>
      <c r="E56" s="743">
        <v>19.486000000000001</v>
      </c>
      <c r="F56" s="743">
        <v>8.0814000000000004</v>
      </c>
      <c r="G56" s="915">
        <v>45401</v>
      </c>
      <c r="H56" s="743">
        <v>4.9302999999999999</v>
      </c>
      <c r="I56" s="743">
        <v>1.2741</v>
      </c>
      <c r="J56" s="916">
        <v>-0.38200000000000001</v>
      </c>
      <c r="K56" s="916">
        <v>-0.58499999999999996</v>
      </c>
      <c r="L56" s="916">
        <v>-0.74199999999999999</v>
      </c>
    </row>
    <row r="57" spans="1:12" ht="14.5" x14ac:dyDescent="0.35">
      <c r="A57" s="915">
        <v>45394</v>
      </c>
      <c r="B57" s="743">
        <v>33.2879</v>
      </c>
      <c r="C57" s="743">
        <v>20.306100000000001</v>
      </c>
      <c r="D57" s="915">
        <v>45394</v>
      </c>
      <c r="E57" s="743">
        <v>19.486000000000001</v>
      </c>
      <c r="F57" s="743">
        <v>8.0814000000000004</v>
      </c>
      <c r="G57" s="915">
        <v>45394</v>
      </c>
      <c r="H57" s="743">
        <v>5.1943999999999999</v>
      </c>
      <c r="I57" s="743">
        <v>1.3065</v>
      </c>
      <c r="J57" s="916">
        <v>-0.39</v>
      </c>
      <c r="K57" s="916">
        <v>-0.58499999999999996</v>
      </c>
      <c r="L57" s="916">
        <v>-0.748</v>
      </c>
    </row>
    <row r="58" spans="1:12" ht="14.5" x14ac:dyDescent="0.35">
      <c r="A58" s="915">
        <v>45387</v>
      </c>
      <c r="B58" s="743">
        <v>33.481999999999999</v>
      </c>
      <c r="C58" s="743">
        <v>20.569900000000001</v>
      </c>
      <c r="D58" s="915">
        <v>45387</v>
      </c>
      <c r="E58" s="743">
        <v>19.486000000000001</v>
      </c>
      <c r="F58" s="743">
        <v>8.0814000000000004</v>
      </c>
      <c r="G58" s="915">
        <v>45387</v>
      </c>
      <c r="H58" s="743">
        <v>5.2230999999999996</v>
      </c>
      <c r="I58" s="743">
        <v>1.3167</v>
      </c>
      <c r="J58" s="916">
        <v>-0.38600000000000001</v>
      </c>
      <c r="K58" s="916">
        <v>-0.58499999999999996</v>
      </c>
      <c r="L58" s="916">
        <v>-0.748</v>
      </c>
    </row>
    <row r="59" spans="1:12" ht="14.5" x14ac:dyDescent="0.35">
      <c r="A59" s="915">
        <v>45380</v>
      </c>
      <c r="B59" s="743">
        <v>33.752400000000002</v>
      </c>
      <c r="C59" s="743">
        <v>20.790099999999999</v>
      </c>
      <c r="D59" s="915">
        <v>45380</v>
      </c>
      <c r="E59" s="743">
        <v>19.486499999999999</v>
      </c>
      <c r="F59" s="743">
        <v>8.0814000000000004</v>
      </c>
      <c r="G59" s="915">
        <v>45380</v>
      </c>
      <c r="H59" s="743">
        <v>5.2630999999999997</v>
      </c>
      <c r="I59" s="743">
        <v>1.3250999999999999</v>
      </c>
      <c r="J59" s="916">
        <v>-0.38400000000000001</v>
      </c>
      <c r="K59" s="916">
        <v>-0.58499999999999996</v>
      </c>
      <c r="L59" s="916">
        <v>-0.748</v>
      </c>
    </row>
    <row r="60" spans="1:12" ht="14.5" x14ac:dyDescent="0.35">
      <c r="A60" s="915">
        <v>45373</v>
      </c>
      <c r="B60" s="743">
        <v>33.909100000000002</v>
      </c>
      <c r="C60" s="743">
        <v>20.618600000000001</v>
      </c>
      <c r="D60" s="915">
        <v>45373</v>
      </c>
      <c r="E60" s="743">
        <v>19.486499999999999</v>
      </c>
      <c r="F60" s="743">
        <v>8.0627999999999993</v>
      </c>
      <c r="G60" s="915">
        <v>45373</v>
      </c>
      <c r="H60" s="743">
        <v>5.2862999999999998</v>
      </c>
      <c r="I60" s="743">
        <v>1.319</v>
      </c>
      <c r="J60" s="916">
        <v>-0.39200000000000002</v>
      </c>
      <c r="K60" s="916">
        <v>-0.58599999999999997</v>
      </c>
      <c r="L60" s="916">
        <v>-0.75</v>
      </c>
    </row>
    <row r="61" spans="1:12" ht="14.5" x14ac:dyDescent="0.35">
      <c r="A61" s="915">
        <v>45366</v>
      </c>
      <c r="B61" s="743">
        <v>32.9435</v>
      </c>
      <c r="C61" s="743">
        <v>20.2273</v>
      </c>
      <c r="D61" s="915">
        <v>45366</v>
      </c>
      <c r="E61" s="743">
        <v>19.549700000000001</v>
      </c>
      <c r="F61" s="743">
        <v>8.5718999999999994</v>
      </c>
      <c r="G61" s="915">
        <v>45366</v>
      </c>
      <c r="H61" s="743">
        <v>5.0788000000000002</v>
      </c>
      <c r="I61" s="743">
        <v>1.2892999999999999</v>
      </c>
      <c r="J61" s="916">
        <v>-0.38600000000000001</v>
      </c>
      <c r="K61" s="916">
        <v>-0.56200000000000006</v>
      </c>
      <c r="L61" s="916">
        <v>-0.746</v>
      </c>
    </row>
    <row r="62" spans="1:12" ht="14.5" x14ac:dyDescent="0.35">
      <c r="A62" s="915">
        <v>45359</v>
      </c>
      <c r="B62" s="743">
        <v>33.325299999999999</v>
      </c>
      <c r="C62" s="743">
        <v>19.905899999999999</v>
      </c>
      <c r="D62" s="915">
        <v>45359</v>
      </c>
      <c r="E62" s="743">
        <v>19.463100000000001</v>
      </c>
      <c r="F62" s="743">
        <v>8.3385999999999996</v>
      </c>
      <c r="G62" s="915">
        <v>45359</v>
      </c>
      <c r="H62" s="743">
        <v>5.1326000000000001</v>
      </c>
      <c r="I62" s="743">
        <v>1.2592000000000001</v>
      </c>
      <c r="J62" s="916">
        <v>-0.40300000000000002</v>
      </c>
      <c r="K62" s="916">
        <v>-0.57199999999999995</v>
      </c>
      <c r="L62" s="916">
        <v>-0.755</v>
      </c>
    </row>
    <row r="63" spans="1:12" ht="14.5" x14ac:dyDescent="0.35">
      <c r="A63" s="915">
        <v>45352</v>
      </c>
      <c r="B63" s="743">
        <v>35.7149</v>
      </c>
      <c r="C63" s="743">
        <v>19.129799999999999</v>
      </c>
      <c r="D63" s="915">
        <v>45352</v>
      </c>
      <c r="E63" s="743">
        <v>18.075199999999999</v>
      </c>
      <c r="F63" s="743">
        <v>8.8932000000000002</v>
      </c>
      <c r="G63" s="915">
        <v>45352</v>
      </c>
      <c r="H63" s="743">
        <v>5.3494000000000002</v>
      </c>
      <c r="I63" s="743">
        <v>1.2627999999999999</v>
      </c>
      <c r="J63" s="916">
        <v>-0.46400000000000002</v>
      </c>
      <c r="K63" s="916">
        <v>-0.50800000000000001</v>
      </c>
      <c r="L63" s="916">
        <v>-0.76400000000000001</v>
      </c>
    </row>
    <row r="64" spans="1:12" ht="14.5" x14ac:dyDescent="0.35">
      <c r="A64" s="915">
        <v>45345</v>
      </c>
      <c r="B64" s="743">
        <v>35.002099999999999</v>
      </c>
      <c r="C64" s="743">
        <v>19.107199999999999</v>
      </c>
      <c r="D64" s="915">
        <v>45345</v>
      </c>
      <c r="E64" s="743">
        <v>18.0748</v>
      </c>
      <c r="F64" s="743">
        <v>9.6096000000000004</v>
      </c>
      <c r="G64" s="915">
        <v>45345</v>
      </c>
      <c r="H64" s="743">
        <v>5.2470999999999997</v>
      </c>
      <c r="I64" s="743">
        <v>1.274</v>
      </c>
      <c r="J64" s="916">
        <v>-0.45400000000000001</v>
      </c>
      <c r="K64" s="916">
        <v>-0.46800000000000003</v>
      </c>
      <c r="L64" s="916">
        <v>-0.75700000000000001</v>
      </c>
    </row>
    <row r="65" spans="1:12" ht="14.5" x14ac:dyDescent="0.35">
      <c r="A65" s="915">
        <v>45338</v>
      </c>
      <c r="B65" s="743">
        <v>34.511099999999999</v>
      </c>
      <c r="C65" s="743">
        <v>18.808900000000001</v>
      </c>
      <c r="D65" s="915">
        <v>45338</v>
      </c>
      <c r="E65" s="743">
        <v>18.074300000000001</v>
      </c>
      <c r="F65" s="743">
        <v>8.1318999999999999</v>
      </c>
      <c r="G65" s="915">
        <v>45338</v>
      </c>
      <c r="H65" s="743">
        <v>5.1765999999999996</v>
      </c>
      <c r="I65" s="743">
        <v>1.2681</v>
      </c>
      <c r="J65" s="916">
        <v>-0.45500000000000002</v>
      </c>
      <c r="K65" s="916">
        <v>-0.55000000000000004</v>
      </c>
      <c r="L65" s="916">
        <v>-0.755</v>
      </c>
    </row>
    <row r="66" spans="1:12" ht="14.5" x14ac:dyDescent="0.35">
      <c r="A66" s="915">
        <v>45331</v>
      </c>
      <c r="B66" s="743">
        <v>35.051699999999997</v>
      </c>
      <c r="C66" s="743">
        <v>18.668800000000001</v>
      </c>
      <c r="D66" s="915">
        <v>45331</v>
      </c>
      <c r="E66" s="743">
        <v>18.074300000000001</v>
      </c>
      <c r="F66" s="743">
        <v>8.1318999999999999</v>
      </c>
      <c r="G66" s="915">
        <v>45331</v>
      </c>
      <c r="H66" s="743">
        <v>5.2539999999999996</v>
      </c>
      <c r="I66" s="743">
        <v>1.2625999999999999</v>
      </c>
      <c r="J66" s="916">
        <v>-0.46700000000000003</v>
      </c>
      <c r="K66" s="916">
        <v>-0.55000000000000004</v>
      </c>
      <c r="L66" s="916">
        <v>-0.76</v>
      </c>
    </row>
    <row r="67" spans="1:12" ht="14.5" x14ac:dyDescent="0.35">
      <c r="A67" s="915">
        <v>45324</v>
      </c>
      <c r="B67" s="743">
        <v>34.427900000000001</v>
      </c>
      <c r="C67" s="743">
        <v>18.6633</v>
      </c>
      <c r="D67" s="915">
        <v>45324</v>
      </c>
      <c r="E67" s="743">
        <v>18.074400000000001</v>
      </c>
      <c r="F67" s="743">
        <v>8.1308000000000007</v>
      </c>
      <c r="G67" s="915">
        <v>45324</v>
      </c>
      <c r="H67" s="743">
        <v>5.1645000000000003</v>
      </c>
      <c r="I67" s="743">
        <v>1.2625999999999999</v>
      </c>
      <c r="J67" s="916">
        <v>-0.45800000000000002</v>
      </c>
      <c r="K67" s="916">
        <v>-0.55000000000000004</v>
      </c>
      <c r="L67" s="916">
        <v>-0.75600000000000001</v>
      </c>
    </row>
    <row r="68" spans="1:12" ht="14.5" x14ac:dyDescent="0.35">
      <c r="A68" s="915">
        <v>45317</v>
      </c>
      <c r="B68" s="743">
        <v>33.995199999999997</v>
      </c>
      <c r="C68" s="743">
        <v>17.6129</v>
      </c>
      <c r="D68" s="915">
        <v>45317</v>
      </c>
      <c r="E68" s="743">
        <v>18.075199999999999</v>
      </c>
      <c r="F68" s="743">
        <v>8.1308000000000007</v>
      </c>
      <c r="G68" s="915">
        <v>45317</v>
      </c>
      <c r="H68" s="743">
        <v>5.1024000000000003</v>
      </c>
      <c r="I68" s="743">
        <v>1.2212000000000001</v>
      </c>
      <c r="J68" s="916">
        <v>-0.48199999999999998</v>
      </c>
      <c r="K68" s="916">
        <v>-0.55000000000000004</v>
      </c>
      <c r="L68" s="916">
        <v>-0.76100000000000001</v>
      </c>
    </row>
    <row r="69" spans="1:12" ht="14.5" x14ac:dyDescent="0.35">
      <c r="A69" s="915">
        <v>45310</v>
      </c>
      <c r="B69" s="743">
        <v>33.7864</v>
      </c>
      <c r="C69" s="743">
        <v>17.543399999999998</v>
      </c>
      <c r="D69" s="915">
        <v>45310</v>
      </c>
      <c r="E69" s="743">
        <v>18.075399999999998</v>
      </c>
      <c r="F69" s="743">
        <v>8.1308000000000007</v>
      </c>
      <c r="G69" s="915">
        <v>45310</v>
      </c>
      <c r="H69" s="743">
        <v>5.0724</v>
      </c>
      <c r="I69" s="743">
        <v>1.2178</v>
      </c>
      <c r="J69" s="916">
        <v>-0.48099999999999998</v>
      </c>
      <c r="K69" s="916">
        <v>-0.55000000000000004</v>
      </c>
      <c r="L69" s="916">
        <v>-0.76</v>
      </c>
    </row>
    <row r="70" spans="1:12" ht="14.5" x14ac:dyDescent="0.35">
      <c r="A70" s="915">
        <v>45303</v>
      </c>
      <c r="B70" s="743">
        <v>32.8476</v>
      </c>
      <c r="C70" s="743">
        <v>17.825700000000001</v>
      </c>
      <c r="D70" s="915">
        <v>45303</v>
      </c>
      <c r="E70" s="743">
        <v>18.075399999999998</v>
      </c>
      <c r="F70" s="743">
        <v>8.1308000000000007</v>
      </c>
      <c r="G70" s="915">
        <v>45303</v>
      </c>
      <c r="H70" s="743">
        <v>4.9377000000000004</v>
      </c>
      <c r="I70" s="743">
        <v>1.2292000000000001</v>
      </c>
      <c r="J70" s="916">
        <v>-0.45700000000000002</v>
      </c>
      <c r="K70" s="916">
        <v>-0.55000000000000004</v>
      </c>
      <c r="L70" s="916">
        <v>-0.751</v>
      </c>
    </row>
    <row r="71" spans="1:12" ht="14.5" x14ac:dyDescent="0.35">
      <c r="A71" s="915">
        <v>45296</v>
      </c>
      <c r="B71" s="743">
        <v>31.819400000000002</v>
      </c>
      <c r="C71" s="743">
        <v>18.304200000000002</v>
      </c>
      <c r="D71" s="915">
        <v>45296</v>
      </c>
      <c r="E71" s="743">
        <v>18.0761</v>
      </c>
      <c r="F71" s="743">
        <v>8.1308000000000007</v>
      </c>
      <c r="G71" s="915">
        <v>45296</v>
      </c>
      <c r="H71" s="743">
        <v>4.7900999999999998</v>
      </c>
      <c r="I71" s="743">
        <v>1.2481</v>
      </c>
      <c r="J71" s="916">
        <v>-0.42499999999999999</v>
      </c>
      <c r="K71" s="916">
        <v>-0.55000000000000004</v>
      </c>
      <c r="L71" s="916">
        <v>-0.73899999999999999</v>
      </c>
    </row>
    <row r="72" spans="1:12" ht="14.5" x14ac:dyDescent="0.35">
      <c r="A72" s="915">
        <v>45289</v>
      </c>
      <c r="B72" s="743">
        <v>32.834000000000003</v>
      </c>
      <c r="C72" s="743">
        <v>18.8748</v>
      </c>
      <c r="D72" s="915">
        <v>45289</v>
      </c>
      <c r="E72" s="743">
        <v>18.078299999999999</v>
      </c>
      <c r="F72" s="743">
        <v>8.1308000000000007</v>
      </c>
      <c r="G72" s="915">
        <v>45289</v>
      </c>
      <c r="H72" s="743">
        <v>4.9356999999999998</v>
      </c>
      <c r="I72" s="743">
        <v>1.2705</v>
      </c>
      <c r="J72" s="916">
        <v>-0.42499999999999999</v>
      </c>
      <c r="K72" s="916">
        <v>-0.55000000000000004</v>
      </c>
      <c r="L72" s="916">
        <v>-0.74299999999999999</v>
      </c>
    </row>
    <row r="73" spans="1:12" ht="14.5" x14ac:dyDescent="0.35">
      <c r="A73" s="915">
        <v>45282</v>
      </c>
      <c r="B73" s="743">
        <v>32.7393</v>
      </c>
      <c r="C73" s="743">
        <v>18.387799999999999</v>
      </c>
      <c r="D73" s="915">
        <v>45282</v>
      </c>
      <c r="E73" s="743">
        <v>18.078299999999999</v>
      </c>
      <c r="F73" s="743">
        <v>8.1308000000000007</v>
      </c>
      <c r="G73" s="915">
        <v>45282</v>
      </c>
      <c r="H73" s="743">
        <v>4.9245999999999999</v>
      </c>
      <c r="I73" s="743">
        <v>1.2513000000000001</v>
      </c>
      <c r="J73" s="916">
        <v>-0.438</v>
      </c>
      <c r="K73" s="916">
        <v>-0.55000000000000004</v>
      </c>
      <c r="L73" s="916">
        <v>-0.746</v>
      </c>
    </row>
    <row r="74" spans="1:12" ht="14.5" x14ac:dyDescent="0.35">
      <c r="A74" s="915">
        <v>45275</v>
      </c>
      <c r="B74" s="743">
        <v>32.438899999999997</v>
      </c>
      <c r="C74" s="743">
        <v>18.129899999999999</v>
      </c>
      <c r="D74" s="915">
        <v>45275</v>
      </c>
      <c r="E74" s="743">
        <v>18.078099999999999</v>
      </c>
      <c r="F74" s="743">
        <v>8.1308000000000007</v>
      </c>
      <c r="G74" s="915">
        <v>45275</v>
      </c>
      <c r="H74" s="743">
        <v>4.8322000000000003</v>
      </c>
      <c r="I74" s="743">
        <v>1.2556</v>
      </c>
      <c r="J74" s="916">
        <v>-0.441</v>
      </c>
      <c r="K74" s="916">
        <v>-0.55000000000000004</v>
      </c>
      <c r="L74" s="916">
        <v>-0.74</v>
      </c>
    </row>
    <row r="75" spans="1:12" ht="14.5" x14ac:dyDescent="0.35">
      <c r="A75" s="915">
        <v>45268</v>
      </c>
      <c r="B75" s="743">
        <v>31.387499999999999</v>
      </c>
      <c r="C75" s="743">
        <v>17.715299999999999</v>
      </c>
      <c r="D75" s="915">
        <v>45268</v>
      </c>
      <c r="E75" s="743">
        <v>18.084700000000002</v>
      </c>
      <c r="F75" s="743">
        <v>8.1308000000000007</v>
      </c>
      <c r="G75" s="915">
        <v>45268</v>
      </c>
      <c r="H75" s="743">
        <v>4.6832000000000003</v>
      </c>
      <c r="I75" s="743">
        <v>1.2391000000000001</v>
      </c>
      <c r="J75" s="916">
        <v>-0.436</v>
      </c>
      <c r="K75" s="916">
        <v>-0.55000000000000004</v>
      </c>
      <c r="L75" s="916">
        <v>-0.73499999999999999</v>
      </c>
    </row>
    <row r="76" spans="1:12" ht="14.5" x14ac:dyDescent="0.35">
      <c r="A76" s="915">
        <v>45261</v>
      </c>
      <c r="B76" s="743">
        <v>30.935400000000001</v>
      </c>
      <c r="C76" s="743">
        <v>17.618200000000002</v>
      </c>
      <c r="D76" s="915">
        <v>45261</v>
      </c>
      <c r="E76" s="743">
        <v>18.013500000000001</v>
      </c>
      <c r="F76" s="743">
        <v>8.1308000000000007</v>
      </c>
      <c r="G76" s="915">
        <v>45261</v>
      </c>
      <c r="H76" s="743">
        <v>4.6680999999999999</v>
      </c>
      <c r="I76" s="743">
        <v>1.2352000000000001</v>
      </c>
      <c r="J76" s="916">
        <v>-0.43</v>
      </c>
      <c r="K76" s="916">
        <v>-0.54900000000000004</v>
      </c>
      <c r="L76" s="916">
        <v>-0.73499999999999999</v>
      </c>
    </row>
    <row r="77" spans="1:12" ht="14.5" x14ac:dyDescent="0.35">
      <c r="A77" s="915">
        <v>45254</v>
      </c>
      <c r="B77" s="743">
        <v>30.7941</v>
      </c>
      <c r="C77" s="743">
        <v>17.580400000000001</v>
      </c>
      <c r="D77" s="915">
        <v>45254</v>
      </c>
      <c r="E77" s="743">
        <v>17.9711</v>
      </c>
      <c r="F77" s="743">
        <v>8.1308000000000007</v>
      </c>
      <c r="G77" s="915">
        <v>45254</v>
      </c>
      <c r="H77" s="743">
        <v>4.6612999999999998</v>
      </c>
      <c r="I77" s="743">
        <v>1.2337</v>
      </c>
      <c r="J77" s="916">
        <v>-0.42899999999999999</v>
      </c>
      <c r="K77" s="916">
        <v>-0.54800000000000004</v>
      </c>
      <c r="L77" s="916">
        <v>-0.73499999999999999</v>
      </c>
    </row>
    <row r="78" spans="1:12" ht="14.5" x14ac:dyDescent="0.35">
      <c r="A78" s="915">
        <v>45247</v>
      </c>
      <c r="B78" s="743">
        <v>30.525600000000001</v>
      </c>
      <c r="C78" s="743">
        <v>17.500299999999999</v>
      </c>
      <c r="D78" s="915">
        <v>45247</v>
      </c>
      <c r="E78" s="743">
        <v>17.968</v>
      </c>
      <c r="F78" s="743">
        <v>8.1308000000000007</v>
      </c>
      <c r="G78" s="915">
        <v>45247</v>
      </c>
      <c r="H78" s="743">
        <v>4.6219000000000001</v>
      </c>
      <c r="I78" s="743">
        <v>1.2306999999999999</v>
      </c>
      <c r="J78" s="916">
        <v>-0.42699999999999999</v>
      </c>
      <c r="K78" s="916">
        <v>-0.54700000000000004</v>
      </c>
      <c r="L78" s="916">
        <v>-0.73399999999999999</v>
      </c>
    </row>
    <row r="79" spans="1:12" ht="14.5" x14ac:dyDescent="0.35">
      <c r="A79" s="915">
        <v>45240</v>
      </c>
      <c r="B79" s="743">
        <v>32.959499999999998</v>
      </c>
      <c r="C79" s="743">
        <v>16.4133</v>
      </c>
      <c r="D79" s="915">
        <v>45240</v>
      </c>
      <c r="E79" s="743">
        <v>20.4788</v>
      </c>
      <c r="F79" s="743">
        <v>8.7097999999999995</v>
      </c>
      <c r="G79" s="915">
        <v>45240</v>
      </c>
      <c r="H79" s="743">
        <v>4.9481999999999999</v>
      </c>
      <c r="I79" s="743">
        <v>1.1600999999999999</v>
      </c>
      <c r="J79" s="916">
        <v>-0.502</v>
      </c>
      <c r="K79" s="916">
        <v>-0.57499999999999996</v>
      </c>
      <c r="L79" s="916">
        <v>-0.76600000000000001</v>
      </c>
    </row>
    <row r="80" spans="1:12" ht="14.5" x14ac:dyDescent="0.35">
      <c r="A80" s="915">
        <v>45233</v>
      </c>
      <c r="B80" s="743">
        <v>32.047699999999999</v>
      </c>
      <c r="C80" s="743">
        <v>16.1495</v>
      </c>
      <c r="D80" s="915">
        <v>45233</v>
      </c>
      <c r="E80" s="743">
        <v>20.4787</v>
      </c>
      <c r="F80" s="743">
        <v>8.7380999999999993</v>
      </c>
      <c r="G80" s="915">
        <v>45233</v>
      </c>
      <c r="H80" s="743">
        <v>4.8166000000000002</v>
      </c>
      <c r="I80" s="743">
        <v>1.1427</v>
      </c>
      <c r="J80" s="916">
        <v>-0.496</v>
      </c>
      <c r="K80" s="916">
        <v>-0.57299999999999995</v>
      </c>
      <c r="L80" s="916">
        <v>-0.76300000000000001</v>
      </c>
    </row>
    <row r="81" spans="1:12" ht="14.5" x14ac:dyDescent="0.35">
      <c r="A81" s="915">
        <v>45226</v>
      </c>
      <c r="B81" s="743">
        <v>30.097000000000001</v>
      </c>
      <c r="C81" s="743">
        <v>15.954700000000001</v>
      </c>
      <c r="D81" s="915">
        <v>45226</v>
      </c>
      <c r="E81" s="743">
        <v>20.4787</v>
      </c>
      <c r="F81" s="743">
        <v>8.3742999999999999</v>
      </c>
      <c r="G81" s="915">
        <v>45226</v>
      </c>
      <c r="H81" s="743">
        <v>4.5349000000000004</v>
      </c>
      <c r="I81" s="743">
        <v>1.1557999999999999</v>
      </c>
      <c r="J81" s="916">
        <v>-0.47</v>
      </c>
      <c r="K81" s="916">
        <v>-0.59099999999999997</v>
      </c>
      <c r="L81" s="916">
        <v>-0.745</v>
      </c>
    </row>
    <row r="82" spans="1:12" ht="14.5" x14ac:dyDescent="0.35">
      <c r="A82" s="915">
        <v>45219</v>
      </c>
      <c r="B82" s="743">
        <v>30.904499999999999</v>
      </c>
      <c r="C82" s="743">
        <v>16.460699999999999</v>
      </c>
      <c r="D82" s="915">
        <v>45219</v>
      </c>
      <c r="E82" s="743">
        <v>20.478300000000001</v>
      </c>
      <c r="F82" s="743">
        <v>8.3742999999999999</v>
      </c>
      <c r="G82" s="915">
        <v>45219</v>
      </c>
      <c r="H82" s="743">
        <v>4.6515000000000004</v>
      </c>
      <c r="I82" s="743">
        <v>1.1766000000000001</v>
      </c>
      <c r="J82" s="916">
        <v>-0.46700000000000003</v>
      </c>
      <c r="K82" s="916">
        <v>-0.59099999999999997</v>
      </c>
      <c r="L82" s="916">
        <v>-0.747</v>
      </c>
    </row>
    <row r="83" spans="1:12" ht="14.5" x14ac:dyDescent="0.35">
      <c r="A83" s="915">
        <v>45212</v>
      </c>
      <c r="B83" s="743">
        <v>31.8261</v>
      </c>
      <c r="C83" s="743">
        <v>16.850000000000001</v>
      </c>
      <c r="D83" s="915">
        <v>45212</v>
      </c>
      <c r="E83" s="743">
        <v>20.478300000000001</v>
      </c>
      <c r="F83" s="743">
        <v>8.3742999999999999</v>
      </c>
      <c r="G83" s="915">
        <v>45212</v>
      </c>
      <c r="H83" s="743">
        <v>4.7846000000000002</v>
      </c>
      <c r="I83" s="743">
        <v>1.1926000000000001</v>
      </c>
      <c r="J83" s="916">
        <v>-0.47099999999999997</v>
      </c>
      <c r="K83" s="916">
        <v>-0.59099999999999997</v>
      </c>
      <c r="L83" s="916">
        <v>-0.751</v>
      </c>
    </row>
    <row r="84" spans="1:12" ht="14.5" x14ac:dyDescent="0.35">
      <c r="A84" s="915">
        <v>45205</v>
      </c>
      <c r="B84" s="743">
        <v>31.779699999999998</v>
      </c>
      <c r="C84" s="743">
        <v>16.4817</v>
      </c>
      <c r="D84" s="915">
        <v>45205</v>
      </c>
      <c r="E84" s="743">
        <v>20.4862</v>
      </c>
      <c r="F84" s="743">
        <v>8.3742999999999999</v>
      </c>
      <c r="G84" s="915">
        <v>45205</v>
      </c>
      <c r="H84" s="743">
        <v>4.7778</v>
      </c>
      <c r="I84" s="743">
        <v>1.1774</v>
      </c>
      <c r="J84" s="916">
        <v>-0.48099999999999998</v>
      </c>
      <c r="K84" s="916">
        <v>-0.59099999999999997</v>
      </c>
      <c r="L84" s="916">
        <v>-0.754</v>
      </c>
    </row>
    <row r="85" spans="1:12" ht="14.5" x14ac:dyDescent="0.35">
      <c r="A85" s="915">
        <v>45198</v>
      </c>
      <c r="B85" s="743">
        <v>31.232099999999999</v>
      </c>
      <c r="C85" s="743">
        <v>16.870799999999999</v>
      </c>
      <c r="D85" s="915">
        <v>45198</v>
      </c>
      <c r="E85" s="743">
        <v>20.496600000000001</v>
      </c>
      <c r="F85" s="743">
        <v>8.3742999999999999</v>
      </c>
      <c r="G85" s="915">
        <v>45198</v>
      </c>
      <c r="H85" s="743">
        <v>4.6986999999999997</v>
      </c>
      <c r="I85" s="743">
        <v>1.1932</v>
      </c>
      <c r="J85" s="916">
        <v>-0.46</v>
      </c>
      <c r="K85" s="916">
        <v>-0.59099999999999997</v>
      </c>
      <c r="L85" s="916">
        <v>-0.746</v>
      </c>
    </row>
    <row r="86" spans="1:12" ht="14.5" x14ac:dyDescent="0.35">
      <c r="A86" s="915">
        <v>45191</v>
      </c>
      <c r="B86" s="743">
        <v>31.240600000000001</v>
      </c>
      <c r="C86" s="743">
        <v>17.150500000000001</v>
      </c>
      <c r="D86" s="915">
        <v>45191</v>
      </c>
      <c r="E86" s="743">
        <v>20.4895</v>
      </c>
      <c r="F86" s="743">
        <v>8.3742999999999999</v>
      </c>
      <c r="G86" s="915">
        <v>45191</v>
      </c>
      <c r="H86" s="743">
        <v>4.6894999999999998</v>
      </c>
      <c r="I86" s="743">
        <v>1.2042999999999999</v>
      </c>
      <c r="J86" s="916">
        <v>-0.45100000000000001</v>
      </c>
      <c r="K86" s="916">
        <v>-0.59099999999999997</v>
      </c>
      <c r="L86" s="916">
        <v>-0.74299999999999999</v>
      </c>
    </row>
    <row r="87" spans="1:12" ht="14.5" x14ac:dyDescent="0.35">
      <c r="A87" s="915">
        <v>45184</v>
      </c>
      <c r="B87" s="743">
        <v>32.305300000000003</v>
      </c>
      <c r="C87" s="743">
        <v>17.8367</v>
      </c>
      <c r="D87" s="915">
        <v>45184</v>
      </c>
      <c r="E87" s="743">
        <v>20.488800000000001</v>
      </c>
      <c r="F87" s="743">
        <v>8.3742999999999999</v>
      </c>
      <c r="G87" s="915">
        <v>45184</v>
      </c>
      <c r="H87" s="743">
        <v>4.8531000000000004</v>
      </c>
      <c r="I87" s="743">
        <v>1.2323</v>
      </c>
      <c r="J87" s="916">
        <v>-0.44800000000000001</v>
      </c>
      <c r="K87" s="916">
        <v>-0.59099999999999997</v>
      </c>
      <c r="L87" s="916">
        <v>-0.746</v>
      </c>
    </row>
    <row r="88" spans="1:12" ht="14.5" x14ac:dyDescent="0.35">
      <c r="A88" s="915">
        <v>45177</v>
      </c>
      <c r="B88" s="743">
        <v>32.471499999999999</v>
      </c>
      <c r="C88" s="743">
        <v>17.381699999999999</v>
      </c>
      <c r="D88" s="915">
        <v>45177</v>
      </c>
      <c r="E88" s="743">
        <v>20.4892</v>
      </c>
      <c r="F88" s="743">
        <v>8.3742999999999999</v>
      </c>
      <c r="G88" s="915">
        <v>45177</v>
      </c>
      <c r="H88" s="743">
        <v>4.8769999999999998</v>
      </c>
      <c r="I88" s="743">
        <v>1.2138</v>
      </c>
      <c r="J88" s="916">
        <v>-0.46500000000000002</v>
      </c>
      <c r="K88" s="916">
        <v>-0.59099999999999997</v>
      </c>
      <c r="L88" s="916">
        <v>-0.751</v>
      </c>
    </row>
    <row r="89" spans="1:12" ht="14.5" x14ac:dyDescent="0.35">
      <c r="A89" s="915">
        <v>45170</v>
      </c>
      <c r="B89" s="743">
        <v>32.8874</v>
      </c>
      <c r="C89" s="743">
        <v>17.489899999999999</v>
      </c>
      <c r="D89" s="915">
        <v>45170</v>
      </c>
      <c r="E89" s="743">
        <v>20.488299999999999</v>
      </c>
      <c r="F89" s="743">
        <v>8.3742999999999999</v>
      </c>
      <c r="G89" s="915">
        <v>45170</v>
      </c>
      <c r="H89" s="743">
        <v>4.9412000000000003</v>
      </c>
      <c r="I89" s="743">
        <v>1.2183999999999999</v>
      </c>
      <c r="J89" s="916">
        <v>-0.46800000000000003</v>
      </c>
      <c r="K89" s="916">
        <v>-0.59099999999999997</v>
      </c>
      <c r="L89" s="916">
        <v>-0.753</v>
      </c>
    </row>
    <row r="90" spans="1:12" ht="14.5" x14ac:dyDescent="0.35">
      <c r="A90" s="915">
        <v>45163</v>
      </c>
      <c r="B90" s="743">
        <v>31.654499999999999</v>
      </c>
      <c r="C90" s="743">
        <v>17.072399999999998</v>
      </c>
      <c r="D90" s="915">
        <v>45163</v>
      </c>
      <c r="E90" s="743">
        <v>20.474699999999999</v>
      </c>
      <c r="F90" s="743">
        <v>8.3742999999999999</v>
      </c>
      <c r="G90" s="915">
        <v>45163</v>
      </c>
      <c r="H90" s="743">
        <v>4.7739000000000003</v>
      </c>
      <c r="I90" s="743">
        <v>1.2013</v>
      </c>
      <c r="J90" s="916">
        <v>-0.46100000000000002</v>
      </c>
      <c r="K90" s="916">
        <v>-0.59099999999999997</v>
      </c>
      <c r="L90" s="916">
        <v>-0.748</v>
      </c>
    </row>
    <row r="91" spans="1:12" ht="14.5" x14ac:dyDescent="0.35">
      <c r="A91" s="915">
        <v>45156</v>
      </c>
      <c r="B91" s="743">
        <v>31.033300000000001</v>
      </c>
      <c r="C91" s="743">
        <v>16.969899999999999</v>
      </c>
      <c r="D91" s="915">
        <v>45156</v>
      </c>
      <c r="E91" s="743">
        <v>20.410599999999999</v>
      </c>
      <c r="F91" s="743">
        <v>8.3742999999999999</v>
      </c>
      <c r="G91" s="915">
        <v>45156</v>
      </c>
      <c r="H91" s="743">
        <v>4.6989999999999998</v>
      </c>
      <c r="I91" s="743">
        <v>1.1972</v>
      </c>
      <c r="J91" s="916">
        <v>-0.45300000000000001</v>
      </c>
      <c r="K91" s="916">
        <v>-0.59</v>
      </c>
      <c r="L91" s="916">
        <v>-0.745</v>
      </c>
    </row>
    <row r="92" spans="1:12" ht="14.5" x14ac:dyDescent="0.35">
      <c r="A92" s="915">
        <v>45149</v>
      </c>
      <c r="B92" s="743">
        <v>31.536000000000001</v>
      </c>
      <c r="C92" s="743">
        <v>16.616499999999998</v>
      </c>
      <c r="D92" s="915">
        <v>45149</v>
      </c>
      <c r="E92" s="743">
        <v>20.2913</v>
      </c>
      <c r="F92" s="743">
        <v>8.2756000000000007</v>
      </c>
      <c r="G92" s="915">
        <v>45149</v>
      </c>
      <c r="H92" s="743">
        <v>4.8041</v>
      </c>
      <c r="I92" s="743">
        <v>1.1667000000000001</v>
      </c>
      <c r="J92" s="916">
        <v>-0.47299999999999998</v>
      </c>
      <c r="K92" s="916">
        <v>-0.59199999999999997</v>
      </c>
      <c r="L92" s="916">
        <v>-0.75700000000000001</v>
      </c>
    </row>
    <row r="93" spans="1:12" ht="14.5" x14ac:dyDescent="0.35">
      <c r="A93" s="915">
        <v>45142</v>
      </c>
      <c r="B93" s="743">
        <v>34.113500000000002</v>
      </c>
      <c r="C93" s="743">
        <v>16.712700000000002</v>
      </c>
      <c r="D93" s="915">
        <v>45142</v>
      </c>
      <c r="E93" s="743">
        <v>18.508500000000002</v>
      </c>
      <c r="F93" s="743">
        <v>8.3270999999999997</v>
      </c>
      <c r="G93" s="915">
        <v>45142</v>
      </c>
      <c r="H93" s="743">
        <v>4.9661</v>
      </c>
      <c r="I93" s="743">
        <v>1.1638999999999999</v>
      </c>
      <c r="J93" s="916">
        <v>-0.51</v>
      </c>
      <c r="K93" s="916">
        <v>-0.55000000000000004</v>
      </c>
      <c r="L93" s="916">
        <v>-0.76600000000000001</v>
      </c>
    </row>
    <row r="94" spans="1:12" ht="14.5" x14ac:dyDescent="0.35">
      <c r="A94" s="915">
        <v>45135</v>
      </c>
      <c r="B94" s="743">
        <v>35.176600000000001</v>
      </c>
      <c r="C94" s="743">
        <v>14.387700000000001</v>
      </c>
      <c r="D94" s="915">
        <v>45135</v>
      </c>
      <c r="E94" s="743">
        <v>18.508700000000001</v>
      </c>
      <c r="F94" s="743">
        <v>7.4953000000000003</v>
      </c>
      <c r="G94" s="915">
        <v>45135</v>
      </c>
      <c r="H94" s="743">
        <v>5.1144999999999996</v>
      </c>
      <c r="I94" s="743">
        <v>1.1927000000000001</v>
      </c>
      <c r="J94" s="916">
        <v>-0.59099999999999997</v>
      </c>
      <c r="K94" s="916">
        <v>-0.59499999999999997</v>
      </c>
      <c r="L94" s="916">
        <v>-0.76700000000000002</v>
      </c>
    </row>
    <row r="95" spans="1:12" ht="14.5" x14ac:dyDescent="0.35">
      <c r="A95" s="915">
        <v>45128</v>
      </c>
      <c r="B95" s="743">
        <v>34.450200000000002</v>
      </c>
      <c r="C95" s="743">
        <v>14.298400000000001</v>
      </c>
      <c r="D95" s="915">
        <v>45128</v>
      </c>
      <c r="E95" s="743">
        <v>18.508700000000001</v>
      </c>
      <c r="F95" s="743">
        <v>7.4953000000000003</v>
      </c>
      <c r="G95" s="915">
        <v>45128</v>
      </c>
      <c r="H95" s="743">
        <v>4.9797000000000002</v>
      </c>
      <c r="I95" s="743">
        <v>1.1881999999999999</v>
      </c>
      <c r="J95" s="916">
        <v>-0.58499999999999996</v>
      </c>
      <c r="K95" s="916">
        <v>-0.59499999999999997</v>
      </c>
      <c r="L95" s="916">
        <v>-0.76100000000000001</v>
      </c>
    </row>
    <row r="96" spans="1:12" ht="14.5" x14ac:dyDescent="0.35">
      <c r="A96" s="915">
        <v>45121</v>
      </c>
      <c r="B96" s="743">
        <v>34.762700000000002</v>
      </c>
      <c r="C96" s="743">
        <v>14.4847</v>
      </c>
      <c r="D96" s="915">
        <v>45121</v>
      </c>
      <c r="E96" s="743">
        <v>18.508700000000001</v>
      </c>
      <c r="F96" s="743">
        <v>7.4953000000000003</v>
      </c>
      <c r="G96" s="915">
        <v>45121</v>
      </c>
      <c r="H96" s="743">
        <v>5.0328999999999997</v>
      </c>
      <c r="I96" s="743">
        <v>1.1976</v>
      </c>
      <c r="J96" s="916">
        <v>-0.58299999999999996</v>
      </c>
      <c r="K96" s="916">
        <v>-0.59499999999999997</v>
      </c>
      <c r="L96" s="916">
        <v>-0.76200000000000001</v>
      </c>
    </row>
    <row r="97" spans="1:12" ht="14.5" x14ac:dyDescent="0.35">
      <c r="A97" s="915">
        <v>45114</v>
      </c>
      <c r="B97" s="743">
        <v>33.581899999999997</v>
      </c>
      <c r="C97" s="743">
        <v>13.8368</v>
      </c>
      <c r="D97" s="915">
        <v>45114</v>
      </c>
      <c r="E97" s="743">
        <v>18.508700000000001</v>
      </c>
      <c r="F97" s="743">
        <v>7.4953000000000003</v>
      </c>
      <c r="G97" s="915">
        <v>45114</v>
      </c>
      <c r="H97" s="743">
        <v>4.8688000000000002</v>
      </c>
      <c r="I97" s="743">
        <v>1.1651</v>
      </c>
      <c r="J97" s="916">
        <v>-0.58799999999999997</v>
      </c>
      <c r="K97" s="916">
        <v>-0.59499999999999997</v>
      </c>
      <c r="L97" s="916">
        <v>-0.76100000000000001</v>
      </c>
    </row>
    <row r="98" spans="1:12" ht="14.5" x14ac:dyDescent="0.35">
      <c r="A98" s="915">
        <v>45107</v>
      </c>
      <c r="B98" s="743">
        <v>33.899799999999999</v>
      </c>
      <c r="C98" s="743">
        <v>14.094099999999999</v>
      </c>
      <c r="D98" s="915">
        <v>45107</v>
      </c>
      <c r="E98" s="743">
        <v>18.509</v>
      </c>
      <c r="F98" s="743">
        <v>7.4953000000000003</v>
      </c>
      <c r="G98" s="915">
        <v>45107</v>
      </c>
      <c r="H98" s="743">
        <v>4.9130000000000003</v>
      </c>
      <c r="I98" s="743">
        <v>1.1779999999999999</v>
      </c>
      <c r="J98" s="916">
        <v>-0.58399999999999996</v>
      </c>
      <c r="K98" s="916">
        <v>-0.59499999999999997</v>
      </c>
      <c r="L98" s="916">
        <v>-0.76</v>
      </c>
    </row>
    <row r="99" spans="1:12" ht="14.5" x14ac:dyDescent="0.35">
      <c r="A99" s="915">
        <v>45100</v>
      </c>
      <c r="B99" s="743">
        <v>33.257199999999997</v>
      </c>
      <c r="C99" s="743">
        <v>14.117900000000001</v>
      </c>
      <c r="D99" s="915">
        <v>45100</v>
      </c>
      <c r="E99" s="743">
        <v>18.5093</v>
      </c>
      <c r="F99" s="743">
        <v>7.4953000000000003</v>
      </c>
      <c r="G99" s="915">
        <v>45100</v>
      </c>
      <c r="H99" s="743">
        <v>4.8236999999999997</v>
      </c>
      <c r="I99" s="743">
        <v>1.1793</v>
      </c>
      <c r="J99" s="916">
        <v>-0.57499999999999996</v>
      </c>
      <c r="K99" s="916">
        <v>-0.59499999999999997</v>
      </c>
      <c r="L99" s="916">
        <v>-0.75600000000000001</v>
      </c>
    </row>
    <row r="100" spans="1:12" ht="14.5" x14ac:dyDescent="0.35">
      <c r="A100" s="915">
        <v>45093</v>
      </c>
      <c r="B100" s="743">
        <v>33.686999999999998</v>
      </c>
      <c r="C100" s="743">
        <v>14.411300000000001</v>
      </c>
      <c r="D100" s="915">
        <v>45093</v>
      </c>
      <c r="E100" s="743">
        <v>18.5091</v>
      </c>
      <c r="F100" s="743">
        <v>7.4953000000000003</v>
      </c>
      <c r="G100" s="915">
        <v>45093</v>
      </c>
      <c r="H100" s="743">
        <v>4.8874000000000004</v>
      </c>
      <c r="I100" s="743">
        <v>1.1939</v>
      </c>
      <c r="J100" s="916">
        <v>-0.57199999999999995</v>
      </c>
      <c r="K100" s="916">
        <v>-0.59499999999999997</v>
      </c>
      <c r="L100" s="916">
        <v>-0.75600000000000001</v>
      </c>
    </row>
    <row r="101" spans="1:12" ht="14.5" x14ac:dyDescent="0.35">
      <c r="A101" s="915">
        <v>45086</v>
      </c>
      <c r="B101" s="743">
        <v>32.446199999999997</v>
      </c>
      <c r="C101" s="743">
        <v>14.479699999999999</v>
      </c>
      <c r="D101" s="915">
        <v>45086</v>
      </c>
      <c r="E101" s="743">
        <v>18.5091</v>
      </c>
      <c r="F101" s="743">
        <v>7.4953000000000003</v>
      </c>
      <c r="G101" s="915">
        <v>45086</v>
      </c>
      <c r="H101" s="743">
        <v>4.7148000000000003</v>
      </c>
      <c r="I101" s="743">
        <v>1.2013</v>
      </c>
      <c r="J101" s="916">
        <v>-0.55400000000000005</v>
      </c>
      <c r="K101" s="916">
        <v>-0.59499999999999997</v>
      </c>
      <c r="L101" s="916">
        <v>-0.745</v>
      </c>
    </row>
    <row r="102" spans="1:12" ht="14.5" x14ac:dyDescent="0.35">
      <c r="A102" s="915">
        <v>45079</v>
      </c>
      <c r="B102" s="743">
        <v>32.487099999999998</v>
      </c>
      <c r="C102" s="743">
        <v>14.3247</v>
      </c>
      <c r="D102" s="915">
        <v>45079</v>
      </c>
      <c r="E102" s="743">
        <v>18.509399999999999</v>
      </c>
      <c r="F102" s="743">
        <v>7.4953000000000003</v>
      </c>
      <c r="G102" s="915">
        <v>45079</v>
      </c>
      <c r="H102" s="743">
        <v>4.7312000000000003</v>
      </c>
      <c r="I102" s="743">
        <v>1.1935</v>
      </c>
      <c r="J102" s="916">
        <v>-0.55900000000000005</v>
      </c>
      <c r="K102" s="916">
        <v>-0.59499999999999997</v>
      </c>
      <c r="L102" s="916">
        <v>-0.748</v>
      </c>
    </row>
    <row r="103" spans="1:12" ht="14.5" x14ac:dyDescent="0.35">
      <c r="A103" s="915">
        <v>45072</v>
      </c>
      <c r="B103" s="743">
        <v>31.865300000000001</v>
      </c>
      <c r="C103" s="743">
        <v>14.088900000000001</v>
      </c>
      <c r="D103" s="915">
        <v>45072</v>
      </c>
      <c r="E103" s="743">
        <v>18.476400000000002</v>
      </c>
      <c r="F103" s="743">
        <v>7.4953000000000003</v>
      </c>
      <c r="G103" s="915">
        <v>45072</v>
      </c>
      <c r="H103" s="743">
        <v>4.6534000000000004</v>
      </c>
      <c r="I103" s="743">
        <v>1.1816</v>
      </c>
      <c r="J103" s="916">
        <v>-0.55800000000000005</v>
      </c>
      <c r="K103" s="916">
        <v>-0.59399999999999997</v>
      </c>
      <c r="L103" s="916">
        <v>-0.746</v>
      </c>
    </row>
    <row r="104" spans="1:12" ht="14.5" x14ac:dyDescent="0.35">
      <c r="A104" s="915">
        <v>45065</v>
      </c>
      <c r="B104" s="743">
        <v>30.684799999999999</v>
      </c>
      <c r="C104" s="743">
        <v>13.949199999999999</v>
      </c>
      <c r="D104" s="915">
        <v>45065</v>
      </c>
      <c r="E104" s="743">
        <v>18.420000000000002</v>
      </c>
      <c r="F104" s="743">
        <v>7.4953000000000003</v>
      </c>
      <c r="G104" s="915">
        <v>45065</v>
      </c>
      <c r="H104" s="743">
        <v>4.4954000000000001</v>
      </c>
      <c r="I104" s="743">
        <v>1.1747000000000001</v>
      </c>
      <c r="J104" s="916">
        <v>-0.54500000000000004</v>
      </c>
      <c r="K104" s="916">
        <v>-0.59299999999999997</v>
      </c>
      <c r="L104" s="916">
        <v>-0.73899999999999999</v>
      </c>
    </row>
    <row r="105" spans="1:12" ht="14.5" x14ac:dyDescent="0.35">
      <c r="A105" s="915">
        <v>45058</v>
      </c>
      <c r="B105" s="743">
        <v>29.621099999999998</v>
      </c>
      <c r="C105" s="743">
        <v>12.986000000000001</v>
      </c>
      <c r="D105" s="915">
        <v>45058</v>
      </c>
      <c r="E105" s="743">
        <v>18.3935</v>
      </c>
      <c r="F105" s="743">
        <v>7.1349999999999998</v>
      </c>
      <c r="G105" s="915">
        <v>45058</v>
      </c>
      <c r="H105" s="743">
        <v>4.3503999999999996</v>
      </c>
      <c r="I105" s="743">
        <v>1.1293</v>
      </c>
      <c r="J105" s="916">
        <v>-0.56200000000000006</v>
      </c>
      <c r="K105" s="916">
        <v>-0.61199999999999999</v>
      </c>
      <c r="L105" s="916">
        <v>-0.74</v>
      </c>
    </row>
    <row r="106" spans="1:12" ht="14.5" x14ac:dyDescent="0.35">
      <c r="A106" s="915">
        <v>45051</v>
      </c>
      <c r="B106" s="743">
        <v>29.273</v>
      </c>
      <c r="C106" s="743">
        <v>12.9856</v>
      </c>
      <c r="D106" s="915">
        <v>45051</v>
      </c>
      <c r="E106" s="743">
        <v>14.9968</v>
      </c>
      <c r="F106" s="743">
        <v>7.1452999999999998</v>
      </c>
      <c r="G106" s="915">
        <v>45051</v>
      </c>
      <c r="H106" s="743">
        <v>4.3753000000000002</v>
      </c>
      <c r="I106" s="743">
        <v>1.1323000000000001</v>
      </c>
      <c r="J106" s="916">
        <v>-0.55600000000000005</v>
      </c>
      <c r="K106" s="916">
        <v>-0.52400000000000002</v>
      </c>
      <c r="L106" s="916">
        <v>-0.74099999999999999</v>
      </c>
    </row>
    <row r="107" spans="1:12" ht="14.5" x14ac:dyDescent="0.35">
      <c r="A107" s="915">
        <v>45044</v>
      </c>
      <c r="B107" s="743">
        <v>29.244</v>
      </c>
      <c r="C107" s="743">
        <v>11.288500000000001</v>
      </c>
      <c r="D107" s="915">
        <v>45044</v>
      </c>
      <c r="E107" s="743">
        <v>14.9968</v>
      </c>
      <c r="F107" s="743">
        <v>6.4420000000000002</v>
      </c>
      <c r="G107" s="915">
        <v>45044</v>
      </c>
      <c r="H107" s="743">
        <v>4.3712</v>
      </c>
      <c r="I107" s="743">
        <v>1.1297999999999999</v>
      </c>
      <c r="J107" s="916">
        <v>-0.61399999999999999</v>
      </c>
      <c r="K107" s="916">
        <v>-0.56999999999999995</v>
      </c>
      <c r="L107" s="916">
        <v>-0.74199999999999999</v>
      </c>
    </row>
    <row r="108" spans="1:12" ht="14.5" x14ac:dyDescent="0.35">
      <c r="A108" s="915">
        <v>45037</v>
      </c>
      <c r="B108" s="743">
        <v>28.7027</v>
      </c>
      <c r="C108" s="743">
        <v>11.426500000000001</v>
      </c>
      <c r="D108" s="915">
        <v>45037</v>
      </c>
      <c r="E108" s="743">
        <v>14.994899999999999</v>
      </c>
      <c r="F108" s="743">
        <v>6.4420000000000002</v>
      </c>
      <c r="G108" s="915">
        <v>45037</v>
      </c>
      <c r="H108" s="743">
        <v>4.2941000000000003</v>
      </c>
      <c r="I108" s="743">
        <v>1.1383000000000001</v>
      </c>
      <c r="J108" s="916">
        <v>-0.60199999999999998</v>
      </c>
      <c r="K108" s="916">
        <v>-0.56999999999999995</v>
      </c>
      <c r="L108" s="916">
        <v>-0.73499999999999999</v>
      </c>
    </row>
    <row r="109" spans="1:12" ht="14.5" x14ac:dyDescent="0.35">
      <c r="A109" s="915">
        <v>45030</v>
      </c>
      <c r="B109" s="743">
        <v>28.876200000000001</v>
      </c>
      <c r="C109" s="743">
        <v>11.5283</v>
      </c>
      <c r="D109" s="915">
        <v>45030</v>
      </c>
      <c r="E109" s="743">
        <v>15.0024</v>
      </c>
      <c r="F109" s="743">
        <v>6.4420000000000002</v>
      </c>
      <c r="G109" s="915">
        <v>45030</v>
      </c>
      <c r="H109" s="743">
        <v>4.3198999999999996</v>
      </c>
      <c r="I109" s="743">
        <v>1.1446000000000001</v>
      </c>
      <c r="J109" s="916">
        <v>-0.60099999999999998</v>
      </c>
      <c r="K109" s="916">
        <v>-0.57099999999999995</v>
      </c>
      <c r="L109" s="916">
        <v>-0.73499999999999999</v>
      </c>
    </row>
    <row r="110" spans="1:12" ht="14.5" x14ac:dyDescent="0.35">
      <c r="A110" s="915">
        <v>45023</v>
      </c>
      <c r="B110" s="743">
        <v>28.838899999999999</v>
      </c>
      <c r="C110" s="743">
        <v>11.1717</v>
      </c>
      <c r="D110" s="915">
        <v>45023</v>
      </c>
      <c r="E110" s="743">
        <v>15.002000000000001</v>
      </c>
      <c r="F110" s="743">
        <v>6.4420000000000002</v>
      </c>
      <c r="G110" s="915">
        <v>45023</v>
      </c>
      <c r="H110" s="743">
        <v>4.3144999999999998</v>
      </c>
      <c r="I110" s="743">
        <v>1.1229</v>
      </c>
      <c r="J110" s="916">
        <v>-0.61299999999999999</v>
      </c>
      <c r="K110" s="916">
        <v>-0.57099999999999995</v>
      </c>
      <c r="L110" s="916">
        <v>-0.74</v>
      </c>
    </row>
    <row r="111" spans="1:12" ht="14.5" x14ac:dyDescent="0.35">
      <c r="A111" s="915">
        <v>45016</v>
      </c>
      <c r="B111" s="743">
        <v>29.100999999999999</v>
      </c>
      <c r="C111" s="743">
        <v>11.1228</v>
      </c>
      <c r="D111" s="915">
        <v>45016</v>
      </c>
      <c r="E111" s="743">
        <v>15.003299999999999</v>
      </c>
      <c r="F111" s="743">
        <v>6.4420000000000002</v>
      </c>
      <c r="G111" s="915">
        <v>45016</v>
      </c>
      <c r="H111" s="743">
        <v>4.3517999999999999</v>
      </c>
      <c r="I111" s="743">
        <v>1.1191</v>
      </c>
      <c r="J111" s="916">
        <v>-0.61799999999999999</v>
      </c>
      <c r="K111" s="916">
        <v>-0.57099999999999995</v>
      </c>
      <c r="L111" s="916">
        <v>-0.74299999999999999</v>
      </c>
    </row>
    <row r="112" spans="1:12" ht="14.5" x14ac:dyDescent="0.35">
      <c r="A112" s="915">
        <v>45009</v>
      </c>
      <c r="B112" s="743">
        <v>28.1874</v>
      </c>
      <c r="C112" s="743">
        <v>10.8894</v>
      </c>
      <c r="D112" s="915">
        <v>45009</v>
      </c>
      <c r="E112" s="743">
        <v>15.0131</v>
      </c>
      <c r="F112" s="743">
        <v>6.4420000000000002</v>
      </c>
      <c r="G112" s="915">
        <v>45009</v>
      </c>
      <c r="H112" s="743">
        <v>4.2214</v>
      </c>
      <c r="I112" s="743">
        <v>1.1046</v>
      </c>
      <c r="J112" s="916">
        <v>-0.61399999999999999</v>
      </c>
      <c r="K112" s="916">
        <v>-0.57099999999999995</v>
      </c>
      <c r="L112" s="916">
        <v>-0.73799999999999999</v>
      </c>
    </row>
    <row r="113" spans="1:12" ht="14.5" x14ac:dyDescent="0.35">
      <c r="A113" s="915">
        <v>45002</v>
      </c>
      <c r="B113" s="743">
        <v>27.622800000000002</v>
      </c>
      <c r="C113" s="743">
        <v>10.638500000000001</v>
      </c>
      <c r="D113" s="915">
        <v>45002</v>
      </c>
      <c r="E113" s="743">
        <v>15.016299999999999</v>
      </c>
      <c r="F113" s="743">
        <v>6.4352999999999998</v>
      </c>
      <c r="G113" s="915">
        <v>45002</v>
      </c>
      <c r="H113" s="743">
        <v>4.1517999999999997</v>
      </c>
      <c r="I113" s="743">
        <v>1.0948</v>
      </c>
      <c r="J113" s="916">
        <v>-0.61499999999999999</v>
      </c>
      <c r="K113" s="916">
        <v>-0.57099999999999995</v>
      </c>
      <c r="L113" s="916">
        <v>-0.73599999999999999</v>
      </c>
    </row>
    <row r="114" spans="1:12" ht="14.5" x14ac:dyDescent="0.35">
      <c r="A114" s="915">
        <v>44995</v>
      </c>
      <c r="B114" s="743">
        <v>26.101400000000002</v>
      </c>
      <c r="C114" s="743">
        <v>10.335699999999999</v>
      </c>
      <c r="D114" s="915">
        <v>44995</v>
      </c>
      <c r="E114" s="743">
        <v>15.0177</v>
      </c>
      <c r="F114" s="743">
        <v>6.2247000000000003</v>
      </c>
      <c r="G114" s="915">
        <v>44995</v>
      </c>
      <c r="H114" s="743">
        <v>3.9344999999999999</v>
      </c>
      <c r="I114" s="743">
        <v>1.0726</v>
      </c>
      <c r="J114" s="916">
        <v>-0.60399999999999998</v>
      </c>
      <c r="K114" s="916">
        <v>-0.58599999999999997</v>
      </c>
      <c r="L114" s="916">
        <v>-0.72699999999999998</v>
      </c>
    </row>
    <row r="115" spans="1:12" ht="14.5" x14ac:dyDescent="0.35">
      <c r="A115" s="915">
        <v>44988</v>
      </c>
      <c r="B115" s="743">
        <v>27.0702</v>
      </c>
      <c r="C115" s="743">
        <v>10.2446</v>
      </c>
      <c r="D115" s="915">
        <v>44988</v>
      </c>
      <c r="E115" s="743">
        <v>15.0412</v>
      </c>
      <c r="F115" s="743">
        <v>6.4292999999999996</v>
      </c>
      <c r="G115" s="915">
        <v>44988</v>
      </c>
      <c r="H115" s="743">
        <v>4.0805999999999996</v>
      </c>
      <c r="I115" s="743">
        <v>1.0488999999999999</v>
      </c>
      <c r="J115" s="916">
        <v>-0.622</v>
      </c>
      <c r="K115" s="916">
        <v>-0.57299999999999995</v>
      </c>
      <c r="L115" s="916">
        <v>-0.74299999999999999</v>
      </c>
    </row>
    <row r="116" spans="1:12" ht="14.5" x14ac:dyDescent="0.35">
      <c r="A116" s="915">
        <v>44981</v>
      </c>
      <c r="B116" s="743">
        <v>26.139199999999999</v>
      </c>
      <c r="C116" s="743">
        <v>10.2959</v>
      </c>
      <c r="D116" s="915">
        <v>44981</v>
      </c>
      <c r="E116" s="743">
        <v>14.962</v>
      </c>
      <c r="F116" s="743">
        <v>6.4622000000000002</v>
      </c>
      <c r="G116" s="915">
        <v>44981</v>
      </c>
      <c r="H116" s="743">
        <v>3.9762</v>
      </c>
      <c r="I116" s="743">
        <v>1.0586</v>
      </c>
      <c r="J116" s="916">
        <v>-0.60599999999999998</v>
      </c>
      <c r="K116" s="916">
        <v>-0.56799999999999995</v>
      </c>
      <c r="L116" s="916">
        <v>-0.73399999999999999</v>
      </c>
    </row>
    <row r="117" spans="1:12" ht="14.5" x14ac:dyDescent="0.35">
      <c r="A117" s="915">
        <v>44974</v>
      </c>
      <c r="B117" s="743">
        <v>26.7744</v>
      </c>
      <c r="C117" s="743">
        <v>10.3935</v>
      </c>
      <c r="D117" s="915">
        <v>44974</v>
      </c>
      <c r="E117" s="743">
        <v>14.601000000000001</v>
      </c>
      <c r="F117" s="743">
        <v>6.4622999999999999</v>
      </c>
      <c r="G117" s="915">
        <v>44974</v>
      </c>
      <c r="H117" s="743">
        <v>4.0853000000000002</v>
      </c>
      <c r="I117" s="743">
        <v>1.0684</v>
      </c>
      <c r="J117" s="916">
        <v>-0.61199999999999999</v>
      </c>
      <c r="K117" s="916">
        <v>-0.55700000000000005</v>
      </c>
      <c r="L117" s="916">
        <v>-0.73799999999999999</v>
      </c>
    </row>
    <row r="118" spans="1:12" ht="14.5" x14ac:dyDescent="0.35">
      <c r="A118" s="915">
        <v>44967</v>
      </c>
      <c r="B118" s="743">
        <v>18.8156</v>
      </c>
      <c r="C118" s="743">
        <v>10.4697</v>
      </c>
      <c r="D118" s="915">
        <v>44967</v>
      </c>
      <c r="E118" s="743">
        <v>14.4907</v>
      </c>
      <c r="F118" s="743">
        <v>6.4539999999999997</v>
      </c>
      <c r="G118" s="915">
        <v>44967</v>
      </c>
      <c r="H118" s="743">
        <v>4.0750000000000002</v>
      </c>
      <c r="I118" s="743">
        <v>1.08</v>
      </c>
      <c r="J118" s="916">
        <v>-0.44400000000000001</v>
      </c>
      <c r="K118" s="916">
        <v>-0.55500000000000005</v>
      </c>
      <c r="L118" s="916">
        <v>-0.73499999999999999</v>
      </c>
    </row>
    <row r="119" spans="1:12" ht="14.5" x14ac:dyDescent="0.35">
      <c r="A119" s="915">
        <v>44960</v>
      </c>
      <c r="B119" s="743">
        <v>19.226600000000001</v>
      </c>
      <c r="C119" s="743">
        <v>11.130699999999999</v>
      </c>
      <c r="D119" s="915">
        <v>44960</v>
      </c>
      <c r="E119" s="743">
        <v>14.4907</v>
      </c>
      <c r="F119" s="743">
        <v>6.1471</v>
      </c>
      <c r="G119" s="915">
        <v>44960</v>
      </c>
      <c r="H119" s="743">
        <v>4.1593</v>
      </c>
      <c r="I119" s="743">
        <v>1.2021999999999999</v>
      </c>
      <c r="J119" s="916">
        <v>-0.42099999999999999</v>
      </c>
      <c r="K119" s="916">
        <v>-0.57599999999999996</v>
      </c>
      <c r="L119" s="916">
        <v>-0.71099999999999997</v>
      </c>
    </row>
    <row r="120" spans="1:12" ht="14.5" x14ac:dyDescent="0.35">
      <c r="A120" s="915">
        <v>44953</v>
      </c>
      <c r="B120" s="743">
        <v>18.603999999999999</v>
      </c>
      <c r="C120" s="743">
        <v>11.206799999999999</v>
      </c>
      <c r="D120" s="915">
        <v>44953</v>
      </c>
      <c r="E120" s="743">
        <v>14.491</v>
      </c>
      <c r="F120" s="743">
        <v>6.1471</v>
      </c>
      <c r="G120" s="915">
        <v>44953</v>
      </c>
      <c r="H120" s="743">
        <v>4.0319000000000003</v>
      </c>
      <c r="I120" s="743">
        <v>1.2068000000000001</v>
      </c>
      <c r="J120" s="916">
        <v>-0.39800000000000002</v>
      </c>
      <c r="K120" s="916">
        <v>-0.57599999999999996</v>
      </c>
      <c r="L120" s="916">
        <v>-0.70099999999999996</v>
      </c>
    </row>
    <row r="121" spans="1:12" ht="14.5" x14ac:dyDescent="0.35">
      <c r="A121" s="915">
        <v>44946</v>
      </c>
      <c r="B121" s="743">
        <v>17.7652</v>
      </c>
      <c r="C121" s="743">
        <v>10.759499999999999</v>
      </c>
      <c r="D121" s="915">
        <v>44946</v>
      </c>
      <c r="E121" s="743">
        <v>14.490600000000001</v>
      </c>
      <c r="F121" s="743">
        <v>6.1471</v>
      </c>
      <c r="G121" s="915">
        <v>44946</v>
      </c>
      <c r="H121" s="743">
        <v>3.8611</v>
      </c>
      <c r="I121" s="743">
        <v>1.1779999999999999</v>
      </c>
      <c r="J121" s="916">
        <v>-0.39400000000000002</v>
      </c>
      <c r="K121" s="916">
        <v>-0.57599999999999996</v>
      </c>
      <c r="L121" s="916">
        <v>-0.69499999999999995</v>
      </c>
    </row>
    <row r="122" spans="1:12" ht="14.5" x14ac:dyDescent="0.35">
      <c r="A122" s="915">
        <v>44939</v>
      </c>
      <c r="B122" s="743">
        <v>17.6463</v>
      </c>
      <c r="C122" s="743">
        <v>10.7012</v>
      </c>
      <c r="D122" s="915">
        <v>44939</v>
      </c>
      <c r="E122" s="743">
        <v>14.49</v>
      </c>
      <c r="F122" s="743">
        <v>6.1471</v>
      </c>
      <c r="G122" s="915">
        <v>44939</v>
      </c>
      <c r="H122" s="743">
        <v>3.8367</v>
      </c>
      <c r="I122" s="743">
        <v>1.1741999999999999</v>
      </c>
      <c r="J122" s="916">
        <v>-0.39400000000000002</v>
      </c>
      <c r="K122" s="916">
        <v>-0.57599999999999996</v>
      </c>
      <c r="L122" s="916">
        <v>-0.69399999999999995</v>
      </c>
    </row>
    <row r="123" spans="1:12" ht="14.5" x14ac:dyDescent="0.35">
      <c r="A123" s="915">
        <v>44932</v>
      </c>
      <c r="B123" s="743">
        <v>16.880099999999999</v>
      </c>
      <c r="C123" s="743">
        <v>10.297000000000001</v>
      </c>
      <c r="D123" s="915">
        <v>44932</v>
      </c>
      <c r="E123" s="743">
        <v>14.4902</v>
      </c>
      <c r="F123" s="743">
        <v>6.1471</v>
      </c>
      <c r="G123" s="915">
        <v>44932</v>
      </c>
      <c r="H123" s="743">
        <v>3.6802999999999999</v>
      </c>
      <c r="I123" s="743">
        <v>1.1480999999999999</v>
      </c>
      <c r="J123" s="916">
        <v>-0.39</v>
      </c>
      <c r="K123" s="916">
        <v>-0.57599999999999996</v>
      </c>
      <c r="L123" s="916">
        <v>-0.68799999999999994</v>
      </c>
    </row>
    <row r="124" spans="1:12" ht="14.5" x14ac:dyDescent="0.35">
      <c r="A124" s="915">
        <v>44925</v>
      </c>
      <c r="B124" s="743">
        <v>16.729900000000001</v>
      </c>
      <c r="C124" s="743">
        <v>9.8954000000000004</v>
      </c>
      <c r="D124" s="915">
        <v>44925</v>
      </c>
      <c r="E124" s="743">
        <v>14.4938</v>
      </c>
      <c r="F124" s="743">
        <v>6.1471</v>
      </c>
      <c r="G124" s="915">
        <v>44925</v>
      </c>
      <c r="H124" s="743">
        <v>3.6496</v>
      </c>
      <c r="I124" s="743">
        <v>1.1222000000000001</v>
      </c>
      <c r="J124" s="916">
        <v>-0.40899999999999997</v>
      </c>
      <c r="K124" s="916">
        <v>-0.57599999999999996</v>
      </c>
      <c r="L124" s="916">
        <v>-0.69299999999999995</v>
      </c>
    </row>
    <row r="125" spans="1:12" ht="14.5" x14ac:dyDescent="0.35">
      <c r="A125" s="915">
        <v>44918</v>
      </c>
      <c r="B125" s="743">
        <v>16.799800000000001</v>
      </c>
      <c r="C125" s="743">
        <v>10.280799999999999</v>
      </c>
      <c r="D125" s="915">
        <v>44918</v>
      </c>
      <c r="E125" s="743">
        <v>14.4938</v>
      </c>
      <c r="F125" s="743">
        <v>6.1471</v>
      </c>
      <c r="G125" s="915">
        <v>44918</v>
      </c>
      <c r="H125" s="743">
        <v>3.6638999999999999</v>
      </c>
      <c r="I125" s="743">
        <v>1.1469</v>
      </c>
      <c r="J125" s="916">
        <v>-0.38800000000000001</v>
      </c>
      <c r="K125" s="916">
        <v>-0.57599999999999996</v>
      </c>
      <c r="L125" s="916">
        <v>-0.68700000000000006</v>
      </c>
    </row>
    <row r="126" spans="1:12" ht="14.5" x14ac:dyDescent="0.35">
      <c r="A126" s="915">
        <v>44911</v>
      </c>
      <c r="B126" s="743">
        <v>17.194700000000001</v>
      </c>
      <c r="C126" s="743">
        <v>10.474399999999999</v>
      </c>
      <c r="D126" s="915">
        <v>44911</v>
      </c>
      <c r="E126" s="743">
        <v>14.4938</v>
      </c>
      <c r="F126" s="743">
        <v>6.1471</v>
      </c>
      <c r="G126" s="915">
        <v>44911</v>
      </c>
      <c r="H126" s="743">
        <v>3.7907999999999999</v>
      </c>
      <c r="I126" s="743">
        <v>1.1594</v>
      </c>
      <c r="J126" s="916">
        <v>-0.39100000000000001</v>
      </c>
      <c r="K126" s="916">
        <v>-0.57599999999999996</v>
      </c>
      <c r="L126" s="916">
        <v>-0.69399999999999995</v>
      </c>
    </row>
    <row r="127" spans="1:12" ht="14.5" x14ac:dyDescent="0.35">
      <c r="A127" s="915">
        <v>44904</v>
      </c>
      <c r="B127" s="743">
        <v>17.684200000000001</v>
      </c>
      <c r="C127" s="743">
        <v>10.624599999999999</v>
      </c>
      <c r="D127" s="915">
        <v>44904</v>
      </c>
      <c r="E127" s="743">
        <v>14.497999999999999</v>
      </c>
      <c r="F127" s="743">
        <v>6.1471</v>
      </c>
      <c r="G127" s="915">
        <v>44904</v>
      </c>
      <c r="H127" s="743">
        <v>3.8915000000000002</v>
      </c>
      <c r="I127" s="743">
        <v>1.1687000000000001</v>
      </c>
      <c r="J127" s="916">
        <v>-0.39900000000000002</v>
      </c>
      <c r="K127" s="916">
        <v>-0.57599999999999996</v>
      </c>
      <c r="L127" s="916">
        <v>-0.7</v>
      </c>
    </row>
    <row r="128" spans="1:12" ht="14.5" x14ac:dyDescent="0.35">
      <c r="A128" s="915">
        <v>44897</v>
      </c>
      <c r="B128" s="743">
        <v>18.2014</v>
      </c>
      <c r="C128" s="743">
        <v>10.7401</v>
      </c>
      <c r="D128" s="915">
        <v>44897</v>
      </c>
      <c r="E128" s="743">
        <v>14.746600000000001</v>
      </c>
      <c r="F128" s="743">
        <v>6.1471</v>
      </c>
      <c r="G128" s="915">
        <v>44897</v>
      </c>
      <c r="H128" s="743">
        <v>4.0647000000000002</v>
      </c>
      <c r="I128" s="743">
        <v>1.1618999999999999</v>
      </c>
      <c r="J128" s="916">
        <v>-0.41</v>
      </c>
      <c r="K128" s="916">
        <v>-0.58299999999999996</v>
      </c>
      <c r="L128" s="916">
        <v>-0.71399999999999997</v>
      </c>
    </row>
    <row r="129" spans="1:12" ht="14.5" x14ac:dyDescent="0.35">
      <c r="A129" s="915">
        <v>44890</v>
      </c>
      <c r="B129" s="743">
        <v>17.8399</v>
      </c>
      <c r="C129" s="743">
        <v>10.7742</v>
      </c>
      <c r="D129" s="915">
        <v>44890</v>
      </c>
      <c r="E129" s="743">
        <v>14.75</v>
      </c>
      <c r="F129" s="743">
        <v>6.1471</v>
      </c>
      <c r="G129" s="915">
        <v>44890</v>
      </c>
      <c r="H129" s="743">
        <v>3.9878999999999998</v>
      </c>
      <c r="I129" s="743">
        <v>1.1640999999999999</v>
      </c>
      <c r="J129" s="916">
        <v>-0.39600000000000002</v>
      </c>
      <c r="K129" s="916">
        <v>-0.58299999999999996</v>
      </c>
      <c r="L129" s="916">
        <v>-0.70799999999999996</v>
      </c>
    </row>
    <row r="130" spans="1:12" ht="14.5" x14ac:dyDescent="0.35">
      <c r="A130" s="915">
        <v>44883</v>
      </c>
      <c r="B130" s="743">
        <v>17.72</v>
      </c>
      <c r="C130" s="743">
        <v>10.821300000000001</v>
      </c>
      <c r="D130" s="915">
        <v>44883</v>
      </c>
      <c r="E130" s="743">
        <v>14.75</v>
      </c>
      <c r="F130" s="743">
        <v>6.1471</v>
      </c>
      <c r="G130" s="915">
        <v>44883</v>
      </c>
      <c r="H130" s="743">
        <v>3.9502999999999999</v>
      </c>
      <c r="I130" s="743">
        <v>1.167</v>
      </c>
      <c r="J130" s="916">
        <v>-0.38900000000000001</v>
      </c>
      <c r="K130" s="916">
        <v>-0.58299999999999996</v>
      </c>
      <c r="L130" s="916">
        <v>-0.70499999999999996</v>
      </c>
    </row>
    <row r="131" spans="1:12" ht="14.5" x14ac:dyDescent="0.35">
      <c r="A131" s="915">
        <v>44876</v>
      </c>
      <c r="B131" s="743">
        <v>17.9328</v>
      </c>
      <c r="C131" s="743">
        <v>10.879099999999999</v>
      </c>
      <c r="D131" s="915">
        <v>44876</v>
      </c>
      <c r="E131" s="743">
        <v>14.75</v>
      </c>
      <c r="F131" s="743">
        <v>6.6563999999999997</v>
      </c>
      <c r="G131" s="915">
        <v>44876</v>
      </c>
      <c r="H131" s="743">
        <v>3.9952000000000001</v>
      </c>
      <c r="I131" s="743">
        <v>1.1908000000000001</v>
      </c>
      <c r="J131" s="916">
        <v>-0.39300000000000002</v>
      </c>
      <c r="K131" s="916">
        <v>-0.54900000000000004</v>
      </c>
      <c r="L131" s="916">
        <v>-0.70199999999999996</v>
      </c>
    </row>
    <row r="132" spans="1:12" ht="14.5" x14ac:dyDescent="0.35">
      <c r="A132" s="915">
        <v>44869</v>
      </c>
      <c r="B132" s="743">
        <v>16.474399999999999</v>
      </c>
      <c r="C132" s="743">
        <v>10.2097</v>
      </c>
      <c r="D132" s="915">
        <v>44869</v>
      </c>
      <c r="E132" s="743">
        <v>14.7499</v>
      </c>
      <c r="F132" s="743">
        <v>6.7365000000000004</v>
      </c>
      <c r="G132" s="915">
        <v>44869</v>
      </c>
      <c r="H132" s="743">
        <v>3.6871999999999998</v>
      </c>
      <c r="I132" s="743">
        <v>1.1501999999999999</v>
      </c>
      <c r="J132" s="916">
        <v>-0.38</v>
      </c>
      <c r="K132" s="916">
        <v>-0.54300000000000004</v>
      </c>
      <c r="L132" s="916">
        <v>-0.68799999999999994</v>
      </c>
    </row>
    <row r="133" spans="1:12" ht="14.5" x14ac:dyDescent="0.35">
      <c r="A133" s="915">
        <v>44862</v>
      </c>
      <c r="B133" s="743">
        <v>17.5213</v>
      </c>
      <c r="C133" s="743">
        <v>9.0847999999999995</v>
      </c>
      <c r="D133" s="915">
        <v>44862</v>
      </c>
      <c r="E133" s="743">
        <v>14.749700000000001</v>
      </c>
      <c r="F133" s="743">
        <v>5.9912999999999998</v>
      </c>
      <c r="G133" s="915">
        <v>44862</v>
      </c>
      <c r="H133" s="743">
        <v>3.9085000000000001</v>
      </c>
      <c r="I133" s="743">
        <v>1.1165</v>
      </c>
      <c r="J133" s="916">
        <v>-0.48099999999999998</v>
      </c>
      <c r="K133" s="916">
        <v>-0.59399999999999997</v>
      </c>
      <c r="L133" s="916">
        <v>-0.71399999999999997</v>
      </c>
    </row>
    <row r="134" spans="1:12" ht="14.5" x14ac:dyDescent="0.35">
      <c r="A134" s="915">
        <v>44855</v>
      </c>
      <c r="B134" s="743">
        <v>17.1633</v>
      </c>
      <c r="C134" s="743">
        <v>8.8863000000000003</v>
      </c>
      <c r="D134" s="915">
        <v>44855</v>
      </c>
      <c r="E134" s="743">
        <v>14.749700000000001</v>
      </c>
      <c r="F134" s="743">
        <v>5.9912999999999998</v>
      </c>
      <c r="G134" s="915">
        <v>44855</v>
      </c>
      <c r="H134" s="743">
        <v>3.8328000000000002</v>
      </c>
      <c r="I134" s="743">
        <v>1.1019000000000001</v>
      </c>
      <c r="J134" s="916">
        <v>-0.48199999999999998</v>
      </c>
      <c r="K134" s="916">
        <v>-0.59399999999999997</v>
      </c>
      <c r="L134" s="916">
        <v>-0.71299999999999997</v>
      </c>
    </row>
    <row r="135" spans="1:12" ht="14.5" x14ac:dyDescent="0.35">
      <c r="A135" s="915">
        <v>44848</v>
      </c>
      <c r="B135" s="743">
        <v>16.225200000000001</v>
      </c>
      <c r="C135" s="743">
        <v>8.9124999999999996</v>
      </c>
      <c r="D135" s="915">
        <v>44848</v>
      </c>
      <c r="E135" s="743">
        <v>14.7498</v>
      </c>
      <c r="F135" s="743">
        <v>5.9912000000000001</v>
      </c>
      <c r="G135" s="915">
        <v>44848</v>
      </c>
      <c r="H135" s="743">
        <v>3.6341999999999999</v>
      </c>
      <c r="I135" s="743">
        <v>1.1037999999999999</v>
      </c>
      <c r="J135" s="916">
        <v>-0.45100000000000001</v>
      </c>
      <c r="K135" s="916">
        <v>-0.59399999999999997</v>
      </c>
      <c r="L135" s="916">
        <v>-0.69599999999999995</v>
      </c>
    </row>
    <row r="136" spans="1:12" ht="14.5" x14ac:dyDescent="0.35">
      <c r="A136" s="915">
        <v>44841</v>
      </c>
      <c r="B136" s="743">
        <v>16.752400000000002</v>
      </c>
      <c r="C136" s="743">
        <v>8.9282000000000004</v>
      </c>
      <c r="D136" s="915">
        <v>44841</v>
      </c>
      <c r="E136" s="743">
        <v>14.7499</v>
      </c>
      <c r="F136" s="743">
        <v>5.9912999999999998</v>
      </c>
      <c r="G136" s="915">
        <v>44841</v>
      </c>
      <c r="H136" s="743">
        <v>3.7458</v>
      </c>
      <c r="I136" s="743">
        <v>1.105</v>
      </c>
      <c r="J136" s="916">
        <v>-0.46700000000000003</v>
      </c>
      <c r="K136" s="916">
        <v>-0.59399999999999997</v>
      </c>
      <c r="L136" s="916">
        <v>-0.70499999999999996</v>
      </c>
    </row>
    <row r="137" spans="1:12" ht="14.5" x14ac:dyDescent="0.35">
      <c r="A137" s="915">
        <v>44834</v>
      </c>
      <c r="B137" s="743">
        <v>16.6493</v>
      </c>
      <c r="C137" s="743">
        <v>8.6471</v>
      </c>
      <c r="D137" s="915">
        <v>44834</v>
      </c>
      <c r="E137" s="743">
        <v>14.751099999999999</v>
      </c>
      <c r="F137" s="743">
        <v>5.9904000000000002</v>
      </c>
      <c r="G137" s="915">
        <v>44834</v>
      </c>
      <c r="H137" s="743">
        <v>3.7240000000000002</v>
      </c>
      <c r="I137" s="743">
        <v>1.0841000000000001</v>
      </c>
      <c r="J137" s="916">
        <v>-0.48099999999999998</v>
      </c>
      <c r="K137" s="916">
        <v>-0.59399999999999997</v>
      </c>
      <c r="L137" s="916">
        <v>-0.70899999999999996</v>
      </c>
    </row>
    <row r="138" spans="1:12" ht="14.5" x14ac:dyDescent="0.35">
      <c r="A138" s="915">
        <v>44827</v>
      </c>
      <c r="B138" s="743">
        <v>17.165700000000001</v>
      </c>
      <c r="C138" s="743">
        <v>9.1328999999999994</v>
      </c>
      <c r="D138" s="915">
        <v>44827</v>
      </c>
      <c r="E138" s="743">
        <v>14.7521</v>
      </c>
      <c r="F138" s="743">
        <v>5.9903000000000004</v>
      </c>
      <c r="G138" s="915">
        <v>44827</v>
      </c>
      <c r="H138" s="743">
        <v>3.8332999999999999</v>
      </c>
      <c r="I138" s="743">
        <v>1.1197999999999999</v>
      </c>
      <c r="J138" s="916">
        <v>-0.46800000000000003</v>
      </c>
      <c r="K138" s="916">
        <v>-0.59399999999999997</v>
      </c>
      <c r="L138" s="916">
        <v>-0.70799999999999996</v>
      </c>
    </row>
    <row r="139" spans="1:12" ht="14.5" x14ac:dyDescent="0.35">
      <c r="A139" s="915">
        <v>44820</v>
      </c>
      <c r="B139" s="743">
        <v>18.0047</v>
      </c>
      <c r="C139" s="743">
        <v>9.4677000000000007</v>
      </c>
      <c r="D139" s="915">
        <v>44820</v>
      </c>
      <c r="E139" s="743">
        <v>14.747299999999999</v>
      </c>
      <c r="F139" s="743">
        <v>5.9903000000000004</v>
      </c>
      <c r="G139" s="915">
        <v>44820</v>
      </c>
      <c r="H139" s="743">
        <v>4.0274000000000001</v>
      </c>
      <c r="I139" s="743">
        <v>1.1445000000000001</v>
      </c>
      <c r="J139" s="916">
        <v>-0.47399999999999998</v>
      </c>
      <c r="K139" s="916">
        <v>-0.59399999999999997</v>
      </c>
      <c r="L139" s="916">
        <v>-0.71599999999999997</v>
      </c>
    </row>
    <row r="140" spans="1:12" ht="14.5" x14ac:dyDescent="0.35">
      <c r="A140" s="915">
        <v>44813</v>
      </c>
      <c r="B140" s="743">
        <v>19.107099999999999</v>
      </c>
      <c r="C140" s="743">
        <v>9.4718999999999998</v>
      </c>
      <c r="D140" s="915">
        <v>44813</v>
      </c>
      <c r="E140" s="743">
        <v>14.748100000000001</v>
      </c>
      <c r="F140" s="743">
        <v>5.9903000000000004</v>
      </c>
      <c r="G140" s="915">
        <v>44813</v>
      </c>
      <c r="H140" s="743">
        <v>4.2618999999999998</v>
      </c>
      <c r="I140" s="743">
        <v>1.1448</v>
      </c>
      <c r="J140" s="916">
        <v>-0.504</v>
      </c>
      <c r="K140" s="916">
        <v>-0.59399999999999997</v>
      </c>
      <c r="L140" s="916">
        <v>-0.73099999999999998</v>
      </c>
    </row>
    <row r="141" spans="1:12" ht="14.5" x14ac:dyDescent="0.35">
      <c r="A141" s="915">
        <v>44806</v>
      </c>
      <c r="B141" s="743">
        <v>18.3432</v>
      </c>
      <c r="C141" s="743">
        <v>9.5914000000000001</v>
      </c>
      <c r="D141" s="915">
        <v>44806</v>
      </c>
      <c r="E141" s="743">
        <v>14.7441</v>
      </c>
      <c r="F141" s="743">
        <v>5.9903000000000004</v>
      </c>
      <c r="G141" s="915">
        <v>44806</v>
      </c>
      <c r="H141" s="743">
        <v>4.1041999999999996</v>
      </c>
      <c r="I141" s="743">
        <v>1.1536999999999999</v>
      </c>
      <c r="J141" s="916">
        <v>-0.47699999999999998</v>
      </c>
      <c r="K141" s="916">
        <v>-0.59399999999999997</v>
      </c>
      <c r="L141" s="916">
        <v>-0.71899999999999997</v>
      </c>
    </row>
    <row r="142" spans="1:12" ht="14.5" x14ac:dyDescent="0.35">
      <c r="A142" s="915">
        <v>44799</v>
      </c>
      <c r="B142" s="743">
        <v>19.387899999999998</v>
      </c>
      <c r="C142" s="743">
        <v>9.9222000000000001</v>
      </c>
      <c r="D142" s="915">
        <v>44799</v>
      </c>
      <c r="E142" s="743">
        <v>18.754000000000001</v>
      </c>
      <c r="F142" s="743">
        <v>5.9903000000000004</v>
      </c>
      <c r="G142" s="915">
        <v>44799</v>
      </c>
      <c r="H142" s="743">
        <v>4.3080999999999996</v>
      </c>
      <c r="I142" s="743">
        <v>1.1779999999999999</v>
      </c>
      <c r="J142" s="916">
        <v>-0.48799999999999999</v>
      </c>
      <c r="K142" s="916">
        <v>-0.68100000000000005</v>
      </c>
      <c r="L142" s="916">
        <v>-0.72699999999999998</v>
      </c>
    </row>
    <row r="143" spans="1:12" ht="14.5" x14ac:dyDescent="0.35">
      <c r="A143" s="915">
        <v>44792</v>
      </c>
      <c r="B143" s="743">
        <v>20.3688</v>
      </c>
      <c r="C143" s="743">
        <v>10.0322</v>
      </c>
      <c r="D143" s="915">
        <v>44792</v>
      </c>
      <c r="E143" s="743">
        <v>18.754000000000001</v>
      </c>
      <c r="F143" s="743">
        <v>5.9903000000000004</v>
      </c>
      <c r="G143" s="915">
        <v>44792</v>
      </c>
      <c r="H143" s="743">
        <v>4.5171000000000001</v>
      </c>
      <c r="I143" s="743">
        <v>1.1861999999999999</v>
      </c>
      <c r="J143" s="916">
        <v>-0.50700000000000001</v>
      </c>
      <c r="K143" s="916">
        <v>-0.68100000000000005</v>
      </c>
      <c r="L143" s="916">
        <v>-0.73699999999999999</v>
      </c>
    </row>
    <row r="144" spans="1:12" ht="14.5" x14ac:dyDescent="0.35">
      <c r="A144" s="915">
        <v>44785</v>
      </c>
      <c r="B144" s="743">
        <v>20.8658</v>
      </c>
      <c r="C144" s="743">
        <v>10.7652</v>
      </c>
      <c r="D144" s="915">
        <v>44785</v>
      </c>
      <c r="E144" s="743">
        <v>18.7544</v>
      </c>
      <c r="F144" s="743">
        <v>6.2849000000000004</v>
      </c>
      <c r="G144" s="915">
        <v>44785</v>
      </c>
      <c r="H144" s="743">
        <v>4.6230000000000002</v>
      </c>
      <c r="I144" s="743">
        <v>1.2037</v>
      </c>
      <c r="J144" s="916">
        <v>-0.48399999999999999</v>
      </c>
      <c r="K144" s="916">
        <v>-0.66500000000000004</v>
      </c>
      <c r="L144" s="916">
        <v>-0.74</v>
      </c>
    </row>
    <row r="145" spans="1:12" ht="14.5" x14ac:dyDescent="0.35">
      <c r="A145" s="915">
        <v>44778</v>
      </c>
      <c r="B145" s="743">
        <v>20.314399999999999</v>
      </c>
      <c r="C145" s="743">
        <v>10.696</v>
      </c>
      <c r="D145" s="915">
        <v>44778</v>
      </c>
      <c r="E145" s="743">
        <v>18.754200000000001</v>
      </c>
      <c r="F145" s="743">
        <v>6.4053000000000004</v>
      </c>
      <c r="G145" s="915">
        <v>44778</v>
      </c>
      <c r="H145" s="743">
        <v>4.5057</v>
      </c>
      <c r="I145" s="743">
        <v>1.1984999999999999</v>
      </c>
      <c r="J145" s="916">
        <v>-0.47299999999999998</v>
      </c>
      <c r="K145" s="916">
        <v>-0.65800000000000003</v>
      </c>
      <c r="L145" s="916">
        <v>-0.73399999999999999</v>
      </c>
    </row>
    <row r="146" spans="1:12" ht="14.5" x14ac:dyDescent="0.35">
      <c r="A146" s="915">
        <v>44771</v>
      </c>
      <c r="B146" s="743">
        <v>19.9148</v>
      </c>
      <c r="C146" s="743">
        <v>10.2393</v>
      </c>
      <c r="D146" s="915">
        <v>44771</v>
      </c>
      <c r="E146" s="743">
        <v>18.753799999999998</v>
      </c>
      <c r="F146" s="743">
        <v>6.6632999999999996</v>
      </c>
      <c r="G146" s="915">
        <v>44771</v>
      </c>
      <c r="H146" s="743">
        <v>4.4208999999999996</v>
      </c>
      <c r="I146" s="743">
        <v>1.1883999999999999</v>
      </c>
      <c r="J146" s="916">
        <v>-0.48599999999999999</v>
      </c>
      <c r="K146" s="916">
        <v>-0.64500000000000002</v>
      </c>
      <c r="L146" s="916">
        <v>-0.73099999999999998</v>
      </c>
    </row>
    <row r="147" spans="1:12" ht="14.5" x14ac:dyDescent="0.35">
      <c r="A147" s="915">
        <v>44764</v>
      </c>
      <c r="B147" s="743">
        <v>19.066600000000001</v>
      </c>
      <c r="C147" s="743">
        <v>10.066700000000001</v>
      </c>
      <c r="D147" s="915">
        <v>44764</v>
      </c>
      <c r="E147" s="743">
        <v>18.753699999999998</v>
      </c>
      <c r="F147" s="743">
        <v>6.6632999999999996</v>
      </c>
      <c r="G147" s="915">
        <v>44764</v>
      </c>
      <c r="H147" s="743">
        <v>4.2401999999999997</v>
      </c>
      <c r="I147" s="743">
        <v>1.1756</v>
      </c>
      <c r="J147" s="916">
        <v>-0.47199999999999998</v>
      </c>
      <c r="K147" s="916">
        <v>-0.64500000000000002</v>
      </c>
      <c r="L147" s="916">
        <v>-0.72299999999999998</v>
      </c>
    </row>
    <row r="148" spans="1:12" ht="14.5" x14ac:dyDescent="0.35">
      <c r="A148" s="915">
        <v>44757</v>
      </c>
      <c r="B148" s="743">
        <v>18.431799999999999</v>
      </c>
      <c r="C148" s="743">
        <v>9.7806999999999995</v>
      </c>
      <c r="D148" s="915">
        <v>44757</v>
      </c>
      <c r="E148" s="743">
        <v>18.753900000000002</v>
      </c>
      <c r="F148" s="743">
        <v>6.6632999999999996</v>
      </c>
      <c r="G148" s="915">
        <v>44757</v>
      </c>
      <c r="H148" s="743">
        <v>4.1048999999999998</v>
      </c>
      <c r="I148" s="743">
        <v>1.1541999999999999</v>
      </c>
      <c r="J148" s="916">
        <v>-0.46899999999999997</v>
      </c>
      <c r="K148" s="916">
        <v>-0.64500000000000002</v>
      </c>
      <c r="L148" s="916">
        <v>-0.71899999999999997</v>
      </c>
    </row>
    <row r="149" spans="1:12" ht="14.5" x14ac:dyDescent="0.35">
      <c r="A149" s="915">
        <v>44750</v>
      </c>
      <c r="B149" s="743">
        <v>18.650300000000001</v>
      </c>
      <c r="C149" s="743">
        <v>9.8305000000000007</v>
      </c>
      <c r="D149" s="915">
        <v>44750</v>
      </c>
      <c r="E149" s="743">
        <v>18.753900000000002</v>
      </c>
      <c r="F149" s="743">
        <v>6.6632999999999996</v>
      </c>
      <c r="G149" s="915">
        <v>44750</v>
      </c>
      <c r="H149" s="743">
        <v>4.1513999999999998</v>
      </c>
      <c r="I149" s="743">
        <v>1.1577</v>
      </c>
      <c r="J149" s="916">
        <v>-0.47299999999999998</v>
      </c>
      <c r="K149" s="916">
        <v>-0.64500000000000002</v>
      </c>
      <c r="L149" s="916">
        <v>-0.72099999999999997</v>
      </c>
    </row>
    <row r="150" spans="1:12" ht="14.5" x14ac:dyDescent="0.35">
      <c r="A150" s="915">
        <v>44743</v>
      </c>
      <c r="B150" s="743">
        <v>17.819800000000001</v>
      </c>
      <c r="C150" s="743">
        <v>9.6075999999999997</v>
      </c>
      <c r="D150" s="915">
        <v>44743</v>
      </c>
      <c r="E150" s="743">
        <v>18.753699999999998</v>
      </c>
      <c r="F150" s="743">
        <v>6.6632999999999996</v>
      </c>
      <c r="G150" s="915">
        <v>44743</v>
      </c>
      <c r="H150" s="743">
        <v>3.9744999999999999</v>
      </c>
      <c r="I150" s="743">
        <v>1.1411</v>
      </c>
      <c r="J150" s="916">
        <v>-0.46100000000000002</v>
      </c>
      <c r="K150" s="916">
        <v>-0.64500000000000002</v>
      </c>
      <c r="L150" s="916">
        <v>-0.71299999999999997</v>
      </c>
    </row>
    <row r="151" spans="1:12" ht="14.5" x14ac:dyDescent="0.35">
      <c r="A151" s="915">
        <v>44736</v>
      </c>
      <c r="B151" s="743">
        <v>18.619800000000001</v>
      </c>
      <c r="C151" s="743">
        <v>9.8910999999999998</v>
      </c>
      <c r="D151" s="915">
        <v>44736</v>
      </c>
      <c r="E151" s="743">
        <v>18.753599999999999</v>
      </c>
      <c r="F151" s="743">
        <v>6.6628999999999996</v>
      </c>
      <c r="G151" s="915">
        <v>44736</v>
      </c>
      <c r="H151" s="743">
        <v>4.1448999999999998</v>
      </c>
      <c r="I151" s="743">
        <v>1.1620999999999999</v>
      </c>
      <c r="J151" s="916">
        <v>-0.46899999999999997</v>
      </c>
      <c r="K151" s="916">
        <v>-0.64500000000000002</v>
      </c>
      <c r="L151" s="916">
        <v>-0.72</v>
      </c>
    </row>
    <row r="152" spans="1:12" ht="14.5" x14ac:dyDescent="0.35">
      <c r="A152" s="915">
        <v>44729</v>
      </c>
      <c r="B152" s="743">
        <v>17.328099999999999</v>
      </c>
      <c r="C152" s="743">
        <v>10.123200000000001</v>
      </c>
      <c r="D152" s="915">
        <v>44729</v>
      </c>
      <c r="E152" s="743">
        <v>18.753599999999999</v>
      </c>
      <c r="F152" s="743">
        <v>6.6628999999999996</v>
      </c>
      <c r="G152" s="915">
        <v>44729</v>
      </c>
      <c r="H152" s="743">
        <v>3.8847</v>
      </c>
      <c r="I152" s="743">
        <v>1.1793</v>
      </c>
      <c r="J152" s="916">
        <v>-0.41599999999999998</v>
      </c>
      <c r="K152" s="916">
        <v>-0.64500000000000002</v>
      </c>
      <c r="L152" s="916">
        <v>-0.69599999999999995</v>
      </c>
    </row>
    <row r="153" spans="1:12" ht="14.5" x14ac:dyDescent="0.35">
      <c r="A153" s="915">
        <v>44722</v>
      </c>
      <c r="B153" s="743">
        <v>18.1995</v>
      </c>
      <c r="C153" s="743">
        <v>10.7874</v>
      </c>
      <c r="D153" s="915">
        <v>44722</v>
      </c>
      <c r="E153" s="743">
        <v>18.753499999999999</v>
      </c>
      <c r="F153" s="743">
        <v>6.6630000000000003</v>
      </c>
      <c r="G153" s="915">
        <v>44722</v>
      </c>
      <c r="H153" s="743">
        <v>4.0713999999999997</v>
      </c>
      <c r="I153" s="743">
        <v>1.2287999999999999</v>
      </c>
      <c r="J153" s="916">
        <v>-0.40699999999999997</v>
      </c>
      <c r="K153" s="916">
        <v>-0.64500000000000002</v>
      </c>
      <c r="L153" s="916">
        <v>-0.69799999999999995</v>
      </c>
    </row>
    <row r="154" spans="1:12" ht="14.5" x14ac:dyDescent="0.35">
      <c r="A154" s="915">
        <v>44715</v>
      </c>
      <c r="B154" s="743">
        <v>19.2956</v>
      </c>
      <c r="C154" s="743">
        <v>11.115600000000001</v>
      </c>
      <c r="D154" s="915">
        <v>44715</v>
      </c>
      <c r="E154" s="743">
        <v>18.7502</v>
      </c>
      <c r="F154" s="743">
        <v>6.6630000000000003</v>
      </c>
      <c r="G154" s="915">
        <v>44715</v>
      </c>
      <c r="H154" s="743">
        <v>4.3064999999999998</v>
      </c>
      <c r="I154" s="743">
        <v>1.2423</v>
      </c>
      <c r="J154" s="916">
        <v>-0.42399999999999999</v>
      </c>
      <c r="K154" s="916">
        <v>-0.64500000000000002</v>
      </c>
      <c r="L154" s="916">
        <v>-0.71199999999999997</v>
      </c>
    </row>
    <row r="155" spans="1:12" ht="14.5" x14ac:dyDescent="0.35">
      <c r="A155" s="915">
        <v>44708</v>
      </c>
      <c r="B155" s="743">
        <v>19.492599999999999</v>
      </c>
      <c r="C155" s="743">
        <v>11.000299999999999</v>
      </c>
      <c r="D155" s="915">
        <v>44708</v>
      </c>
      <c r="E155" s="743">
        <v>18.742000000000001</v>
      </c>
      <c r="F155" s="743">
        <v>6.6630000000000003</v>
      </c>
      <c r="G155" s="915">
        <v>44708</v>
      </c>
      <c r="H155" s="743">
        <v>4.3506</v>
      </c>
      <c r="I155" s="743">
        <v>1.2338</v>
      </c>
      <c r="J155" s="916">
        <v>-0.436</v>
      </c>
      <c r="K155" s="916">
        <v>-0.64400000000000002</v>
      </c>
      <c r="L155" s="916">
        <v>-0.71599999999999997</v>
      </c>
    </row>
    <row r="156" spans="1:12" ht="14.5" x14ac:dyDescent="0.35">
      <c r="A156" s="915">
        <v>44701</v>
      </c>
      <c r="B156" s="743">
        <v>24.104600000000001</v>
      </c>
      <c r="C156" s="743">
        <v>11.0526</v>
      </c>
      <c r="D156" s="915">
        <v>44701</v>
      </c>
      <c r="E156" s="743">
        <v>20.927199999999999</v>
      </c>
      <c r="F156" s="743">
        <v>6.6630000000000003</v>
      </c>
      <c r="G156" s="915">
        <v>44701</v>
      </c>
      <c r="H156" s="743">
        <v>4.1863999999999999</v>
      </c>
      <c r="I156" s="743">
        <v>1.2377</v>
      </c>
      <c r="J156" s="916">
        <v>-0.54100000000000004</v>
      </c>
      <c r="K156" s="916">
        <v>-0.68200000000000005</v>
      </c>
      <c r="L156" s="916">
        <v>-0.70399999999999996</v>
      </c>
    </row>
    <row r="157" spans="1:12" ht="14.5" x14ac:dyDescent="0.35">
      <c r="A157" s="915">
        <v>44694</v>
      </c>
      <c r="B157" s="743">
        <v>25.228400000000001</v>
      </c>
      <c r="C157" s="743">
        <v>11.365600000000001</v>
      </c>
      <c r="D157" s="915">
        <v>44694</v>
      </c>
      <c r="E157" s="743">
        <v>20.927199999999999</v>
      </c>
      <c r="F157" s="743">
        <v>7.4249999999999998</v>
      </c>
      <c r="G157" s="915">
        <v>44694</v>
      </c>
      <c r="H157" s="743">
        <v>4.3739999999999997</v>
      </c>
      <c r="I157" s="743">
        <v>1.3110999999999999</v>
      </c>
      <c r="J157" s="916">
        <v>-0.54900000000000004</v>
      </c>
      <c r="K157" s="916">
        <v>-0.64500000000000002</v>
      </c>
      <c r="L157" s="916">
        <v>-0.7</v>
      </c>
    </row>
    <row r="158" spans="1:12" ht="14.5" x14ac:dyDescent="0.35">
      <c r="A158" s="915">
        <v>44687</v>
      </c>
      <c r="B158" s="743">
        <v>25.851900000000001</v>
      </c>
      <c r="C158" s="743">
        <v>11.4518</v>
      </c>
      <c r="D158" s="915">
        <v>44687</v>
      </c>
      <c r="E158" s="743">
        <v>20.927199999999999</v>
      </c>
      <c r="F158" s="743">
        <v>7.4249999999999998</v>
      </c>
      <c r="G158" s="915">
        <v>44687</v>
      </c>
      <c r="H158" s="743">
        <v>4.4779999999999998</v>
      </c>
      <c r="I158" s="743">
        <v>1.3173999999999999</v>
      </c>
      <c r="J158" s="916">
        <v>-0.55700000000000005</v>
      </c>
      <c r="K158" s="916">
        <v>-0.64500000000000002</v>
      </c>
      <c r="L158" s="916">
        <v>-0.70599999999999996</v>
      </c>
    </row>
    <row r="159" spans="1:12" ht="14.5" x14ac:dyDescent="0.35">
      <c r="A159" s="915">
        <v>44680</v>
      </c>
      <c r="B159" s="743">
        <v>26.180299999999999</v>
      </c>
      <c r="C159" s="743">
        <v>11.661799999999999</v>
      </c>
      <c r="D159" s="915">
        <v>44680</v>
      </c>
      <c r="E159" s="743">
        <v>20.927199999999999</v>
      </c>
      <c r="F159" s="743">
        <v>7.4249999999999998</v>
      </c>
      <c r="G159" s="915">
        <v>44680</v>
      </c>
      <c r="H159" s="743">
        <v>4.5327999999999999</v>
      </c>
      <c r="I159" s="743">
        <v>1.3329</v>
      </c>
      <c r="J159" s="916">
        <v>-0.55500000000000005</v>
      </c>
      <c r="K159" s="916">
        <v>-0.64500000000000002</v>
      </c>
      <c r="L159" s="916">
        <v>-0.70599999999999996</v>
      </c>
    </row>
    <row r="160" spans="1:12" ht="14.5" x14ac:dyDescent="0.35">
      <c r="A160" s="915">
        <v>44673</v>
      </c>
      <c r="B160" s="743">
        <v>27.203399999999998</v>
      </c>
      <c r="C160" s="743">
        <v>11.660500000000001</v>
      </c>
      <c r="D160" s="915">
        <v>44673</v>
      </c>
      <c r="E160" s="743">
        <v>20.9495</v>
      </c>
      <c r="F160" s="743">
        <v>7.4249999999999998</v>
      </c>
      <c r="G160" s="915">
        <v>44673</v>
      </c>
      <c r="H160" s="743">
        <v>4.7034000000000002</v>
      </c>
      <c r="I160" s="743">
        <v>1.3328</v>
      </c>
      <c r="J160" s="916">
        <v>-0.57099999999999995</v>
      </c>
      <c r="K160" s="916">
        <v>-0.64600000000000002</v>
      </c>
      <c r="L160" s="916">
        <v>-0.71699999999999997</v>
      </c>
    </row>
    <row r="161" spans="1:12" ht="14.5" x14ac:dyDescent="0.35">
      <c r="A161" s="915">
        <v>44666</v>
      </c>
      <c r="B161" s="743">
        <v>28.2957</v>
      </c>
      <c r="C161" s="743">
        <v>11.611700000000001</v>
      </c>
      <c r="D161" s="915">
        <v>44666</v>
      </c>
      <c r="E161" s="743">
        <v>20.9495</v>
      </c>
      <c r="F161" s="743">
        <v>7.4249999999999998</v>
      </c>
      <c r="G161" s="915">
        <v>44666</v>
      </c>
      <c r="H161" s="743">
        <v>4.8856000000000002</v>
      </c>
      <c r="I161" s="743">
        <v>1.3290999999999999</v>
      </c>
      <c r="J161" s="916">
        <v>-0.59</v>
      </c>
      <c r="K161" s="916">
        <v>-0.64600000000000002</v>
      </c>
      <c r="L161" s="916">
        <v>-0.72799999999999998</v>
      </c>
    </row>
    <row r="162" spans="1:12" ht="14.5" x14ac:dyDescent="0.35">
      <c r="A162" s="915">
        <v>44659</v>
      </c>
      <c r="B162" s="743">
        <v>29.1797</v>
      </c>
      <c r="C162" s="743">
        <v>11.698499999999999</v>
      </c>
      <c r="D162" s="915">
        <v>44659</v>
      </c>
      <c r="E162" s="743">
        <v>20.9495</v>
      </c>
      <c r="F162" s="743">
        <v>7.4249999999999998</v>
      </c>
      <c r="G162" s="915">
        <v>44659</v>
      </c>
      <c r="H162" s="743">
        <v>5.0330000000000004</v>
      </c>
      <c r="I162" s="743">
        <v>1.3354999999999999</v>
      </c>
      <c r="J162" s="916">
        <v>-0.59899999999999998</v>
      </c>
      <c r="K162" s="916">
        <v>-0.64600000000000002</v>
      </c>
      <c r="L162" s="916">
        <v>-0.73499999999999999</v>
      </c>
    </row>
    <row r="163" spans="1:12" ht="14.5" x14ac:dyDescent="0.35">
      <c r="A163" s="915">
        <v>44652</v>
      </c>
      <c r="B163" s="743">
        <v>30.267199999999999</v>
      </c>
      <c r="C163" s="743">
        <v>11.942</v>
      </c>
      <c r="D163" s="915">
        <v>44652</v>
      </c>
      <c r="E163" s="743">
        <v>20.9495</v>
      </c>
      <c r="F163" s="743">
        <v>7.4249999999999998</v>
      </c>
      <c r="G163" s="915">
        <v>44652</v>
      </c>
      <c r="H163" s="743">
        <v>5.2142999999999997</v>
      </c>
      <c r="I163" s="743">
        <v>1.3532999999999999</v>
      </c>
      <c r="J163" s="916">
        <v>-0.60499999999999998</v>
      </c>
      <c r="K163" s="916">
        <v>-0.64600000000000002</v>
      </c>
      <c r="L163" s="916">
        <v>-0.74</v>
      </c>
    </row>
    <row r="164" spans="1:12" ht="14.5" x14ac:dyDescent="0.35">
      <c r="A164" s="915">
        <v>44645</v>
      </c>
      <c r="B164" s="743">
        <v>30.0519</v>
      </c>
      <c r="C164" s="743">
        <v>11.9147</v>
      </c>
      <c r="D164" s="915">
        <v>44645</v>
      </c>
      <c r="E164" s="743">
        <v>20.982700000000001</v>
      </c>
      <c r="F164" s="743">
        <v>7.4249999999999998</v>
      </c>
      <c r="G164" s="915">
        <v>44645</v>
      </c>
      <c r="H164" s="743">
        <v>5.1778000000000004</v>
      </c>
      <c r="I164" s="743">
        <v>1.3512999999999999</v>
      </c>
      <c r="J164" s="916">
        <v>-0.60399999999999998</v>
      </c>
      <c r="K164" s="916">
        <v>-0.64600000000000002</v>
      </c>
      <c r="L164" s="916">
        <v>-0.73899999999999999</v>
      </c>
    </row>
    <row r="165" spans="1:12" ht="14.5" x14ac:dyDescent="0.35">
      <c r="A165" s="915">
        <v>44638</v>
      </c>
      <c r="B165" s="743">
        <v>29.374199999999998</v>
      </c>
      <c r="C165" s="743">
        <v>11.7285</v>
      </c>
      <c r="D165" s="915">
        <v>44638</v>
      </c>
      <c r="E165" s="743">
        <v>20.984000000000002</v>
      </c>
      <c r="F165" s="743">
        <v>7.3579999999999997</v>
      </c>
      <c r="G165" s="915">
        <v>44638</v>
      </c>
      <c r="H165" s="743">
        <v>5.0785999999999998</v>
      </c>
      <c r="I165" s="743">
        <v>1.3482000000000001</v>
      </c>
      <c r="J165" s="916">
        <v>-0.60099999999999998</v>
      </c>
      <c r="K165" s="916">
        <v>-0.64900000000000002</v>
      </c>
      <c r="L165" s="916">
        <v>-0.73499999999999999</v>
      </c>
    </row>
    <row r="166" spans="1:12" ht="14.5" x14ac:dyDescent="0.35">
      <c r="A166" s="915">
        <v>44631</v>
      </c>
      <c r="B166" s="743">
        <v>27.095300000000002</v>
      </c>
      <c r="C166" s="743">
        <v>11.374599999999999</v>
      </c>
      <c r="D166" s="915">
        <v>44631</v>
      </c>
      <c r="E166" s="743">
        <v>21.036000000000001</v>
      </c>
      <c r="F166" s="743">
        <v>7.3498000000000001</v>
      </c>
      <c r="G166" s="915">
        <v>44631</v>
      </c>
      <c r="H166" s="743">
        <v>4.6974999999999998</v>
      </c>
      <c r="I166" s="743">
        <v>1.3216000000000001</v>
      </c>
      <c r="J166" s="916">
        <v>-0.57999999999999996</v>
      </c>
      <c r="K166" s="916">
        <v>-0.65100000000000002</v>
      </c>
      <c r="L166" s="916">
        <v>-0.71899999999999997</v>
      </c>
    </row>
    <row r="167" spans="1:12" ht="14.5" x14ac:dyDescent="0.35">
      <c r="A167" s="915">
        <v>44624</v>
      </c>
      <c r="B167" s="743">
        <v>28.1036</v>
      </c>
      <c r="C167" s="743">
        <v>11.37</v>
      </c>
      <c r="D167" s="915">
        <v>44624</v>
      </c>
      <c r="E167" s="743">
        <v>21.009599999999999</v>
      </c>
      <c r="F167" s="743">
        <v>7.2441000000000004</v>
      </c>
      <c r="G167" s="915">
        <v>44624</v>
      </c>
      <c r="H167" s="743">
        <v>4.8817000000000004</v>
      </c>
      <c r="I167" s="743">
        <v>1.2850999999999999</v>
      </c>
      <c r="J167" s="916">
        <v>-0.59499999999999997</v>
      </c>
      <c r="K167" s="916">
        <v>-0.65500000000000003</v>
      </c>
      <c r="L167" s="916">
        <v>-0.73699999999999999</v>
      </c>
    </row>
    <row r="168" spans="1:12" ht="14.5" x14ac:dyDescent="0.35">
      <c r="A168" s="915">
        <v>44617</v>
      </c>
      <c r="B168" s="743">
        <v>30.610099999999999</v>
      </c>
      <c r="C168" s="743">
        <v>9.8667999999999996</v>
      </c>
      <c r="D168" s="915">
        <v>44617</v>
      </c>
      <c r="E168" s="743">
        <v>20.071899999999999</v>
      </c>
      <c r="F168" s="743">
        <v>7.2230999999999996</v>
      </c>
      <c r="G168" s="915">
        <v>44617</v>
      </c>
      <c r="H168" s="743">
        <v>5.2615999999999996</v>
      </c>
      <c r="I168" s="743">
        <v>1.2672000000000001</v>
      </c>
      <c r="J168" s="916">
        <v>-0.67800000000000005</v>
      </c>
      <c r="K168" s="916">
        <v>-0.64</v>
      </c>
      <c r="L168" s="916">
        <v>-0.75900000000000001</v>
      </c>
    </row>
    <row r="169" spans="1:12" ht="14.5" x14ac:dyDescent="0.35">
      <c r="A169" s="915">
        <v>44610</v>
      </c>
      <c r="B169" s="743">
        <v>30.2226</v>
      </c>
      <c r="C169" s="743">
        <v>10.089499999999999</v>
      </c>
      <c r="D169" s="915">
        <v>44610</v>
      </c>
      <c r="E169" s="743">
        <v>20.071899999999999</v>
      </c>
      <c r="F169" s="743">
        <v>7.2236000000000002</v>
      </c>
      <c r="G169" s="915">
        <v>44610</v>
      </c>
      <c r="H169" s="743">
        <v>5.1835000000000004</v>
      </c>
      <c r="I169" s="743">
        <v>1.2955000000000001</v>
      </c>
      <c r="J169" s="916">
        <v>-0.66600000000000004</v>
      </c>
      <c r="K169" s="916">
        <v>-0.64</v>
      </c>
      <c r="L169" s="916">
        <v>-0.75</v>
      </c>
    </row>
    <row r="170" spans="1:12" ht="14.5" x14ac:dyDescent="0.35">
      <c r="A170" s="915">
        <v>44603</v>
      </c>
      <c r="B170" s="743">
        <v>30.749700000000001</v>
      </c>
      <c r="C170" s="743">
        <v>10.0791</v>
      </c>
      <c r="D170" s="915">
        <v>44603</v>
      </c>
      <c r="E170" s="743">
        <v>20.0718</v>
      </c>
      <c r="F170" s="743">
        <v>7.2236000000000002</v>
      </c>
      <c r="G170" s="915">
        <v>44603</v>
      </c>
      <c r="H170" s="743">
        <v>5.2709000000000001</v>
      </c>
      <c r="I170" s="743">
        <v>1.2964</v>
      </c>
      <c r="J170" s="916">
        <v>-0.67200000000000004</v>
      </c>
      <c r="K170" s="916">
        <v>-0.64</v>
      </c>
      <c r="L170" s="916">
        <v>-0.754</v>
      </c>
    </row>
    <row r="171" spans="1:12" ht="14.5" x14ac:dyDescent="0.35">
      <c r="A171" s="915">
        <v>44596</v>
      </c>
      <c r="B171" s="743">
        <v>31.681000000000001</v>
      </c>
      <c r="C171" s="743">
        <v>12.8452</v>
      </c>
      <c r="D171" s="915">
        <v>44596</v>
      </c>
      <c r="E171" s="743">
        <v>20.076599999999999</v>
      </c>
      <c r="F171" s="743">
        <v>7.6318999999999999</v>
      </c>
      <c r="G171" s="915">
        <v>44596</v>
      </c>
      <c r="H171" s="743">
        <v>5.4291</v>
      </c>
      <c r="I171" s="743">
        <v>1.3917999999999999</v>
      </c>
      <c r="J171" s="916">
        <v>-0.59499999999999997</v>
      </c>
      <c r="K171" s="916">
        <v>-0.62</v>
      </c>
      <c r="L171" s="916">
        <v>-0.74399999999999999</v>
      </c>
    </row>
    <row r="172" spans="1:12" ht="14.5" x14ac:dyDescent="0.35">
      <c r="A172" s="915">
        <v>44589</v>
      </c>
      <c r="B172" s="743">
        <v>31.188700000000001</v>
      </c>
      <c r="C172" s="743">
        <v>12.569800000000001</v>
      </c>
      <c r="D172" s="915">
        <v>44589</v>
      </c>
      <c r="E172" s="743">
        <v>19.9771</v>
      </c>
      <c r="F172" s="743">
        <v>7.6318999999999999</v>
      </c>
      <c r="G172" s="915">
        <v>44589</v>
      </c>
      <c r="H172" s="743">
        <v>5.3430999999999997</v>
      </c>
      <c r="I172" s="743">
        <v>1.3721000000000001</v>
      </c>
      <c r="J172" s="916">
        <v>-0.59699999999999998</v>
      </c>
      <c r="K172" s="916">
        <v>-0.61799999999999999</v>
      </c>
      <c r="L172" s="916">
        <v>-0.74299999999999999</v>
      </c>
    </row>
    <row r="173" spans="1:12" ht="14.5" x14ac:dyDescent="0.35">
      <c r="A173" s="915">
        <v>44582</v>
      </c>
      <c r="B173" s="743">
        <v>31.153700000000001</v>
      </c>
      <c r="C173" s="743">
        <v>13.178699999999999</v>
      </c>
      <c r="D173" s="915">
        <v>44582</v>
      </c>
      <c r="E173" s="743">
        <v>19.9772</v>
      </c>
      <c r="F173" s="743">
        <v>7.6318999999999999</v>
      </c>
      <c r="G173" s="915">
        <v>44582</v>
      </c>
      <c r="H173" s="743">
        <v>5.3273000000000001</v>
      </c>
      <c r="I173" s="743">
        <v>1.4157999999999999</v>
      </c>
      <c r="J173" s="916">
        <v>-0.57699999999999996</v>
      </c>
      <c r="K173" s="916">
        <v>-0.61799999999999999</v>
      </c>
      <c r="L173" s="916">
        <v>-0.73399999999999999</v>
      </c>
    </row>
    <row r="174" spans="1:12" ht="14.5" x14ac:dyDescent="0.35">
      <c r="A174" s="915">
        <v>44575</v>
      </c>
      <c r="B174" s="743">
        <v>33.685299999999998</v>
      </c>
      <c r="C174" s="743">
        <v>13.5657</v>
      </c>
      <c r="D174" s="915">
        <v>44575</v>
      </c>
      <c r="E174" s="743">
        <v>19.976500000000001</v>
      </c>
      <c r="F174" s="743">
        <v>7.6318999999999999</v>
      </c>
      <c r="G174" s="915">
        <v>44575</v>
      </c>
      <c r="H174" s="743">
        <v>5.7465000000000002</v>
      </c>
      <c r="I174" s="743">
        <v>1.4436</v>
      </c>
      <c r="J174" s="916">
        <v>-0.59699999999999998</v>
      </c>
      <c r="K174" s="916">
        <v>-0.61799999999999999</v>
      </c>
      <c r="L174" s="916">
        <v>-0.749</v>
      </c>
    </row>
    <row r="175" spans="1:12" ht="14.5" x14ac:dyDescent="0.35">
      <c r="A175" s="915">
        <v>44568</v>
      </c>
      <c r="B175" s="743">
        <v>33.642699999999998</v>
      </c>
      <c r="C175" s="743">
        <v>13.678000000000001</v>
      </c>
      <c r="D175" s="915">
        <v>44568</v>
      </c>
      <c r="E175" s="743">
        <v>19.975899999999999</v>
      </c>
      <c r="F175" s="743">
        <v>7.6318999999999999</v>
      </c>
      <c r="G175" s="915">
        <v>44568</v>
      </c>
      <c r="H175" s="743">
        <v>5.7394999999999996</v>
      </c>
      <c r="I175" s="743">
        <v>1.4517</v>
      </c>
      <c r="J175" s="916">
        <v>-0.59299999999999997</v>
      </c>
      <c r="K175" s="916">
        <v>-0.61799999999999999</v>
      </c>
      <c r="L175" s="916">
        <v>-0.747</v>
      </c>
    </row>
    <row r="176" spans="1:12" ht="14.5" x14ac:dyDescent="0.35">
      <c r="A176" s="915">
        <v>44561</v>
      </c>
      <c r="B176" s="743">
        <v>35.216999999999999</v>
      </c>
      <c r="C176" s="743">
        <v>13.8094</v>
      </c>
      <c r="D176" s="915">
        <v>44561</v>
      </c>
      <c r="E176" s="743">
        <v>19.977399999999999</v>
      </c>
      <c r="F176" s="743">
        <v>7.6318999999999999</v>
      </c>
      <c r="G176" s="915">
        <v>44561</v>
      </c>
      <c r="H176" s="743">
        <v>6.0002000000000004</v>
      </c>
      <c r="I176" s="743">
        <v>1.4611000000000001</v>
      </c>
      <c r="J176" s="916">
        <v>-0.60799999999999998</v>
      </c>
      <c r="K176" s="916">
        <v>-0.61799999999999999</v>
      </c>
      <c r="L176" s="916">
        <v>-0.75600000000000001</v>
      </c>
    </row>
    <row r="177" spans="1:12" ht="14.5" x14ac:dyDescent="0.35">
      <c r="A177" s="915">
        <v>44554</v>
      </c>
      <c r="B177" s="743">
        <v>35.191400000000002</v>
      </c>
      <c r="C177" s="743">
        <v>14.044700000000001</v>
      </c>
      <c r="D177" s="915">
        <v>44554</v>
      </c>
      <c r="E177" s="743">
        <v>19.977399999999999</v>
      </c>
      <c r="F177" s="743">
        <v>7.6318999999999999</v>
      </c>
      <c r="G177" s="915">
        <v>44554</v>
      </c>
      <c r="H177" s="743">
        <v>5.9960000000000004</v>
      </c>
      <c r="I177" s="743">
        <v>1.4776</v>
      </c>
      <c r="J177" s="916">
        <v>-0.60099999999999998</v>
      </c>
      <c r="K177" s="916">
        <v>-0.61799999999999999</v>
      </c>
      <c r="L177" s="916">
        <v>-0.754</v>
      </c>
    </row>
    <row r="178" spans="1:12" ht="14.5" x14ac:dyDescent="0.35">
      <c r="A178" s="915">
        <v>44547</v>
      </c>
      <c r="B178" s="743">
        <v>34.097700000000003</v>
      </c>
      <c r="C178" s="743">
        <v>13.994400000000001</v>
      </c>
      <c r="D178" s="915">
        <v>44547</v>
      </c>
      <c r="E178" s="743">
        <v>19.977399999999999</v>
      </c>
      <c r="F178" s="743">
        <v>7.6318999999999999</v>
      </c>
      <c r="G178" s="915">
        <v>44547</v>
      </c>
      <c r="H178" s="743">
        <v>5.7031999999999998</v>
      </c>
      <c r="I178" s="743">
        <v>1.474</v>
      </c>
      <c r="J178" s="916">
        <v>-0.59</v>
      </c>
      <c r="K178" s="916">
        <v>-0.61799999999999999</v>
      </c>
      <c r="L178" s="916">
        <v>-0.74199999999999999</v>
      </c>
    </row>
    <row r="179" spans="1:12" ht="14.5" x14ac:dyDescent="0.35">
      <c r="A179" s="915">
        <v>44540</v>
      </c>
      <c r="B179" s="743">
        <v>35.242100000000001</v>
      </c>
      <c r="C179" s="743">
        <v>13.952</v>
      </c>
      <c r="D179" s="915">
        <v>44540</v>
      </c>
      <c r="E179" s="743">
        <v>19.988399999999999</v>
      </c>
      <c r="F179" s="743">
        <v>7.6318999999999999</v>
      </c>
      <c r="G179" s="915">
        <v>44540</v>
      </c>
      <c r="H179" s="743">
        <v>5.8905000000000003</v>
      </c>
      <c r="I179" s="743">
        <v>1.4710000000000001</v>
      </c>
      <c r="J179" s="916">
        <v>-0.60399999999999998</v>
      </c>
      <c r="K179" s="916">
        <v>-0.61799999999999999</v>
      </c>
      <c r="L179" s="916">
        <v>-0.75</v>
      </c>
    </row>
    <row r="180" spans="1:12" ht="14.5" x14ac:dyDescent="0.35">
      <c r="A180" s="915">
        <v>44533</v>
      </c>
      <c r="B180" s="743">
        <v>33.467399999999998</v>
      </c>
      <c r="C180" s="743">
        <v>13.7447</v>
      </c>
      <c r="D180" s="915">
        <v>44533</v>
      </c>
      <c r="E180" s="743">
        <v>19.935700000000001</v>
      </c>
      <c r="F180" s="743">
        <v>7.6318999999999999</v>
      </c>
      <c r="G180" s="915">
        <v>44533</v>
      </c>
      <c r="H180" s="743">
        <v>5.6730999999999998</v>
      </c>
      <c r="I180" s="743">
        <v>1.3967000000000001</v>
      </c>
      <c r="J180" s="916">
        <v>-0.58899999999999997</v>
      </c>
      <c r="K180" s="916">
        <v>-0.61699999999999999</v>
      </c>
      <c r="L180" s="916">
        <v>-0.754</v>
      </c>
    </row>
    <row r="181" spans="1:12" ht="14.5" x14ac:dyDescent="0.35">
      <c r="A181" s="915">
        <v>44526</v>
      </c>
      <c r="B181" s="743">
        <v>36.7209</v>
      </c>
      <c r="C181" s="743">
        <v>13.485200000000001</v>
      </c>
      <c r="D181" s="915">
        <v>44526</v>
      </c>
      <c r="E181" s="743">
        <v>20.907</v>
      </c>
      <c r="F181" s="743">
        <v>7.6318999999999999</v>
      </c>
      <c r="G181" s="915">
        <v>44526</v>
      </c>
      <c r="H181" s="743">
        <v>6.0701999999999998</v>
      </c>
      <c r="I181" s="743">
        <v>1.3845000000000001</v>
      </c>
      <c r="J181" s="916">
        <v>-0.63300000000000001</v>
      </c>
      <c r="K181" s="916">
        <v>-0.63500000000000001</v>
      </c>
      <c r="L181" s="916">
        <v>-0.77200000000000002</v>
      </c>
    </row>
    <row r="182" spans="1:12" ht="14.5" x14ac:dyDescent="0.35">
      <c r="A182" s="915">
        <v>44519</v>
      </c>
      <c r="B182" s="743">
        <v>37.976100000000002</v>
      </c>
      <c r="C182" s="743">
        <v>13.6752</v>
      </c>
      <c r="D182" s="915">
        <v>44519</v>
      </c>
      <c r="E182" s="743">
        <v>20.907399999999999</v>
      </c>
      <c r="F182" s="743">
        <v>7.6318999999999999</v>
      </c>
      <c r="G182" s="915">
        <v>44519</v>
      </c>
      <c r="H182" s="743">
        <v>6.2718999999999996</v>
      </c>
      <c r="I182" s="743">
        <v>1.3974</v>
      </c>
      <c r="J182" s="916">
        <v>-0.64</v>
      </c>
      <c r="K182" s="916">
        <v>-0.63500000000000001</v>
      </c>
      <c r="L182" s="916">
        <v>-0.77700000000000002</v>
      </c>
    </row>
    <row r="183" spans="1:12" ht="14.5" x14ac:dyDescent="0.35">
      <c r="A183" s="915">
        <v>44512</v>
      </c>
      <c r="B183" s="743">
        <v>37.1203</v>
      </c>
      <c r="C183" s="743">
        <v>13.1318</v>
      </c>
      <c r="D183" s="915">
        <v>44512</v>
      </c>
      <c r="E183" s="743">
        <v>20.907399999999999</v>
      </c>
      <c r="F183" s="743">
        <v>7.9763000000000002</v>
      </c>
      <c r="G183" s="915">
        <v>44512</v>
      </c>
      <c r="H183" s="743">
        <v>6.1344000000000003</v>
      </c>
      <c r="I183" s="743">
        <v>1.4216</v>
      </c>
      <c r="J183" s="916">
        <v>-0.64600000000000002</v>
      </c>
      <c r="K183" s="916">
        <v>-0.61799999999999999</v>
      </c>
      <c r="L183" s="916">
        <v>-0.76800000000000002</v>
      </c>
    </row>
    <row r="184" spans="1:12" ht="14.5" x14ac:dyDescent="0.35">
      <c r="A184" s="915">
        <v>44505</v>
      </c>
      <c r="B184" s="743">
        <v>37.485799999999998</v>
      </c>
      <c r="C184" s="743">
        <v>13.157400000000001</v>
      </c>
      <c r="D184" s="915">
        <v>44505</v>
      </c>
      <c r="E184" s="743">
        <v>20.907</v>
      </c>
      <c r="F184" s="743">
        <v>7.8323</v>
      </c>
      <c r="G184" s="915">
        <v>44505</v>
      </c>
      <c r="H184" s="743">
        <v>6.1931000000000003</v>
      </c>
      <c r="I184" s="743">
        <v>1.3949</v>
      </c>
      <c r="J184" s="916">
        <v>-0.64900000000000002</v>
      </c>
      <c r="K184" s="916">
        <v>-0.625</v>
      </c>
      <c r="L184" s="916">
        <v>-0.77500000000000002</v>
      </c>
    </row>
    <row r="185" spans="1:12" ht="14.5" x14ac:dyDescent="0.35">
      <c r="A185" s="915">
        <v>44498</v>
      </c>
      <c r="B185" s="743">
        <v>36.319699999999997</v>
      </c>
      <c r="C185" s="743">
        <v>15.323</v>
      </c>
      <c r="D185" s="915">
        <v>44498</v>
      </c>
      <c r="E185" s="743">
        <v>20.907</v>
      </c>
      <c r="F185" s="743">
        <v>8.5975999999999999</v>
      </c>
      <c r="G185" s="915">
        <v>44498</v>
      </c>
      <c r="H185" s="743">
        <v>6.0057</v>
      </c>
      <c r="I185" s="743">
        <v>1.4253</v>
      </c>
      <c r="J185" s="916">
        <v>-0.57799999999999996</v>
      </c>
      <c r="K185" s="916">
        <v>-0.58899999999999997</v>
      </c>
      <c r="L185" s="916">
        <v>-0.76300000000000001</v>
      </c>
    </row>
    <row r="186" spans="1:12" ht="14.5" x14ac:dyDescent="0.35">
      <c r="A186" s="915">
        <v>44491</v>
      </c>
      <c r="B186" s="743">
        <v>35.1845</v>
      </c>
      <c r="C186" s="743">
        <v>15.514699999999999</v>
      </c>
      <c r="D186" s="915">
        <v>44491</v>
      </c>
      <c r="E186" s="743">
        <v>20.9071</v>
      </c>
      <c r="F186" s="743">
        <v>8.5975999999999999</v>
      </c>
      <c r="G186" s="915">
        <v>44491</v>
      </c>
      <c r="H186" s="743">
        <v>5.8231999999999999</v>
      </c>
      <c r="I186" s="743">
        <v>1.4371</v>
      </c>
      <c r="J186" s="916">
        <v>-0.55900000000000005</v>
      </c>
      <c r="K186" s="916">
        <v>-0.58899999999999997</v>
      </c>
      <c r="L186" s="916">
        <v>-0.753</v>
      </c>
    </row>
    <row r="187" spans="1:12" ht="14.5" x14ac:dyDescent="0.35">
      <c r="A187" s="915">
        <v>44484</v>
      </c>
      <c r="B187" s="743">
        <v>34.707599999999999</v>
      </c>
      <c r="C187" s="743">
        <v>15.485099999999999</v>
      </c>
      <c r="D187" s="915">
        <v>44484</v>
      </c>
      <c r="E187" s="743">
        <v>20.9072</v>
      </c>
      <c r="F187" s="743">
        <v>8.5975999999999999</v>
      </c>
      <c r="G187" s="915">
        <v>44484</v>
      </c>
      <c r="H187" s="743">
        <v>5.7465000000000002</v>
      </c>
      <c r="I187" s="743">
        <v>1.4353</v>
      </c>
      <c r="J187" s="916">
        <v>-0.55400000000000005</v>
      </c>
      <c r="K187" s="916">
        <v>-0.58899999999999997</v>
      </c>
      <c r="L187" s="916">
        <v>-0.75</v>
      </c>
    </row>
    <row r="188" spans="1:12" ht="14.5" x14ac:dyDescent="0.35">
      <c r="A188" s="915">
        <v>44477</v>
      </c>
      <c r="B188" s="743">
        <v>33.9602</v>
      </c>
      <c r="C188" s="743">
        <v>15.2622</v>
      </c>
      <c r="D188" s="915">
        <v>44477</v>
      </c>
      <c r="E188" s="743">
        <v>20.9069</v>
      </c>
      <c r="F188" s="743">
        <v>8.5975999999999999</v>
      </c>
      <c r="G188" s="915">
        <v>44477</v>
      </c>
      <c r="H188" s="743">
        <v>5.6264000000000003</v>
      </c>
      <c r="I188" s="743">
        <v>1.4215</v>
      </c>
      <c r="J188" s="916">
        <v>-0.55100000000000005</v>
      </c>
      <c r="K188" s="916">
        <v>-0.58899999999999997</v>
      </c>
      <c r="L188" s="916">
        <v>-0.747</v>
      </c>
    </row>
    <row r="189" spans="1:12" ht="14.5" x14ac:dyDescent="0.35">
      <c r="A189" s="915">
        <v>44470</v>
      </c>
      <c r="B189" s="743">
        <v>33.893999999999998</v>
      </c>
      <c r="C189" s="743">
        <v>15.544499999999999</v>
      </c>
      <c r="D189" s="915">
        <v>44470</v>
      </c>
      <c r="E189" s="743">
        <v>20.9068</v>
      </c>
      <c r="F189" s="743">
        <v>8.5975999999999999</v>
      </c>
      <c r="G189" s="915">
        <v>44470</v>
      </c>
      <c r="H189" s="743">
        <v>5.6158000000000001</v>
      </c>
      <c r="I189" s="743">
        <v>1.4389000000000001</v>
      </c>
      <c r="J189" s="916">
        <v>-0.54100000000000004</v>
      </c>
      <c r="K189" s="916">
        <v>-0.58899999999999997</v>
      </c>
      <c r="L189" s="916">
        <v>-0.74399999999999999</v>
      </c>
    </row>
    <row r="190" spans="1:12" ht="14.5" x14ac:dyDescent="0.35">
      <c r="A190" s="915">
        <v>44463</v>
      </c>
      <c r="B190" s="743">
        <v>35.125799999999998</v>
      </c>
      <c r="C190" s="743">
        <v>16.125800000000002</v>
      </c>
      <c r="D190" s="915">
        <v>44463</v>
      </c>
      <c r="E190" s="743">
        <v>20.905999999999999</v>
      </c>
      <c r="F190" s="743">
        <v>8.5975999999999999</v>
      </c>
      <c r="G190" s="915">
        <v>44463</v>
      </c>
      <c r="H190" s="743">
        <v>5.8135000000000003</v>
      </c>
      <c r="I190" s="743">
        <v>1.4749000000000001</v>
      </c>
      <c r="J190" s="916">
        <v>-0.54100000000000004</v>
      </c>
      <c r="K190" s="916">
        <v>-0.58899999999999997</v>
      </c>
      <c r="L190" s="916">
        <v>-0.746</v>
      </c>
    </row>
    <row r="191" spans="1:12" ht="14.5" x14ac:dyDescent="0.35">
      <c r="A191" s="915">
        <v>44456</v>
      </c>
      <c r="B191" s="743">
        <v>35.1357</v>
      </c>
      <c r="C191" s="743">
        <v>16.1722</v>
      </c>
      <c r="D191" s="915">
        <v>44456</v>
      </c>
      <c r="E191" s="743">
        <v>20.906700000000001</v>
      </c>
      <c r="F191" s="743">
        <v>8.5975999999999999</v>
      </c>
      <c r="G191" s="915">
        <v>44456</v>
      </c>
      <c r="H191" s="743">
        <v>5.8056000000000001</v>
      </c>
      <c r="I191" s="743">
        <v>1.4777</v>
      </c>
      <c r="J191" s="916">
        <v>-0.54</v>
      </c>
      <c r="K191" s="916">
        <v>-0.58899999999999997</v>
      </c>
      <c r="L191" s="916">
        <v>-0.745</v>
      </c>
    </row>
    <row r="192" spans="1:12" ht="14.5" x14ac:dyDescent="0.35">
      <c r="A192" s="915">
        <v>44449</v>
      </c>
      <c r="B192" s="743">
        <v>35.381500000000003</v>
      </c>
      <c r="C192" s="743">
        <v>16.101600000000001</v>
      </c>
      <c r="D192" s="915">
        <v>44449</v>
      </c>
      <c r="E192" s="743">
        <v>20.906700000000001</v>
      </c>
      <c r="F192" s="743">
        <v>8.5975999999999999</v>
      </c>
      <c r="G192" s="915">
        <v>44449</v>
      </c>
      <c r="H192" s="743">
        <v>5.8449999999999998</v>
      </c>
      <c r="I192" s="743">
        <v>1.4725999999999999</v>
      </c>
      <c r="J192" s="916">
        <v>-0.54500000000000004</v>
      </c>
      <c r="K192" s="916">
        <v>-0.58899999999999997</v>
      </c>
      <c r="L192" s="916">
        <v>-0.748</v>
      </c>
    </row>
    <row r="193" spans="1:12" ht="14.5" x14ac:dyDescent="0.35">
      <c r="A193" s="915">
        <v>44442</v>
      </c>
      <c r="B193" s="743">
        <v>35.8782</v>
      </c>
      <c r="C193" s="743">
        <v>16.574000000000002</v>
      </c>
      <c r="D193" s="915">
        <v>44442</v>
      </c>
      <c r="E193" s="743">
        <v>20.920400000000001</v>
      </c>
      <c r="F193" s="743">
        <v>8.5975999999999999</v>
      </c>
      <c r="G193" s="915">
        <v>44442</v>
      </c>
      <c r="H193" s="743">
        <v>5.9226000000000001</v>
      </c>
      <c r="I193" s="743">
        <v>1.4861</v>
      </c>
      <c r="J193" s="916">
        <v>-0.53800000000000003</v>
      </c>
      <c r="K193" s="916">
        <v>-0.58899999999999997</v>
      </c>
      <c r="L193" s="916">
        <v>-0.749</v>
      </c>
    </row>
    <row r="194" spans="1:12" ht="14.5" x14ac:dyDescent="0.35">
      <c r="A194" s="915">
        <v>44435</v>
      </c>
      <c r="B194" s="743">
        <v>39.877699999999997</v>
      </c>
      <c r="C194" s="743">
        <v>16.2212</v>
      </c>
      <c r="D194" s="915">
        <v>44435</v>
      </c>
      <c r="E194" s="743">
        <v>20.8626</v>
      </c>
      <c r="F194" s="743">
        <v>8.5975999999999999</v>
      </c>
      <c r="G194" s="915">
        <v>44435</v>
      </c>
      <c r="H194" s="743">
        <v>6.1844000000000001</v>
      </c>
      <c r="I194" s="743">
        <v>1.4646999999999999</v>
      </c>
      <c r="J194" s="916">
        <v>-0.59299999999999997</v>
      </c>
      <c r="K194" s="916">
        <v>-0.58799999999999997</v>
      </c>
      <c r="L194" s="916">
        <v>-0.76300000000000001</v>
      </c>
    </row>
    <row r="195" spans="1:12" ht="14.5" x14ac:dyDescent="0.35">
      <c r="A195" s="915">
        <v>44428</v>
      </c>
      <c r="B195" s="743">
        <v>38.998199999999997</v>
      </c>
      <c r="C195" s="743">
        <v>15.902900000000001</v>
      </c>
      <c r="D195" s="915">
        <v>44428</v>
      </c>
      <c r="E195" s="743">
        <v>20.864899999999999</v>
      </c>
      <c r="F195" s="743">
        <v>8.5974000000000004</v>
      </c>
      <c r="G195" s="915">
        <v>44428</v>
      </c>
      <c r="H195" s="743">
        <v>6.0415000000000001</v>
      </c>
      <c r="I195" s="743">
        <v>1.4452</v>
      </c>
      <c r="J195" s="916">
        <v>-0.59199999999999997</v>
      </c>
      <c r="K195" s="916">
        <v>-0.58799999999999997</v>
      </c>
      <c r="L195" s="916">
        <v>-0.76100000000000001</v>
      </c>
    </row>
    <row r="196" spans="1:12" ht="14.5" x14ac:dyDescent="0.35">
      <c r="A196" s="915">
        <v>44421</v>
      </c>
      <c r="B196" s="743">
        <v>39.112099999999998</v>
      </c>
      <c r="C196" s="743">
        <v>16.100899999999999</v>
      </c>
      <c r="D196" s="915">
        <v>44421</v>
      </c>
      <c r="E196" s="743">
        <v>20.864899999999999</v>
      </c>
      <c r="F196" s="743">
        <v>9.1449999999999996</v>
      </c>
      <c r="G196" s="915">
        <v>44421</v>
      </c>
      <c r="H196" s="743">
        <v>6.0587</v>
      </c>
      <c r="I196" s="743">
        <v>1.5228999999999999</v>
      </c>
      <c r="J196" s="916">
        <v>-0.58799999999999997</v>
      </c>
      <c r="K196" s="916">
        <v>-0.56200000000000006</v>
      </c>
      <c r="L196" s="916">
        <v>-0.749</v>
      </c>
    </row>
    <row r="197" spans="1:12" ht="14.5" x14ac:dyDescent="0.35">
      <c r="A197" s="915">
        <v>44414</v>
      </c>
      <c r="B197" s="743">
        <v>39.041499999999999</v>
      </c>
      <c r="C197" s="743">
        <v>16.863800000000001</v>
      </c>
      <c r="D197" s="915">
        <v>44414</v>
      </c>
      <c r="E197" s="743">
        <v>20.864599999999999</v>
      </c>
      <c r="F197" s="743">
        <v>8.9344000000000001</v>
      </c>
      <c r="G197" s="915">
        <v>44414</v>
      </c>
      <c r="H197" s="743">
        <v>6.0480999999999998</v>
      </c>
      <c r="I197" s="743">
        <v>1.5425</v>
      </c>
      <c r="J197" s="916">
        <v>-0.56799999999999995</v>
      </c>
      <c r="K197" s="916">
        <v>-0.57199999999999995</v>
      </c>
      <c r="L197" s="916">
        <v>-0.745</v>
      </c>
    </row>
    <row r="198" spans="1:12" ht="14.5" x14ac:dyDescent="0.35">
      <c r="A198" s="915">
        <v>44407</v>
      </c>
      <c r="B198" s="743">
        <v>38.6554</v>
      </c>
      <c r="C198" s="743">
        <v>19.609300000000001</v>
      </c>
      <c r="D198" s="915">
        <v>44407</v>
      </c>
      <c r="E198" s="743">
        <v>20.8645</v>
      </c>
      <c r="F198" s="743">
        <v>8.6753</v>
      </c>
      <c r="G198" s="915">
        <v>44407</v>
      </c>
      <c r="H198" s="743">
        <v>5.9901</v>
      </c>
      <c r="I198" s="743">
        <v>1.5181</v>
      </c>
      <c r="J198" s="916">
        <v>-0.49299999999999999</v>
      </c>
      <c r="K198" s="916">
        <v>-0.58399999999999996</v>
      </c>
      <c r="L198" s="916">
        <v>-0.747</v>
      </c>
    </row>
    <row r="199" spans="1:12" ht="14.5" x14ac:dyDescent="0.35">
      <c r="A199" s="915">
        <v>44400</v>
      </c>
      <c r="B199" s="743">
        <v>39.047800000000002</v>
      </c>
      <c r="C199" s="743">
        <v>19.986899999999999</v>
      </c>
      <c r="D199" s="915">
        <v>44400</v>
      </c>
      <c r="E199" s="743">
        <v>20.8644</v>
      </c>
      <c r="F199" s="743">
        <v>8.6753</v>
      </c>
      <c r="G199" s="915">
        <v>44400</v>
      </c>
      <c r="H199" s="743">
        <v>6.0490000000000004</v>
      </c>
      <c r="I199" s="743">
        <v>1.5385</v>
      </c>
      <c r="J199" s="916">
        <v>-0.48799999999999999</v>
      </c>
      <c r="K199" s="916">
        <v>-0.58399999999999996</v>
      </c>
      <c r="L199" s="916">
        <v>-0.746</v>
      </c>
    </row>
    <row r="200" spans="1:12" ht="14.5" x14ac:dyDescent="0.35">
      <c r="A200" s="915">
        <v>44393</v>
      </c>
      <c r="B200" s="743">
        <v>37.935699999999997</v>
      </c>
      <c r="C200" s="743">
        <v>20.157900000000001</v>
      </c>
      <c r="D200" s="915">
        <v>44393</v>
      </c>
      <c r="E200" s="743">
        <v>20.8645</v>
      </c>
      <c r="F200" s="743">
        <v>8.6753</v>
      </c>
      <c r="G200" s="915">
        <v>44393</v>
      </c>
      <c r="H200" s="743">
        <v>5.8331999999999997</v>
      </c>
      <c r="I200" s="743">
        <v>1.5467</v>
      </c>
      <c r="J200" s="916">
        <v>-0.46899999999999997</v>
      </c>
      <c r="K200" s="916">
        <v>-0.58399999999999996</v>
      </c>
      <c r="L200" s="916">
        <v>-0.73499999999999999</v>
      </c>
    </row>
    <row r="201" spans="1:12" ht="14.5" x14ac:dyDescent="0.35">
      <c r="A201" s="915">
        <v>44386</v>
      </c>
      <c r="B201" s="743">
        <v>38.301299999999998</v>
      </c>
      <c r="C201" s="743">
        <v>19.841200000000001</v>
      </c>
      <c r="D201" s="915">
        <v>44386</v>
      </c>
      <c r="E201" s="743">
        <v>20.8598</v>
      </c>
      <c r="F201" s="743">
        <v>8.6753</v>
      </c>
      <c r="G201" s="915">
        <v>44386</v>
      </c>
      <c r="H201" s="743">
        <v>5.8856000000000002</v>
      </c>
      <c r="I201" s="743">
        <v>1.5276000000000001</v>
      </c>
      <c r="J201" s="916">
        <v>-0.48199999999999998</v>
      </c>
      <c r="K201" s="916">
        <v>-0.58399999999999996</v>
      </c>
      <c r="L201" s="916">
        <v>-0.74</v>
      </c>
    </row>
    <row r="202" spans="1:12" ht="14.5" x14ac:dyDescent="0.35">
      <c r="A202" s="915">
        <v>44379</v>
      </c>
      <c r="B202" s="743">
        <v>38.046900000000001</v>
      </c>
      <c r="C202" s="743">
        <v>20.202100000000002</v>
      </c>
      <c r="D202" s="915">
        <v>44379</v>
      </c>
      <c r="E202" s="743">
        <v>20.8598</v>
      </c>
      <c r="F202" s="743">
        <v>8.6753</v>
      </c>
      <c r="G202" s="915">
        <v>44379</v>
      </c>
      <c r="H202" s="743">
        <v>5.8478000000000003</v>
      </c>
      <c r="I202" s="743">
        <v>1.5468999999999999</v>
      </c>
      <c r="J202" s="916">
        <v>-0.46899999999999997</v>
      </c>
      <c r="K202" s="916">
        <v>-0.58399999999999996</v>
      </c>
      <c r="L202" s="916">
        <v>-0.73499999999999999</v>
      </c>
    </row>
    <row r="203" spans="1:12" ht="14.5" x14ac:dyDescent="0.35">
      <c r="A203" s="915">
        <v>44372</v>
      </c>
      <c r="B203" s="743">
        <v>37.058900000000001</v>
      </c>
      <c r="C203" s="743">
        <v>20.426300000000001</v>
      </c>
      <c r="D203" s="915">
        <v>44372</v>
      </c>
      <c r="E203" s="743">
        <v>20.8568</v>
      </c>
      <c r="F203" s="743">
        <v>8.6995000000000005</v>
      </c>
      <c r="G203" s="915">
        <v>44372</v>
      </c>
      <c r="H203" s="743">
        <v>5.7007000000000003</v>
      </c>
      <c r="I203" s="743">
        <v>1.5576000000000001</v>
      </c>
      <c r="J203" s="916">
        <v>-0.44900000000000001</v>
      </c>
      <c r="K203" s="916">
        <v>-0.58299999999999996</v>
      </c>
      <c r="L203" s="916">
        <v>-0.72699999999999998</v>
      </c>
    </row>
    <row r="204" spans="1:12" ht="14.5" x14ac:dyDescent="0.35">
      <c r="A204" s="915">
        <v>44365</v>
      </c>
      <c r="B204" s="743">
        <v>36.295299999999997</v>
      </c>
      <c r="C204" s="743">
        <v>20.172899999999998</v>
      </c>
      <c r="D204" s="915">
        <v>44365</v>
      </c>
      <c r="E204" s="743">
        <v>20.8568</v>
      </c>
      <c r="F204" s="743">
        <v>8.6982999999999997</v>
      </c>
      <c r="G204" s="915">
        <v>44365</v>
      </c>
      <c r="H204" s="743">
        <v>5.5884</v>
      </c>
      <c r="I204" s="743">
        <v>1.544</v>
      </c>
      <c r="J204" s="916">
        <v>-0.44400000000000001</v>
      </c>
      <c r="K204" s="916">
        <v>-0.58299999999999996</v>
      </c>
      <c r="L204" s="916">
        <v>-0.72399999999999998</v>
      </c>
    </row>
    <row r="205" spans="1:12" ht="14.5" x14ac:dyDescent="0.35">
      <c r="A205" s="915">
        <v>44358</v>
      </c>
      <c r="B205" s="743">
        <v>36.162799999999997</v>
      </c>
      <c r="C205" s="743">
        <v>20.061</v>
      </c>
      <c r="D205" s="915">
        <v>44358</v>
      </c>
      <c r="E205" s="743">
        <v>20.857199999999999</v>
      </c>
      <c r="F205" s="743">
        <v>8.6981999999999999</v>
      </c>
      <c r="G205" s="915">
        <v>44358</v>
      </c>
      <c r="H205" s="743">
        <v>5.5686999999999998</v>
      </c>
      <c r="I205" s="743">
        <v>1.5379</v>
      </c>
      <c r="J205" s="916">
        <v>-0.44500000000000001</v>
      </c>
      <c r="K205" s="916">
        <v>-0.58299999999999996</v>
      </c>
      <c r="L205" s="916">
        <v>-0.72399999999999998</v>
      </c>
    </row>
    <row r="206" spans="1:12" ht="14.5" x14ac:dyDescent="0.35">
      <c r="A206" s="915">
        <v>44351</v>
      </c>
      <c r="B206" s="743">
        <v>35.549599999999998</v>
      </c>
      <c r="C206" s="743">
        <v>20.003299999999999</v>
      </c>
      <c r="D206" s="915">
        <v>44351</v>
      </c>
      <c r="E206" s="743">
        <v>20.843599999999999</v>
      </c>
      <c r="F206" s="743">
        <v>8.6968999999999994</v>
      </c>
      <c r="G206" s="915">
        <v>44351</v>
      </c>
      <c r="H206" s="743">
        <v>5.4781000000000004</v>
      </c>
      <c r="I206" s="743">
        <v>1.5253000000000001</v>
      </c>
      <c r="J206" s="916">
        <v>-0.437</v>
      </c>
      <c r="K206" s="916">
        <v>-0.58299999999999996</v>
      </c>
      <c r="L206" s="916">
        <v>-0.72199999999999998</v>
      </c>
    </row>
    <row r="207" spans="1:12" ht="14.5" x14ac:dyDescent="0.35">
      <c r="A207" s="915">
        <v>44344</v>
      </c>
      <c r="B207" s="743">
        <v>38.885399999999997</v>
      </c>
      <c r="C207" s="743">
        <v>19.728300000000001</v>
      </c>
      <c r="D207" s="915">
        <v>44344</v>
      </c>
      <c r="E207" s="743">
        <v>21.7013</v>
      </c>
      <c r="F207" s="743">
        <v>8.6968999999999994</v>
      </c>
      <c r="G207" s="915">
        <v>44344</v>
      </c>
      <c r="H207" s="743">
        <v>5.7046999999999999</v>
      </c>
      <c r="I207" s="743">
        <v>1.5103</v>
      </c>
      <c r="J207" s="916">
        <v>-0.49299999999999999</v>
      </c>
      <c r="K207" s="916">
        <v>-0.59899999999999998</v>
      </c>
      <c r="L207" s="916">
        <v>-0.73499999999999999</v>
      </c>
    </row>
    <row r="208" spans="1:12" ht="14.5" x14ac:dyDescent="0.35">
      <c r="A208" s="915">
        <v>44337</v>
      </c>
      <c r="B208" s="743">
        <v>38.104700000000001</v>
      </c>
      <c r="C208" s="743">
        <v>19.589500000000001</v>
      </c>
      <c r="D208" s="915">
        <v>44337</v>
      </c>
      <c r="E208" s="743">
        <v>21.7013</v>
      </c>
      <c r="F208" s="743">
        <v>8.6979000000000006</v>
      </c>
      <c r="G208" s="915">
        <v>44337</v>
      </c>
      <c r="H208" s="743">
        <v>5.5937999999999999</v>
      </c>
      <c r="I208" s="743">
        <v>1.5053000000000001</v>
      </c>
      <c r="J208" s="916">
        <v>-0.48599999999999999</v>
      </c>
      <c r="K208" s="916">
        <v>-0.59899999999999998</v>
      </c>
      <c r="L208" s="916">
        <v>-0.73099999999999998</v>
      </c>
    </row>
    <row r="209" spans="1:12" ht="14.5" x14ac:dyDescent="0.35">
      <c r="A209" s="915">
        <v>44330</v>
      </c>
      <c r="B209" s="743">
        <v>38.0518</v>
      </c>
      <c r="C209" s="743">
        <v>19.018799999999999</v>
      </c>
      <c r="D209" s="915">
        <v>44330</v>
      </c>
      <c r="E209" s="743">
        <v>21.7013</v>
      </c>
      <c r="F209" s="743">
        <v>9.0272000000000006</v>
      </c>
      <c r="G209" s="915">
        <v>44330</v>
      </c>
      <c r="H209" s="743">
        <v>5.5862999999999996</v>
      </c>
      <c r="I209" s="743">
        <v>1.5909</v>
      </c>
      <c r="J209" s="916">
        <v>-0.5</v>
      </c>
      <c r="K209" s="916">
        <v>-0.58399999999999996</v>
      </c>
      <c r="L209" s="916">
        <v>-0.71499999999999997</v>
      </c>
    </row>
    <row r="210" spans="1:12" ht="14.5" x14ac:dyDescent="0.35">
      <c r="A210" s="915">
        <v>44323</v>
      </c>
      <c r="B210" s="743">
        <v>38.979500000000002</v>
      </c>
      <c r="C210" s="743">
        <v>19.6736</v>
      </c>
      <c r="D210" s="915">
        <v>44323</v>
      </c>
      <c r="E210" s="743">
        <v>21.7013</v>
      </c>
      <c r="F210" s="743">
        <v>9.0776000000000003</v>
      </c>
      <c r="G210" s="915">
        <v>44323</v>
      </c>
      <c r="H210" s="743">
        <v>5.718</v>
      </c>
      <c r="I210" s="743">
        <v>1.6234</v>
      </c>
      <c r="J210" s="916">
        <v>-0.495</v>
      </c>
      <c r="K210" s="916">
        <v>-0.58199999999999996</v>
      </c>
      <c r="L210" s="916">
        <v>-0.71599999999999997</v>
      </c>
    </row>
    <row r="211" spans="1:12" ht="14.5" x14ac:dyDescent="0.35">
      <c r="A211" s="915">
        <v>44316</v>
      </c>
      <c r="B211" s="743">
        <v>39.380499999999998</v>
      </c>
      <c r="C211" s="743">
        <v>19.348500000000001</v>
      </c>
      <c r="D211" s="915">
        <v>44316</v>
      </c>
      <c r="E211" s="743">
        <v>21.7013</v>
      </c>
      <c r="F211" s="743">
        <v>9.0745000000000005</v>
      </c>
      <c r="G211" s="915">
        <v>44316</v>
      </c>
      <c r="H211" s="743">
        <v>5.7750000000000004</v>
      </c>
      <c r="I211" s="743">
        <v>1.5994999999999999</v>
      </c>
      <c r="J211" s="916">
        <v>-0.50900000000000001</v>
      </c>
      <c r="K211" s="916">
        <v>-0.58199999999999996</v>
      </c>
      <c r="L211" s="916">
        <v>-0.72299999999999998</v>
      </c>
    </row>
    <row r="212" spans="1:12" ht="14.5" x14ac:dyDescent="0.35">
      <c r="A212" s="915">
        <v>44309</v>
      </c>
      <c r="B212" s="743">
        <v>39.610100000000003</v>
      </c>
      <c r="C212" s="743">
        <v>24.770199999999999</v>
      </c>
      <c r="D212" s="915">
        <v>44309</v>
      </c>
      <c r="E212" s="743">
        <v>21.698599999999999</v>
      </c>
      <c r="F212" s="743">
        <v>9.2696000000000005</v>
      </c>
      <c r="G212" s="915">
        <v>44309</v>
      </c>
      <c r="H212" s="743">
        <v>5.8075000000000001</v>
      </c>
      <c r="I212" s="743">
        <v>1.6103000000000001</v>
      </c>
      <c r="J212" s="916">
        <v>-0.375</v>
      </c>
      <c r="K212" s="916">
        <v>-0.57299999999999995</v>
      </c>
      <c r="L212" s="916">
        <v>-0.72299999999999998</v>
      </c>
    </row>
    <row r="213" spans="1:12" ht="14.5" x14ac:dyDescent="0.35">
      <c r="A213" s="915">
        <v>44302</v>
      </c>
      <c r="B213" s="743">
        <v>39.895499999999998</v>
      </c>
      <c r="C213" s="743">
        <v>25.071400000000001</v>
      </c>
      <c r="D213" s="915">
        <v>44302</v>
      </c>
      <c r="E213" s="743">
        <v>21.698499999999999</v>
      </c>
      <c r="F213" s="743">
        <v>9.2696000000000005</v>
      </c>
      <c r="G213" s="915">
        <v>44302</v>
      </c>
      <c r="H213" s="743">
        <v>5.8479999999999999</v>
      </c>
      <c r="I213" s="743">
        <v>1.6235999999999999</v>
      </c>
      <c r="J213" s="916">
        <v>-0.372</v>
      </c>
      <c r="K213" s="916">
        <v>-0.57299999999999995</v>
      </c>
      <c r="L213" s="916">
        <v>-0.72199999999999998</v>
      </c>
    </row>
    <row r="214" spans="1:12" ht="14.5" x14ac:dyDescent="0.35">
      <c r="A214" s="915">
        <v>44295</v>
      </c>
      <c r="B214" s="743">
        <v>39.336799999999997</v>
      </c>
      <c r="C214" s="743">
        <v>24.601299999999998</v>
      </c>
      <c r="D214" s="915">
        <v>44295</v>
      </c>
      <c r="E214" s="743">
        <v>21.713799999999999</v>
      </c>
      <c r="F214" s="743">
        <v>9.2696000000000005</v>
      </c>
      <c r="G214" s="915">
        <v>44295</v>
      </c>
      <c r="H214" s="743">
        <v>5.7685000000000004</v>
      </c>
      <c r="I214" s="743">
        <v>1.6027</v>
      </c>
      <c r="J214" s="916">
        <v>-0.375</v>
      </c>
      <c r="K214" s="916">
        <v>-0.57299999999999995</v>
      </c>
      <c r="L214" s="916">
        <v>-0.72199999999999998</v>
      </c>
    </row>
    <row r="215" spans="1:12" ht="14.5" x14ac:dyDescent="0.35">
      <c r="A215" s="915">
        <v>44288</v>
      </c>
      <c r="B215" s="743">
        <v>37.872</v>
      </c>
      <c r="C215" s="743">
        <v>24.5989</v>
      </c>
      <c r="D215" s="915">
        <v>44288</v>
      </c>
      <c r="E215" s="743">
        <v>21.713799999999999</v>
      </c>
      <c r="F215" s="743">
        <v>9.2696000000000005</v>
      </c>
      <c r="G215" s="915">
        <v>44288</v>
      </c>
      <c r="H215" s="743">
        <v>5.5563000000000002</v>
      </c>
      <c r="I215" s="743">
        <v>1.6026</v>
      </c>
      <c r="J215" s="916">
        <v>-0.35</v>
      </c>
      <c r="K215" s="916">
        <v>-0.57299999999999995</v>
      </c>
      <c r="L215" s="916">
        <v>-0.71199999999999997</v>
      </c>
    </row>
    <row r="216" spans="1:12" ht="14.5" x14ac:dyDescent="0.35">
      <c r="A216" s="915">
        <v>44281</v>
      </c>
      <c r="B216" s="743">
        <v>36.880400000000002</v>
      </c>
      <c r="C216" s="743">
        <v>23.912600000000001</v>
      </c>
      <c r="D216" s="915">
        <v>44281</v>
      </c>
      <c r="E216" s="743">
        <v>21.748699999999999</v>
      </c>
      <c r="F216" s="743">
        <v>9.2696000000000005</v>
      </c>
      <c r="G216" s="915">
        <v>44281</v>
      </c>
      <c r="H216" s="743">
        <v>5.4146999999999998</v>
      </c>
      <c r="I216" s="743">
        <v>1.5722</v>
      </c>
      <c r="J216" s="916">
        <v>-0.35199999999999998</v>
      </c>
      <c r="K216" s="916">
        <v>-0.57399999999999995</v>
      </c>
      <c r="L216" s="916">
        <v>-0.71</v>
      </c>
    </row>
    <row r="217" spans="1:12" ht="14.5" x14ac:dyDescent="0.35">
      <c r="A217" s="915">
        <v>44274</v>
      </c>
      <c r="B217" s="743">
        <v>36.561900000000001</v>
      </c>
      <c r="C217" s="743">
        <v>23.7087</v>
      </c>
      <c r="D217" s="915">
        <v>44274</v>
      </c>
      <c r="E217" s="743">
        <v>21.748799999999999</v>
      </c>
      <c r="F217" s="743">
        <v>9.2607999999999997</v>
      </c>
      <c r="G217" s="915">
        <v>44274</v>
      </c>
      <c r="H217" s="743">
        <v>5.3719999999999999</v>
      </c>
      <c r="I217" s="743">
        <v>1.5785</v>
      </c>
      <c r="J217" s="916">
        <v>-0.35199999999999998</v>
      </c>
      <c r="K217" s="916">
        <v>-0.57399999999999995</v>
      </c>
      <c r="L217" s="916">
        <v>-0.70599999999999996</v>
      </c>
    </row>
    <row r="218" spans="1:12" ht="14.5" x14ac:dyDescent="0.35">
      <c r="A218" s="915">
        <v>44267</v>
      </c>
      <c r="B218" s="743">
        <v>36.743499999999997</v>
      </c>
      <c r="C218" s="743">
        <v>23.5578</v>
      </c>
      <c r="D218" s="915">
        <v>44267</v>
      </c>
      <c r="E218" s="743">
        <v>21.798100000000002</v>
      </c>
      <c r="F218" s="743">
        <v>9.2094000000000005</v>
      </c>
      <c r="G218" s="915">
        <v>44267</v>
      </c>
      <c r="H218" s="743">
        <v>5.3983999999999996</v>
      </c>
      <c r="I218" s="743">
        <v>1.6157999999999999</v>
      </c>
      <c r="J218" s="916">
        <v>-0.35899999999999999</v>
      </c>
      <c r="K218" s="916">
        <v>-0.57799999999999996</v>
      </c>
      <c r="L218" s="916">
        <v>-0.70099999999999996</v>
      </c>
    </row>
    <row r="219" spans="1:12" ht="14.5" x14ac:dyDescent="0.35">
      <c r="A219" s="915">
        <v>44260</v>
      </c>
      <c r="B219" s="743">
        <v>38.674199999999999</v>
      </c>
      <c r="C219" s="743">
        <v>21.830300000000001</v>
      </c>
      <c r="D219" s="915">
        <v>44260</v>
      </c>
      <c r="E219" s="743">
        <v>20.71</v>
      </c>
      <c r="F219" s="743">
        <v>9.5503999999999998</v>
      </c>
      <c r="G219" s="915">
        <v>44260</v>
      </c>
      <c r="H219" s="743">
        <v>5.6341000000000001</v>
      </c>
      <c r="I219" s="743">
        <v>1.5726</v>
      </c>
      <c r="J219" s="916">
        <v>-0.436</v>
      </c>
      <c r="K219" s="916">
        <v>-0.53900000000000003</v>
      </c>
      <c r="L219" s="916">
        <v>-0.72099999999999997</v>
      </c>
    </row>
    <row r="220" spans="1:12" ht="14.5" x14ac:dyDescent="0.35">
      <c r="A220" s="915">
        <v>44253</v>
      </c>
      <c r="B220" s="743">
        <v>39.409700000000001</v>
      </c>
      <c r="C220" s="743">
        <v>21.205100000000002</v>
      </c>
      <c r="D220" s="915">
        <v>44253</v>
      </c>
      <c r="E220" s="743">
        <v>20.71</v>
      </c>
      <c r="F220" s="743">
        <v>9.5893999999999995</v>
      </c>
      <c r="G220" s="915">
        <v>44253</v>
      </c>
      <c r="H220" s="743">
        <v>5.7382999999999997</v>
      </c>
      <c r="I220" s="743">
        <v>1.5618000000000001</v>
      </c>
      <c r="J220" s="916">
        <v>-0.46200000000000002</v>
      </c>
      <c r="K220" s="916">
        <v>-0.53700000000000003</v>
      </c>
      <c r="L220" s="916">
        <v>-0.72799999999999998</v>
      </c>
    </row>
    <row r="221" spans="1:12" ht="14.5" x14ac:dyDescent="0.35">
      <c r="A221" s="915">
        <v>44246</v>
      </c>
      <c r="B221" s="743">
        <v>41.459200000000003</v>
      </c>
      <c r="C221" s="743">
        <v>21.8018</v>
      </c>
      <c r="D221" s="915">
        <v>44246</v>
      </c>
      <c r="E221" s="743">
        <v>20.709800000000001</v>
      </c>
      <c r="F221" s="743">
        <v>9.5959000000000003</v>
      </c>
      <c r="G221" s="915">
        <v>44246</v>
      </c>
      <c r="H221" s="743">
        <v>6.0288000000000004</v>
      </c>
      <c r="I221" s="743">
        <v>1.5934999999999999</v>
      </c>
      <c r="J221" s="916">
        <v>-0.47399999999999998</v>
      </c>
      <c r="K221" s="916">
        <v>-0.53700000000000003</v>
      </c>
      <c r="L221" s="916">
        <v>-0.73599999999999999</v>
      </c>
    </row>
    <row r="222" spans="1:12" ht="14.5" x14ac:dyDescent="0.35">
      <c r="A222" s="915">
        <v>44239</v>
      </c>
      <c r="B222" s="743">
        <v>42.151899999999998</v>
      </c>
      <c r="C222" s="743">
        <v>21.732299999999999</v>
      </c>
      <c r="D222" s="915">
        <v>44239</v>
      </c>
      <c r="E222" s="743">
        <v>20.709599999999998</v>
      </c>
      <c r="F222" s="743">
        <v>9.5957000000000008</v>
      </c>
      <c r="G222" s="915">
        <v>44239</v>
      </c>
      <c r="H222" s="743">
        <v>6.1269999999999998</v>
      </c>
      <c r="I222" s="743">
        <v>1.5895999999999999</v>
      </c>
      <c r="J222" s="916">
        <v>-0.48399999999999999</v>
      </c>
      <c r="K222" s="916">
        <v>-0.53700000000000003</v>
      </c>
      <c r="L222" s="916">
        <v>-0.74099999999999999</v>
      </c>
    </row>
    <row r="223" spans="1:12" ht="14.5" x14ac:dyDescent="0.35">
      <c r="A223" s="915">
        <v>44232</v>
      </c>
      <c r="B223" s="743">
        <v>41.53</v>
      </c>
      <c r="C223" s="743">
        <v>21.674099999999999</v>
      </c>
      <c r="D223" s="915">
        <v>44232</v>
      </c>
      <c r="E223" s="743">
        <v>20.709599999999998</v>
      </c>
      <c r="F223" s="743">
        <v>9.6111000000000004</v>
      </c>
      <c r="G223" s="915">
        <v>44232</v>
      </c>
      <c r="H223" s="743">
        <v>6.0388999999999999</v>
      </c>
      <c r="I223" s="743">
        <v>1.5818000000000001</v>
      </c>
      <c r="J223" s="916">
        <v>-0.47799999999999998</v>
      </c>
      <c r="K223" s="916">
        <v>-0.53600000000000003</v>
      </c>
      <c r="L223" s="916">
        <v>-0.73799999999999999</v>
      </c>
    </row>
    <row r="224" spans="1:12" ht="14.5" x14ac:dyDescent="0.35">
      <c r="A224" s="915">
        <v>44225</v>
      </c>
      <c r="B224" s="743">
        <v>39.458399999999997</v>
      </c>
      <c r="C224" s="743">
        <v>25.056100000000001</v>
      </c>
      <c r="D224" s="915">
        <v>44225</v>
      </c>
      <c r="E224" s="743">
        <v>20.709599999999998</v>
      </c>
      <c r="F224" s="743">
        <v>8.1278000000000006</v>
      </c>
      <c r="G224" s="915">
        <v>44225</v>
      </c>
      <c r="H224" s="743">
        <v>5.7451999999999996</v>
      </c>
      <c r="I224" s="743">
        <v>1.5417000000000001</v>
      </c>
      <c r="J224" s="916">
        <v>-0.36499999999999999</v>
      </c>
      <c r="K224" s="916">
        <v>-0.60799999999999998</v>
      </c>
      <c r="L224" s="916">
        <v>-0.73199999999999998</v>
      </c>
    </row>
    <row r="225" spans="1:12" ht="14.5" x14ac:dyDescent="0.35">
      <c r="A225" s="915">
        <v>44218</v>
      </c>
      <c r="B225" s="743">
        <v>40.804699999999997</v>
      </c>
      <c r="C225" s="743">
        <v>26.430599999999998</v>
      </c>
      <c r="D225" s="915">
        <v>44218</v>
      </c>
      <c r="E225" s="743">
        <v>20.709499999999998</v>
      </c>
      <c r="F225" s="743">
        <v>8.1278000000000006</v>
      </c>
      <c r="G225" s="915">
        <v>44218</v>
      </c>
      <c r="H225" s="743">
        <v>5.9360999999999997</v>
      </c>
      <c r="I225" s="743">
        <v>1.5967</v>
      </c>
      <c r="J225" s="916">
        <v>-0.35199999999999998</v>
      </c>
      <c r="K225" s="916">
        <v>-0.60799999999999998</v>
      </c>
      <c r="L225" s="916">
        <v>-0.73099999999999998</v>
      </c>
    </row>
    <row r="226" spans="1:12" ht="14.5" x14ac:dyDescent="0.35">
      <c r="A226" s="915">
        <v>44211</v>
      </c>
      <c r="B226" s="743">
        <v>39.087600000000002</v>
      </c>
      <c r="C226" s="743">
        <v>26.030899999999999</v>
      </c>
      <c r="D226" s="915">
        <v>44211</v>
      </c>
      <c r="E226" s="743">
        <v>20.711300000000001</v>
      </c>
      <c r="F226" s="743">
        <v>8.1278000000000006</v>
      </c>
      <c r="G226" s="915">
        <v>44211</v>
      </c>
      <c r="H226" s="743">
        <v>5.6927000000000003</v>
      </c>
      <c r="I226" s="743">
        <v>1.5795999999999999</v>
      </c>
      <c r="J226" s="916">
        <v>-0.33400000000000002</v>
      </c>
      <c r="K226" s="916">
        <v>-0.60799999999999998</v>
      </c>
      <c r="L226" s="916">
        <v>-0.72299999999999998</v>
      </c>
    </row>
    <row r="227" spans="1:12" ht="14.5" x14ac:dyDescent="0.35">
      <c r="A227" s="915">
        <v>44204</v>
      </c>
      <c r="B227" s="743">
        <v>40.007399999999997</v>
      </c>
      <c r="C227" s="743">
        <v>26.656099999999999</v>
      </c>
      <c r="D227" s="915">
        <v>44204</v>
      </c>
      <c r="E227" s="743">
        <v>20.708400000000001</v>
      </c>
      <c r="F227" s="743">
        <v>8.1278000000000006</v>
      </c>
      <c r="G227" s="915">
        <v>44204</v>
      </c>
      <c r="H227" s="743">
        <v>5.8230000000000004</v>
      </c>
      <c r="I227" s="743">
        <v>1.6049</v>
      </c>
      <c r="J227" s="916">
        <v>-0.33400000000000002</v>
      </c>
      <c r="K227" s="916">
        <v>-0.60799999999999998</v>
      </c>
      <c r="L227" s="916">
        <v>-0.72399999999999998</v>
      </c>
    </row>
    <row r="228" spans="1:12" ht="14.5" x14ac:dyDescent="0.35">
      <c r="A228" s="915">
        <v>44197</v>
      </c>
      <c r="B228" s="743">
        <v>39.345199999999998</v>
      </c>
      <c r="C228" s="743">
        <v>24.067299999999999</v>
      </c>
      <c r="D228" s="915">
        <v>44197</v>
      </c>
      <c r="E228" s="743">
        <v>20.708400000000001</v>
      </c>
      <c r="F228" s="743">
        <v>8.1278000000000006</v>
      </c>
      <c r="G228" s="915">
        <v>44197</v>
      </c>
      <c r="H228" s="743">
        <v>5.7291999999999996</v>
      </c>
      <c r="I228" s="743">
        <v>1.4998</v>
      </c>
      <c r="J228" s="916">
        <v>-0.38800000000000001</v>
      </c>
      <c r="K228" s="916">
        <v>-0.60799999999999998</v>
      </c>
      <c r="L228" s="916">
        <v>-0.73799999999999999</v>
      </c>
    </row>
    <row r="229" spans="1:12" ht="14.5" x14ac:dyDescent="0.35">
      <c r="A229" s="915">
        <v>44190</v>
      </c>
      <c r="B229" s="743">
        <v>38.804000000000002</v>
      </c>
      <c r="C229" s="743">
        <v>23.466100000000001</v>
      </c>
      <c r="D229" s="915">
        <v>44190</v>
      </c>
      <c r="E229" s="743">
        <v>20.706499999999998</v>
      </c>
      <c r="F229" s="743">
        <v>8.0717999999999996</v>
      </c>
      <c r="G229" s="915">
        <v>44190</v>
      </c>
      <c r="H229" s="743">
        <v>5.6524999999999999</v>
      </c>
      <c r="I229" s="743">
        <v>1.4753000000000001</v>
      </c>
      <c r="J229" s="916">
        <v>-0.39500000000000002</v>
      </c>
      <c r="K229" s="916">
        <v>-0.61</v>
      </c>
      <c r="L229" s="916">
        <v>-0.73899999999999999</v>
      </c>
    </row>
    <row r="230" spans="1:12" ht="14.5" x14ac:dyDescent="0.35">
      <c r="A230" s="915">
        <v>44183</v>
      </c>
      <c r="B230" s="743">
        <v>38.886899999999997</v>
      </c>
      <c r="C230" s="743">
        <v>22.966100000000001</v>
      </c>
      <c r="D230" s="915">
        <v>44183</v>
      </c>
      <c r="E230" s="743">
        <v>20.706499999999998</v>
      </c>
      <c r="F230" s="743">
        <v>8.0717999999999996</v>
      </c>
      <c r="G230" s="915">
        <v>44183</v>
      </c>
      <c r="H230" s="743">
        <v>5.5956999999999999</v>
      </c>
      <c r="I230" s="743">
        <v>1.4549000000000001</v>
      </c>
      <c r="J230" s="916">
        <v>-0.40899999999999997</v>
      </c>
      <c r="K230" s="916">
        <v>-0.61</v>
      </c>
      <c r="L230" s="916">
        <v>-0.74</v>
      </c>
    </row>
    <row r="231" spans="1:12" ht="14.5" x14ac:dyDescent="0.35">
      <c r="A231" s="915">
        <v>44176</v>
      </c>
      <c r="B231" s="743">
        <v>37.7849</v>
      </c>
      <c r="C231" s="743">
        <v>23.066600000000001</v>
      </c>
      <c r="D231" s="915">
        <v>44176</v>
      </c>
      <c r="E231" s="743">
        <v>20.713000000000001</v>
      </c>
      <c r="F231" s="743">
        <v>8.0717999999999996</v>
      </c>
      <c r="G231" s="915">
        <v>44176</v>
      </c>
      <c r="H231" s="743">
        <v>5.4405999999999999</v>
      </c>
      <c r="I231" s="743">
        <v>1.4590000000000001</v>
      </c>
      <c r="J231" s="916">
        <v>-0.39</v>
      </c>
      <c r="K231" s="916">
        <v>-0.61</v>
      </c>
      <c r="L231" s="916">
        <v>-0.73199999999999998</v>
      </c>
    </row>
    <row r="232" spans="1:12" ht="14.5" x14ac:dyDescent="0.35">
      <c r="A232" s="915">
        <v>44169</v>
      </c>
      <c r="B232" s="743">
        <v>39.234900000000003</v>
      </c>
      <c r="C232" s="743">
        <v>22.822700000000001</v>
      </c>
      <c r="D232" s="915">
        <v>44169</v>
      </c>
      <c r="E232" s="743">
        <v>19.089500000000001</v>
      </c>
      <c r="F232" s="743">
        <v>8.0717999999999996</v>
      </c>
      <c r="G232" s="915">
        <v>44169</v>
      </c>
      <c r="H232" s="743">
        <v>5.6445999999999996</v>
      </c>
      <c r="I232" s="743">
        <v>1.4189000000000001</v>
      </c>
      <c r="J232" s="916">
        <v>-0.41799999999999998</v>
      </c>
      <c r="K232" s="916">
        <v>-0.57699999999999996</v>
      </c>
      <c r="L232" s="916">
        <v>-0.749</v>
      </c>
    </row>
    <row r="233" spans="1:12" ht="14.5" x14ac:dyDescent="0.35">
      <c r="A233" s="915">
        <v>44162</v>
      </c>
      <c r="B233" s="743">
        <v>38.388500000000001</v>
      </c>
      <c r="C233" s="743">
        <v>21.8413</v>
      </c>
      <c r="D233" s="915">
        <v>44162</v>
      </c>
      <c r="E233" s="743">
        <v>19.0901</v>
      </c>
      <c r="F233" s="743">
        <v>8.0717999999999996</v>
      </c>
      <c r="G233" s="915">
        <v>44162</v>
      </c>
      <c r="H233" s="743">
        <v>5.5282999999999998</v>
      </c>
      <c r="I233" s="743">
        <v>1.3803000000000001</v>
      </c>
      <c r="J233" s="916">
        <v>-0.43099999999999999</v>
      </c>
      <c r="K233" s="916">
        <v>-0.57699999999999996</v>
      </c>
      <c r="L233" s="916">
        <v>-0.75</v>
      </c>
    </row>
    <row r="234" spans="1:12" ht="14.5" x14ac:dyDescent="0.35">
      <c r="A234" s="915">
        <v>44155</v>
      </c>
      <c r="B234" s="743">
        <v>37.286900000000003</v>
      </c>
      <c r="C234" s="743">
        <v>21.0715</v>
      </c>
      <c r="D234" s="915">
        <v>44155</v>
      </c>
      <c r="E234" s="743">
        <v>19.0901</v>
      </c>
      <c r="F234" s="743">
        <v>8.0716999999999999</v>
      </c>
      <c r="G234" s="915">
        <v>44155</v>
      </c>
      <c r="H234" s="743">
        <v>5.3742000000000001</v>
      </c>
      <c r="I234" s="743">
        <v>1.3501000000000001</v>
      </c>
      <c r="J234" s="916">
        <v>-0.435</v>
      </c>
      <c r="K234" s="916">
        <v>-0.57699999999999996</v>
      </c>
      <c r="L234" s="916">
        <v>-0.749</v>
      </c>
    </row>
    <row r="235" spans="1:12" ht="14.5" x14ac:dyDescent="0.35">
      <c r="A235" s="915">
        <v>44148</v>
      </c>
      <c r="B235" s="743">
        <v>37.385199999999998</v>
      </c>
      <c r="C235" s="743">
        <v>19.9376</v>
      </c>
      <c r="D235" s="915">
        <v>44148</v>
      </c>
      <c r="E235" s="743">
        <v>19.0901</v>
      </c>
      <c r="F235" s="743">
        <v>9.0449000000000002</v>
      </c>
      <c r="G235" s="915">
        <v>44148</v>
      </c>
      <c r="H235" s="743">
        <v>5.3879999999999999</v>
      </c>
      <c r="I235" s="743">
        <v>1.395</v>
      </c>
      <c r="J235" s="916">
        <v>-0.46700000000000003</v>
      </c>
      <c r="K235" s="916">
        <v>-0.52600000000000002</v>
      </c>
      <c r="L235" s="916">
        <v>-0.74099999999999999</v>
      </c>
    </row>
    <row r="236" spans="1:12" ht="14.5" x14ac:dyDescent="0.35">
      <c r="A236" s="915">
        <v>44141</v>
      </c>
      <c r="B236" s="743">
        <v>37.866</v>
      </c>
      <c r="C236" s="743">
        <v>19.276900000000001</v>
      </c>
      <c r="D236" s="915">
        <v>44141</v>
      </c>
      <c r="E236" s="743">
        <v>19.0899</v>
      </c>
      <c r="F236" s="743">
        <v>9.0983000000000001</v>
      </c>
      <c r="G236" s="915">
        <v>44141</v>
      </c>
      <c r="H236" s="743">
        <v>5.4551999999999996</v>
      </c>
      <c r="I236" s="743">
        <v>1.3662000000000001</v>
      </c>
      <c r="J236" s="916">
        <v>-0.49099999999999999</v>
      </c>
      <c r="K236" s="916">
        <v>-0.52300000000000002</v>
      </c>
      <c r="L236" s="916">
        <v>-0.75</v>
      </c>
    </row>
    <row r="237" spans="1:12" ht="14.5" x14ac:dyDescent="0.35">
      <c r="A237" s="915">
        <v>44134</v>
      </c>
      <c r="B237" s="743">
        <v>34.614100000000001</v>
      </c>
      <c r="C237" s="743">
        <v>20.872299999999999</v>
      </c>
      <c r="D237" s="915">
        <v>44134</v>
      </c>
      <c r="E237" s="743">
        <v>19.0899</v>
      </c>
      <c r="F237" s="743">
        <v>7.8250000000000002</v>
      </c>
      <c r="G237" s="915">
        <v>44134</v>
      </c>
      <c r="H237" s="743">
        <v>5.0004</v>
      </c>
      <c r="I237" s="743">
        <v>1.2350000000000001</v>
      </c>
      <c r="J237" s="916">
        <v>-0.39700000000000002</v>
      </c>
      <c r="K237" s="916">
        <v>-0.59</v>
      </c>
      <c r="L237" s="916">
        <v>-0.753</v>
      </c>
    </row>
    <row r="238" spans="1:12" ht="14.5" x14ac:dyDescent="0.35">
      <c r="A238" s="915">
        <v>44127</v>
      </c>
      <c r="B238" s="743">
        <v>36.617100000000001</v>
      </c>
      <c r="C238" s="743">
        <v>21.781199999999998</v>
      </c>
      <c r="D238" s="915">
        <v>44127</v>
      </c>
      <c r="E238" s="743">
        <v>19.0899</v>
      </c>
      <c r="F238" s="743">
        <v>7.8250000000000002</v>
      </c>
      <c r="G238" s="915">
        <v>44127</v>
      </c>
      <c r="H238" s="743">
        <v>5.2805999999999997</v>
      </c>
      <c r="I238" s="743">
        <v>1.2665</v>
      </c>
      <c r="J238" s="916">
        <v>-0.40500000000000003</v>
      </c>
      <c r="K238" s="916">
        <v>-0.59</v>
      </c>
      <c r="L238" s="916">
        <v>-0.76</v>
      </c>
    </row>
    <row r="239" spans="1:12" ht="14.5" x14ac:dyDescent="0.35">
      <c r="A239" s="915">
        <v>44120</v>
      </c>
      <c r="B239" s="743">
        <v>37.116999999999997</v>
      </c>
      <c r="C239" s="743">
        <v>21.5884</v>
      </c>
      <c r="D239" s="915">
        <v>44120</v>
      </c>
      <c r="E239" s="743">
        <v>19.0899</v>
      </c>
      <c r="F239" s="743">
        <v>7.8251999999999997</v>
      </c>
      <c r="G239" s="915">
        <v>44120</v>
      </c>
      <c r="H239" s="743">
        <v>5.3373999999999997</v>
      </c>
      <c r="I239" s="743">
        <v>1.2588999999999999</v>
      </c>
      <c r="J239" s="916">
        <v>-0.41799999999999998</v>
      </c>
      <c r="K239" s="916">
        <v>-0.59</v>
      </c>
      <c r="L239" s="916">
        <v>-0.76400000000000001</v>
      </c>
    </row>
    <row r="240" spans="1:12" ht="14.5" x14ac:dyDescent="0.35">
      <c r="A240" s="915">
        <v>44113</v>
      </c>
      <c r="B240" s="743">
        <v>36.721400000000003</v>
      </c>
      <c r="C240" s="743">
        <v>21.971</v>
      </c>
      <c r="D240" s="915">
        <v>44113</v>
      </c>
      <c r="E240" s="743">
        <v>19.09</v>
      </c>
      <c r="F240" s="743">
        <v>7.8254999999999999</v>
      </c>
      <c r="G240" s="915">
        <v>44113</v>
      </c>
      <c r="H240" s="743">
        <v>5.2821999999999996</v>
      </c>
      <c r="I240" s="743">
        <v>1.2721</v>
      </c>
      <c r="J240" s="916">
        <v>-0.40200000000000002</v>
      </c>
      <c r="K240" s="916">
        <v>-0.59</v>
      </c>
      <c r="L240" s="916">
        <v>-0.75900000000000001</v>
      </c>
    </row>
    <row r="241" spans="1:12" ht="14.5" x14ac:dyDescent="0.35">
      <c r="A241" s="915">
        <v>44106</v>
      </c>
      <c r="B241" s="743">
        <v>35.249000000000002</v>
      </c>
      <c r="C241" s="743">
        <v>21.428100000000001</v>
      </c>
      <c r="D241" s="915">
        <v>44106</v>
      </c>
      <c r="E241" s="743">
        <v>19.09</v>
      </c>
      <c r="F241" s="743">
        <v>7.8254999999999999</v>
      </c>
      <c r="G241" s="915">
        <v>44106</v>
      </c>
      <c r="H241" s="743">
        <v>5.0768000000000004</v>
      </c>
      <c r="I241" s="743">
        <v>1.2533000000000001</v>
      </c>
      <c r="J241" s="916">
        <v>-0.39200000000000002</v>
      </c>
      <c r="K241" s="916">
        <v>-0.59</v>
      </c>
      <c r="L241" s="916">
        <v>-0.753</v>
      </c>
    </row>
    <row r="242" spans="1:12" ht="14.5" x14ac:dyDescent="0.35">
      <c r="A242" s="915">
        <v>44099</v>
      </c>
      <c r="B242" s="743">
        <v>34.921500000000002</v>
      </c>
      <c r="C242" s="743">
        <v>21.025300000000001</v>
      </c>
      <c r="D242" s="915">
        <v>44099</v>
      </c>
      <c r="E242" s="743">
        <v>19.090800000000002</v>
      </c>
      <c r="F242" s="743">
        <v>7.8254000000000001</v>
      </c>
      <c r="G242" s="915">
        <v>44099</v>
      </c>
      <c r="H242" s="743">
        <v>5.0311000000000003</v>
      </c>
      <c r="I242" s="743">
        <v>1.2393000000000001</v>
      </c>
      <c r="J242" s="916">
        <v>-0.39800000000000002</v>
      </c>
      <c r="K242" s="916">
        <v>-0.59</v>
      </c>
      <c r="L242" s="916">
        <v>-0.754</v>
      </c>
    </row>
    <row r="243" spans="1:12" ht="14.5" x14ac:dyDescent="0.35">
      <c r="A243" s="915">
        <v>44092</v>
      </c>
      <c r="B243" s="743">
        <v>34.252000000000002</v>
      </c>
      <c r="C243" s="743">
        <v>22.031400000000001</v>
      </c>
      <c r="D243" s="915">
        <v>44092</v>
      </c>
      <c r="E243" s="743">
        <v>19.097200000000001</v>
      </c>
      <c r="F243" s="743">
        <v>7.8254000000000001</v>
      </c>
      <c r="G243" s="915">
        <v>44092</v>
      </c>
      <c r="H243" s="743">
        <v>4.9393000000000002</v>
      </c>
      <c r="I243" s="743">
        <v>1.2741</v>
      </c>
      <c r="J243" s="916">
        <v>-0.35699999999999998</v>
      </c>
      <c r="K243" s="916">
        <v>-0.59</v>
      </c>
      <c r="L243" s="916">
        <v>-0.74199999999999999</v>
      </c>
    </row>
    <row r="244" spans="1:12" ht="14.5" x14ac:dyDescent="0.35">
      <c r="A244" s="915">
        <v>44085</v>
      </c>
      <c r="B244" s="743">
        <v>33.238999999999997</v>
      </c>
      <c r="C244" s="743">
        <v>21.890599999999999</v>
      </c>
      <c r="D244" s="915">
        <v>44085</v>
      </c>
      <c r="E244" s="743">
        <v>14.243499999999999</v>
      </c>
      <c r="F244" s="743">
        <v>7.8254999999999999</v>
      </c>
      <c r="G244" s="915">
        <v>44085</v>
      </c>
      <c r="H244" s="743">
        <v>4.8411</v>
      </c>
      <c r="I244" s="743">
        <v>1.2693000000000001</v>
      </c>
      <c r="J244" s="916">
        <v>-0.34100000000000003</v>
      </c>
      <c r="K244" s="916">
        <v>-0.45100000000000001</v>
      </c>
      <c r="L244" s="916">
        <v>-0.73799999999999999</v>
      </c>
    </row>
    <row r="245" spans="1:12" ht="14.5" x14ac:dyDescent="0.35">
      <c r="A245" s="915">
        <v>44078</v>
      </c>
      <c r="B245" s="743">
        <v>34.842100000000002</v>
      </c>
      <c r="C245" s="743">
        <v>21.6067</v>
      </c>
      <c r="D245" s="915">
        <v>44078</v>
      </c>
      <c r="E245" s="743">
        <v>14.243499999999999</v>
      </c>
      <c r="F245" s="743">
        <v>7.8257000000000003</v>
      </c>
      <c r="G245" s="915">
        <v>44078</v>
      </c>
      <c r="H245" s="743">
        <v>5.0663999999999998</v>
      </c>
      <c r="I245" s="743">
        <v>1.2582</v>
      </c>
      <c r="J245" s="916">
        <v>-0.38</v>
      </c>
      <c r="K245" s="916">
        <v>-0.45100000000000001</v>
      </c>
      <c r="L245" s="916">
        <v>-0.752</v>
      </c>
    </row>
    <row r="246" spans="1:12" ht="14.5" x14ac:dyDescent="0.35">
      <c r="A246" s="915">
        <v>44071</v>
      </c>
      <c r="B246" s="743">
        <v>35.962499999999999</v>
      </c>
      <c r="C246" s="743">
        <v>21.701000000000001</v>
      </c>
      <c r="D246" s="915">
        <v>44071</v>
      </c>
      <c r="E246" s="743">
        <v>14.243499999999999</v>
      </c>
      <c r="F246" s="743">
        <v>7.8259999999999996</v>
      </c>
      <c r="G246" s="915">
        <v>44071</v>
      </c>
      <c r="H246" s="743">
        <v>5.2237999999999998</v>
      </c>
      <c r="I246" s="743">
        <v>1.2615000000000001</v>
      </c>
      <c r="J246" s="916">
        <v>-0.39700000000000002</v>
      </c>
      <c r="K246" s="916">
        <v>-0.45100000000000001</v>
      </c>
      <c r="L246" s="916">
        <v>-0.75900000000000001</v>
      </c>
    </row>
    <row r="247" spans="1:12" ht="14.5" x14ac:dyDescent="0.35">
      <c r="A247" s="915">
        <v>44064</v>
      </c>
      <c r="B247" s="743">
        <v>34.641300000000001</v>
      </c>
      <c r="C247" s="743">
        <v>21.241499999999998</v>
      </c>
      <c r="D247" s="915">
        <v>44064</v>
      </c>
      <c r="E247" s="743">
        <v>14.243499999999999</v>
      </c>
      <c r="F247" s="743">
        <v>7.8259999999999996</v>
      </c>
      <c r="G247" s="915">
        <v>44064</v>
      </c>
      <c r="H247" s="743">
        <v>5.0324</v>
      </c>
      <c r="I247" s="743">
        <v>1.2456</v>
      </c>
      <c r="J247" s="916">
        <v>-0.38700000000000001</v>
      </c>
      <c r="K247" s="916">
        <v>-0.45100000000000001</v>
      </c>
      <c r="L247" s="916">
        <v>-0.752</v>
      </c>
    </row>
    <row r="248" spans="1:12" ht="14.5" x14ac:dyDescent="0.35">
      <c r="A248" s="915">
        <v>44057</v>
      </c>
      <c r="B248" s="743">
        <v>33.47</v>
      </c>
      <c r="C248" s="743">
        <v>22.148099999999999</v>
      </c>
      <c r="D248" s="915">
        <v>44057</v>
      </c>
      <c r="E248" s="743">
        <v>14.243499999999999</v>
      </c>
      <c r="F248" s="743">
        <v>7.8258000000000001</v>
      </c>
      <c r="G248" s="915">
        <v>44057</v>
      </c>
      <c r="H248" s="743">
        <v>4.8680000000000003</v>
      </c>
      <c r="I248" s="743">
        <v>1.2768999999999999</v>
      </c>
      <c r="J248" s="916">
        <v>-0.33800000000000002</v>
      </c>
      <c r="K248" s="916">
        <v>-0.45100000000000001</v>
      </c>
      <c r="L248" s="916">
        <v>-0.73799999999999999</v>
      </c>
    </row>
    <row r="249" spans="1:12" ht="14.5" x14ac:dyDescent="0.35">
      <c r="A249" s="915">
        <v>44050</v>
      </c>
      <c r="B249" s="743">
        <v>33.3949</v>
      </c>
      <c r="C249" s="743">
        <v>21.1464</v>
      </c>
      <c r="D249" s="915">
        <v>44050</v>
      </c>
      <c r="E249" s="743">
        <v>14.243600000000001</v>
      </c>
      <c r="F249" s="743">
        <v>7.9763999999999999</v>
      </c>
      <c r="G249" s="915">
        <v>44050</v>
      </c>
      <c r="H249" s="743">
        <v>4.8574000000000002</v>
      </c>
      <c r="I249" s="743">
        <v>1.2853000000000001</v>
      </c>
      <c r="J249" s="916">
        <v>-0.36699999999999999</v>
      </c>
      <c r="K249" s="916">
        <v>-0.44</v>
      </c>
      <c r="L249" s="916">
        <v>-0.73499999999999999</v>
      </c>
    </row>
    <row r="250" spans="1:12" ht="14.5" x14ac:dyDescent="0.35">
      <c r="A250" s="915">
        <v>44043</v>
      </c>
      <c r="B250" s="743">
        <v>32.694800000000001</v>
      </c>
      <c r="C250" s="743">
        <v>19.718699999999998</v>
      </c>
      <c r="D250" s="915">
        <v>44043</v>
      </c>
      <c r="E250" s="743">
        <v>14.243600000000001</v>
      </c>
      <c r="F250" s="743">
        <v>6.9118000000000004</v>
      </c>
      <c r="G250" s="915">
        <v>44043</v>
      </c>
      <c r="H250" s="743">
        <v>4.7591999999999999</v>
      </c>
      <c r="I250" s="743">
        <v>1.1581999999999999</v>
      </c>
      <c r="J250" s="916">
        <v>-0.39700000000000002</v>
      </c>
      <c r="K250" s="916">
        <v>-0.51500000000000001</v>
      </c>
      <c r="L250" s="916">
        <v>-0.75700000000000001</v>
      </c>
    </row>
    <row r="251" spans="1:12" ht="14.5" x14ac:dyDescent="0.35">
      <c r="A251" s="915">
        <v>44036</v>
      </c>
      <c r="B251" s="743">
        <v>31.427499999999998</v>
      </c>
      <c r="C251" s="743">
        <v>19.162099999999999</v>
      </c>
      <c r="D251" s="915">
        <v>44036</v>
      </c>
      <c r="E251" s="743">
        <v>14.243399999999999</v>
      </c>
      <c r="F251" s="743">
        <v>6.9118000000000004</v>
      </c>
      <c r="G251" s="915">
        <v>44036</v>
      </c>
      <c r="H251" s="743">
        <v>4.5812999999999997</v>
      </c>
      <c r="I251" s="743">
        <v>1.1388</v>
      </c>
      <c r="J251" s="916">
        <v>-0.39</v>
      </c>
      <c r="K251" s="916">
        <v>-0.51500000000000001</v>
      </c>
      <c r="L251" s="916">
        <v>-0.751</v>
      </c>
    </row>
    <row r="252" spans="1:12" ht="14.5" x14ac:dyDescent="0.35">
      <c r="A252" s="915">
        <v>44029</v>
      </c>
      <c r="B252" s="743">
        <v>31.913399999999999</v>
      </c>
      <c r="C252" s="743">
        <v>19.308399999999999</v>
      </c>
      <c r="D252" s="915">
        <v>44029</v>
      </c>
      <c r="E252" s="743">
        <v>14.2433</v>
      </c>
      <c r="F252" s="743">
        <v>6.9116999999999997</v>
      </c>
      <c r="G252" s="915">
        <v>44029</v>
      </c>
      <c r="H252" s="743">
        <v>4.6456</v>
      </c>
      <c r="I252" s="743">
        <v>1.1438999999999999</v>
      </c>
      <c r="J252" s="916">
        <v>-0.39500000000000002</v>
      </c>
      <c r="K252" s="916">
        <v>-0.51500000000000001</v>
      </c>
      <c r="L252" s="916">
        <v>-0.754</v>
      </c>
    </row>
    <row r="253" spans="1:12" ht="14.5" x14ac:dyDescent="0.35">
      <c r="A253" s="915">
        <v>44022</v>
      </c>
      <c r="B253" s="743">
        <v>32.4863</v>
      </c>
      <c r="C253" s="743">
        <v>18.893899999999999</v>
      </c>
      <c r="D253" s="915">
        <v>44022</v>
      </c>
      <c r="E253" s="743">
        <v>14.2433</v>
      </c>
      <c r="F253" s="743">
        <v>6.9116999999999997</v>
      </c>
      <c r="G253" s="915">
        <v>44022</v>
      </c>
      <c r="H253" s="743">
        <v>4.726</v>
      </c>
      <c r="I253" s="743">
        <v>1.1294</v>
      </c>
      <c r="J253" s="916">
        <v>-0.41799999999999998</v>
      </c>
      <c r="K253" s="916">
        <v>-0.51500000000000001</v>
      </c>
      <c r="L253" s="916">
        <v>-0.76100000000000001</v>
      </c>
    </row>
    <row r="254" spans="1:12" ht="14.5" x14ac:dyDescent="0.35">
      <c r="A254" s="915">
        <v>44015</v>
      </c>
      <c r="B254" s="743">
        <v>31.004000000000001</v>
      </c>
      <c r="C254" s="743">
        <v>18.9345</v>
      </c>
      <c r="D254" s="915">
        <v>44015</v>
      </c>
      <c r="E254" s="743">
        <v>14.2433</v>
      </c>
      <c r="F254" s="743">
        <v>6.9116999999999997</v>
      </c>
      <c r="G254" s="915">
        <v>44015</v>
      </c>
      <c r="H254" s="743">
        <v>4.5180999999999996</v>
      </c>
      <c r="I254" s="743">
        <v>1.1308</v>
      </c>
      <c r="J254" s="916">
        <v>-0.38900000000000001</v>
      </c>
      <c r="K254" s="916">
        <v>-0.51500000000000001</v>
      </c>
      <c r="L254" s="916">
        <v>-0.75</v>
      </c>
    </row>
    <row r="255" spans="1:12" ht="14.5" x14ac:dyDescent="0.35">
      <c r="A255" s="915">
        <v>44008</v>
      </c>
      <c r="B255" s="743">
        <v>29.5275</v>
      </c>
      <c r="C255" s="743">
        <v>18.7728</v>
      </c>
      <c r="D255" s="915">
        <v>44008</v>
      </c>
      <c r="E255" s="743">
        <v>14.3215</v>
      </c>
      <c r="F255" s="743">
        <v>6.9042000000000003</v>
      </c>
      <c r="G255" s="915">
        <v>44008</v>
      </c>
      <c r="H255" s="743">
        <v>4.3109999999999999</v>
      </c>
      <c r="I255" s="743">
        <v>1.1252</v>
      </c>
      <c r="J255" s="916">
        <v>-0.36399999999999999</v>
      </c>
      <c r="K255" s="916">
        <v>-0.51800000000000002</v>
      </c>
      <c r="L255" s="916">
        <v>-0.73899999999999999</v>
      </c>
    </row>
    <row r="256" spans="1:12" ht="14.5" x14ac:dyDescent="0.35">
      <c r="A256" s="915">
        <v>44001</v>
      </c>
      <c r="B256" s="743">
        <v>30.004999999999999</v>
      </c>
      <c r="C256" s="743">
        <v>18.757200000000001</v>
      </c>
      <c r="D256" s="915">
        <v>44001</v>
      </c>
      <c r="E256" s="743">
        <v>14.3215</v>
      </c>
      <c r="F256" s="743">
        <v>6.9042000000000003</v>
      </c>
      <c r="G256" s="915">
        <v>44001</v>
      </c>
      <c r="H256" s="743">
        <v>4.3845999999999998</v>
      </c>
      <c r="I256" s="743">
        <v>1.1246</v>
      </c>
      <c r="J256" s="916">
        <v>-0.375</v>
      </c>
      <c r="K256" s="916">
        <v>-0.51800000000000002</v>
      </c>
      <c r="L256" s="916">
        <v>-0.74399999999999999</v>
      </c>
    </row>
    <row r="257" spans="1:12" ht="14.5" x14ac:dyDescent="0.35">
      <c r="A257" s="915">
        <v>43994</v>
      </c>
      <c r="B257" s="743">
        <v>28.9711</v>
      </c>
      <c r="C257" s="743">
        <v>18.642199999999999</v>
      </c>
      <c r="D257" s="915">
        <v>43994</v>
      </c>
      <c r="E257" s="743">
        <v>14.3226</v>
      </c>
      <c r="F257" s="743">
        <v>6.9042000000000003</v>
      </c>
      <c r="G257" s="915">
        <v>43994</v>
      </c>
      <c r="H257" s="743">
        <v>4.2393999999999998</v>
      </c>
      <c r="I257" s="743">
        <v>1.1206</v>
      </c>
      <c r="J257" s="916">
        <v>-0.35699999999999998</v>
      </c>
      <c r="K257" s="916">
        <v>-0.51800000000000002</v>
      </c>
      <c r="L257" s="916">
        <v>-0.73599999999999999</v>
      </c>
    </row>
    <row r="258" spans="1:12" ht="14.5" x14ac:dyDescent="0.35">
      <c r="A258" s="915">
        <v>43987</v>
      </c>
      <c r="B258" s="743">
        <v>29.306699999999999</v>
      </c>
      <c r="C258" s="743">
        <v>19.213200000000001</v>
      </c>
      <c r="D258" s="915">
        <v>43987</v>
      </c>
      <c r="E258" s="743">
        <v>15.8002</v>
      </c>
      <c r="F258" s="743">
        <v>6.9040999999999997</v>
      </c>
      <c r="G258" s="915">
        <v>43987</v>
      </c>
      <c r="H258" s="743">
        <v>4.3704999999999998</v>
      </c>
      <c r="I258" s="743">
        <v>1.1624000000000001</v>
      </c>
      <c r="J258" s="916">
        <v>-0.34399999999999997</v>
      </c>
      <c r="K258" s="916">
        <v>-0.56299999999999994</v>
      </c>
      <c r="L258" s="916">
        <v>-0.73399999999999999</v>
      </c>
    </row>
    <row r="259" spans="1:12" ht="14.5" x14ac:dyDescent="0.35">
      <c r="A259" s="915">
        <v>43980</v>
      </c>
      <c r="B259" s="743">
        <v>28.5047</v>
      </c>
      <c r="C259" s="743">
        <v>17.7377</v>
      </c>
      <c r="D259" s="915">
        <v>43980</v>
      </c>
      <c r="E259" s="743">
        <v>15.8002</v>
      </c>
      <c r="F259" s="743">
        <v>6.9040999999999997</v>
      </c>
      <c r="G259" s="915">
        <v>43980</v>
      </c>
      <c r="H259" s="743">
        <v>4.2553000000000001</v>
      </c>
      <c r="I259" s="743">
        <v>1.1087</v>
      </c>
      <c r="J259" s="916">
        <v>-0.378</v>
      </c>
      <c r="K259" s="916">
        <v>-0.56299999999999994</v>
      </c>
      <c r="L259" s="916">
        <v>-0.73899999999999999</v>
      </c>
    </row>
    <row r="260" spans="1:12" ht="14.5" x14ac:dyDescent="0.35">
      <c r="A260" s="915">
        <v>43973</v>
      </c>
      <c r="B260" s="743">
        <v>28.0825</v>
      </c>
      <c r="C260" s="743">
        <v>17.144200000000001</v>
      </c>
      <c r="D260" s="915">
        <v>43973</v>
      </c>
      <c r="E260" s="743">
        <v>15.8002</v>
      </c>
      <c r="F260" s="743">
        <v>6.9040999999999997</v>
      </c>
      <c r="G260" s="915">
        <v>43973</v>
      </c>
      <c r="H260" s="743">
        <v>4.1946000000000003</v>
      </c>
      <c r="I260" s="743">
        <v>1.0873999999999999</v>
      </c>
      <c r="J260" s="916">
        <v>-0.39</v>
      </c>
      <c r="K260" s="916">
        <v>-0.56299999999999994</v>
      </c>
      <c r="L260" s="916">
        <v>-0.74099999999999999</v>
      </c>
    </row>
    <row r="261" spans="1:12" ht="14.5" x14ac:dyDescent="0.35">
      <c r="A261" s="915">
        <v>43966</v>
      </c>
      <c r="B261" s="743">
        <v>27.3032</v>
      </c>
      <c r="C261" s="743">
        <v>16.755299999999998</v>
      </c>
      <c r="D261" s="915">
        <v>43966</v>
      </c>
      <c r="E261" s="743">
        <v>15.8002</v>
      </c>
      <c r="F261" s="743">
        <v>6.9095000000000004</v>
      </c>
      <c r="G261" s="915">
        <v>43966</v>
      </c>
      <c r="H261" s="743">
        <v>4.0643000000000002</v>
      </c>
      <c r="I261" s="743">
        <v>1.0740000000000001</v>
      </c>
      <c r="J261" s="916">
        <v>-0.38600000000000001</v>
      </c>
      <c r="K261" s="916">
        <v>-0.56299999999999994</v>
      </c>
      <c r="L261" s="916">
        <v>-0.73599999999999999</v>
      </c>
    </row>
    <row r="262" spans="1:12" ht="14.5" x14ac:dyDescent="0.35">
      <c r="A262" s="915">
        <v>43959</v>
      </c>
      <c r="B262" s="743">
        <v>27.505199999999999</v>
      </c>
      <c r="C262" s="743">
        <v>16.0304</v>
      </c>
      <c r="D262" s="915">
        <v>43959</v>
      </c>
      <c r="E262" s="743">
        <v>15.8002</v>
      </c>
      <c r="F262" s="743">
        <v>6.7285000000000004</v>
      </c>
      <c r="G262" s="915">
        <v>43959</v>
      </c>
      <c r="H262" s="743">
        <v>4.0932000000000004</v>
      </c>
      <c r="I262" s="743">
        <v>1.0803</v>
      </c>
      <c r="J262" s="916">
        <v>-0.41699999999999998</v>
      </c>
      <c r="K262" s="916">
        <v>-0.57399999999999995</v>
      </c>
      <c r="L262" s="916">
        <v>-0.73599999999999999</v>
      </c>
    </row>
    <row r="263" spans="1:12" ht="14.5" x14ac:dyDescent="0.35">
      <c r="A263" s="915">
        <v>43952</v>
      </c>
      <c r="B263" s="743">
        <v>26.007200000000001</v>
      </c>
      <c r="C263" s="743">
        <v>16.018999999999998</v>
      </c>
      <c r="D263" s="915">
        <v>43952</v>
      </c>
      <c r="E263" s="743">
        <v>15.8002</v>
      </c>
      <c r="F263" s="743">
        <v>6.7336</v>
      </c>
      <c r="G263" s="915">
        <v>43952</v>
      </c>
      <c r="H263" s="743">
        <v>3.879</v>
      </c>
      <c r="I263" s="743">
        <v>1.0839000000000001</v>
      </c>
      <c r="J263" s="916">
        <v>-0.38400000000000001</v>
      </c>
      <c r="K263" s="916">
        <v>-0.57399999999999995</v>
      </c>
      <c r="L263" s="916">
        <v>-0.72099999999999997</v>
      </c>
    </row>
    <row r="264" spans="1:12" ht="14.5" x14ac:dyDescent="0.35">
      <c r="A264" s="915">
        <v>43945</v>
      </c>
      <c r="B264" s="743">
        <v>26.2117</v>
      </c>
      <c r="C264" s="743">
        <v>14.568</v>
      </c>
      <c r="D264" s="915">
        <v>43945</v>
      </c>
      <c r="E264" s="743">
        <v>15.799200000000001</v>
      </c>
      <c r="F264" s="743">
        <v>7.5362999999999998</v>
      </c>
      <c r="G264" s="915">
        <v>43945</v>
      </c>
      <c r="H264" s="743">
        <v>3.9222999999999999</v>
      </c>
      <c r="I264" s="743">
        <v>1.0673999999999999</v>
      </c>
      <c r="J264" s="916">
        <v>-0.44400000000000001</v>
      </c>
      <c r="K264" s="916">
        <v>-0.52300000000000002</v>
      </c>
      <c r="L264" s="916">
        <v>-0.72799999999999998</v>
      </c>
    </row>
    <row r="265" spans="1:12" ht="14.5" x14ac:dyDescent="0.35">
      <c r="A265" s="915">
        <v>43938</v>
      </c>
      <c r="B265" s="743">
        <v>26.348299999999998</v>
      </c>
      <c r="C265" s="743">
        <v>14.8535</v>
      </c>
      <c r="D265" s="915">
        <v>43938</v>
      </c>
      <c r="E265" s="743">
        <v>15.799200000000001</v>
      </c>
      <c r="F265" s="743">
        <v>7.5362999999999998</v>
      </c>
      <c r="G265" s="915">
        <v>43938</v>
      </c>
      <c r="H265" s="743">
        <v>3.9316</v>
      </c>
      <c r="I265" s="743">
        <v>1.0790999999999999</v>
      </c>
      <c r="J265" s="916">
        <v>-0.436</v>
      </c>
      <c r="K265" s="916">
        <v>-0.52300000000000002</v>
      </c>
      <c r="L265" s="916">
        <v>-0.72599999999999998</v>
      </c>
    </row>
    <row r="266" spans="1:12" ht="14.5" x14ac:dyDescent="0.35">
      <c r="A266" s="915">
        <v>43931</v>
      </c>
      <c r="B266" s="743">
        <v>24.576699999999999</v>
      </c>
      <c r="C266" s="743">
        <v>14.448700000000001</v>
      </c>
      <c r="D266" s="915">
        <v>43931</v>
      </c>
      <c r="E266" s="743">
        <v>15.809100000000001</v>
      </c>
      <c r="F266" s="743">
        <v>7.5362999999999998</v>
      </c>
      <c r="G266" s="915">
        <v>43931</v>
      </c>
      <c r="H266" s="743">
        <v>3.6779999999999999</v>
      </c>
      <c r="I266" s="743">
        <v>1.0625</v>
      </c>
      <c r="J266" s="916">
        <v>-0.41199999999999998</v>
      </c>
      <c r="K266" s="916">
        <v>-0.52300000000000002</v>
      </c>
      <c r="L266" s="916">
        <v>-0.71099999999999997</v>
      </c>
    </row>
    <row r="267" spans="1:12" ht="14.5" x14ac:dyDescent="0.35">
      <c r="A267" s="915">
        <v>43924</v>
      </c>
      <c r="B267" s="743">
        <v>22.4574</v>
      </c>
      <c r="C267" s="743">
        <v>13.509</v>
      </c>
      <c r="D267" s="915">
        <v>43924</v>
      </c>
      <c r="E267" s="743">
        <v>15.8101</v>
      </c>
      <c r="F267" s="743">
        <v>7.5362999999999998</v>
      </c>
      <c r="G267" s="915">
        <v>43924</v>
      </c>
      <c r="H267" s="743">
        <v>3.3746999999999998</v>
      </c>
      <c r="I267" s="743">
        <v>1.024</v>
      </c>
      <c r="J267" s="916">
        <v>-0.39800000000000002</v>
      </c>
      <c r="K267" s="916">
        <v>-0.52300000000000002</v>
      </c>
      <c r="L267" s="916">
        <v>-0.69699999999999995</v>
      </c>
    </row>
    <row r="268" spans="1:12" ht="14.5" x14ac:dyDescent="0.35">
      <c r="A268" s="915">
        <v>43917</v>
      </c>
      <c r="B268" s="743">
        <v>22.6372</v>
      </c>
      <c r="C268" s="743">
        <v>13.6759</v>
      </c>
      <c r="D268" s="915">
        <v>43917</v>
      </c>
      <c r="E268" s="743">
        <v>15.8277</v>
      </c>
      <c r="F268" s="743">
        <v>7.5381999999999998</v>
      </c>
      <c r="G268" s="915">
        <v>43917</v>
      </c>
      <c r="H268" s="743">
        <v>3.4003999999999999</v>
      </c>
      <c r="I268" s="743">
        <v>1.0316000000000001</v>
      </c>
      <c r="J268" s="916">
        <v>-0.39600000000000002</v>
      </c>
      <c r="K268" s="916">
        <v>-0.52400000000000002</v>
      </c>
      <c r="L268" s="916">
        <v>-0.69699999999999995</v>
      </c>
    </row>
    <row r="269" spans="1:12" ht="14.5" x14ac:dyDescent="0.35">
      <c r="A269" s="915">
        <v>43910</v>
      </c>
      <c r="B269" s="743">
        <v>20.864699999999999</v>
      </c>
      <c r="C269" s="743">
        <v>12.492900000000001</v>
      </c>
      <c r="D269" s="915">
        <v>43910</v>
      </c>
      <c r="E269" s="743">
        <v>15.841100000000001</v>
      </c>
      <c r="F269" s="743">
        <v>7.5381999999999998</v>
      </c>
      <c r="G269" s="915">
        <v>43910</v>
      </c>
      <c r="H269" s="743">
        <v>3.1465000000000001</v>
      </c>
      <c r="I269" s="743">
        <v>0.98299999999999998</v>
      </c>
      <c r="J269" s="916">
        <v>-0.40100000000000002</v>
      </c>
      <c r="K269" s="916">
        <v>-0.52400000000000002</v>
      </c>
      <c r="L269" s="916">
        <v>-0.68799999999999994</v>
      </c>
    </row>
    <row r="270" spans="1:12" ht="14.5" x14ac:dyDescent="0.35">
      <c r="A270" s="915">
        <v>43903</v>
      </c>
      <c r="B270" s="743">
        <v>24.532800000000002</v>
      </c>
      <c r="C270" s="743">
        <v>14.2514</v>
      </c>
      <c r="D270" s="915">
        <v>43903</v>
      </c>
      <c r="E270" s="743">
        <v>15.154</v>
      </c>
      <c r="F270" s="743">
        <v>7.6246999999999998</v>
      </c>
      <c r="G270" s="915">
        <v>43903</v>
      </c>
      <c r="H270" s="743">
        <v>3.6842999999999999</v>
      </c>
      <c r="I270" s="743">
        <v>1.0569</v>
      </c>
      <c r="J270" s="916">
        <v>-0.41899999999999998</v>
      </c>
      <c r="K270" s="916">
        <v>-0.497</v>
      </c>
      <c r="L270" s="916">
        <v>-0.71299999999999997</v>
      </c>
    </row>
    <row r="271" spans="1:12" ht="14.5" x14ac:dyDescent="0.35">
      <c r="A271" s="915">
        <v>43896</v>
      </c>
      <c r="B271" s="743">
        <v>26.174600000000002</v>
      </c>
      <c r="C271" s="743">
        <v>16.490200000000002</v>
      </c>
      <c r="D271" s="915">
        <v>43896</v>
      </c>
      <c r="E271" s="743">
        <v>15.1541</v>
      </c>
      <c r="F271" s="743">
        <v>7.6028000000000002</v>
      </c>
      <c r="G271" s="915">
        <v>43896</v>
      </c>
      <c r="H271" s="743">
        <v>3.9230999999999998</v>
      </c>
      <c r="I271" s="743">
        <v>1.1209</v>
      </c>
      <c r="J271" s="916">
        <v>-0.37</v>
      </c>
      <c r="K271" s="916">
        <v>-0.498</v>
      </c>
      <c r="L271" s="916">
        <v>-0.71399999999999997</v>
      </c>
    </row>
    <row r="272" spans="1:12" ht="14.5" x14ac:dyDescent="0.35">
      <c r="A272" s="915">
        <v>43889</v>
      </c>
      <c r="B272" s="743">
        <v>25.964400000000001</v>
      </c>
      <c r="C272" s="743">
        <v>16.011299999999999</v>
      </c>
      <c r="D272" s="915">
        <v>43889</v>
      </c>
      <c r="E272" s="743">
        <v>15.1541</v>
      </c>
      <c r="F272" s="743">
        <v>8.2461000000000002</v>
      </c>
      <c r="G272" s="915">
        <v>43889</v>
      </c>
      <c r="H272" s="743">
        <v>3.8925000000000001</v>
      </c>
      <c r="I272" s="743">
        <v>1.0802</v>
      </c>
      <c r="J272" s="916">
        <v>-0.38300000000000001</v>
      </c>
      <c r="K272" s="916">
        <v>-0.45600000000000002</v>
      </c>
      <c r="L272" s="916">
        <v>-0.72199999999999998</v>
      </c>
    </row>
    <row r="273" spans="1:12" ht="14.5" x14ac:dyDescent="0.35">
      <c r="A273" s="915">
        <v>43882</v>
      </c>
      <c r="B273" s="743">
        <v>28.9864</v>
      </c>
      <c r="C273" s="743">
        <v>16.527699999999999</v>
      </c>
      <c r="D273" s="915">
        <v>43882</v>
      </c>
      <c r="E273" s="743">
        <v>15.154199999999999</v>
      </c>
      <c r="F273" s="743">
        <v>8.3451000000000004</v>
      </c>
      <c r="G273" s="915">
        <v>43882</v>
      </c>
      <c r="H273" s="743">
        <v>4.3322000000000003</v>
      </c>
      <c r="I273" s="743">
        <v>1.1395999999999999</v>
      </c>
      <c r="J273" s="916">
        <v>-0.43</v>
      </c>
      <c r="K273" s="916">
        <v>-0.44900000000000001</v>
      </c>
      <c r="L273" s="916">
        <v>-0.73699999999999999</v>
      </c>
    </row>
    <row r="274" spans="1:12" ht="14.5" x14ac:dyDescent="0.35">
      <c r="A274" s="915">
        <v>43875</v>
      </c>
      <c r="B274" s="743">
        <v>29.529199999999999</v>
      </c>
      <c r="C274" s="743">
        <v>16.979299999999999</v>
      </c>
      <c r="D274" s="915">
        <v>43875</v>
      </c>
      <c r="E274" s="743">
        <v>15.154199999999999</v>
      </c>
      <c r="F274" s="743">
        <v>8.3437999999999999</v>
      </c>
      <c r="G274" s="915">
        <v>43875</v>
      </c>
      <c r="H274" s="743">
        <v>4.4112</v>
      </c>
      <c r="I274" s="743">
        <v>1.1649</v>
      </c>
      <c r="J274" s="916">
        <v>-0.42499999999999999</v>
      </c>
      <c r="K274" s="916">
        <v>-0.44900000000000001</v>
      </c>
      <c r="L274" s="916">
        <v>-0.73599999999999999</v>
      </c>
    </row>
    <row r="275" spans="1:12" ht="14.5" x14ac:dyDescent="0.35">
      <c r="A275" s="915">
        <v>43868</v>
      </c>
      <c r="B275" s="743">
        <v>28.846499999999999</v>
      </c>
      <c r="C275" s="743">
        <v>16.4619</v>
      </c>
      <c r="D275" s="915">
        <v>43868</v>
      </c>
      <c r="E275" s="743">
        <v>15.154400000000001</v>
      </c>
      <c r="F275" s="743">
        <v>7.8913000000000002</v>
      </c>
      <c r="G275" s="915">
        <v>43868</v>
      </c>
      <c r="H275" s="743">
        <v>4.3118999999999996</v>
      </c>
      <c r="I275" s="743">
        <v>1.0940000000000001</v>
      </c>
      <c r="J275" s="916">
        <v>-0.42899999999999999</v>
      </c>
      <c r="K275" s="916">
        <v>-0.47899999999999998</v>
      </c>
      <c r="L275" s="916">
        <v>-0.746</v>
      </c>
    </row>
    <row r="276" spans="1:12" ht="14.5" x14ac:dyDescent="0.35">
      <c r="A276" s="915">
        <v>43861</v>
      </c>
      <c r="B276" s="743">
        <v>27.589700000000001</v>
      </c>
      <c r="C276" s="743">
        <v>13.647500000000001</v>
      </c>
      <c r="D276" s="915">
        <v>43861</v>
      </c>
      <c r="E276" s="743">
        <v>15.154299999999999</v>
      </c>
      <c r="F276" s="743">
        <v>6.9964000000000004</v>
      </c>
      <c r="G276" s="915">
        <v>43861</v>
      </c>
      <c r="H276" s="743">
        <v>4.1289999999999996</v>
      </c>
      <c r="I276" s="743">
        <v>1.1236999999999999</v>
      </c>
      <c r="J276" s="916">
        <v>-0.505</v>
      </c>
      <c r="K276" s="916">
        <v>-0.53800000000000003</v>
      </c>
      <c r="L276" s="916">
        <v>-0.72799999999999998</v>
      </c>
    </row>
    <row r="277" spans="1:12" ht="14.5" x14ac:dyDescent="0.35">
      <c r="A277" s="915">
        <v>43854</v>
      </c>
      <c r="B277" s="743">
        <v>28.049800000000001</v>
      </c>
      <c r="C277" s="743">
        <v>14.4856</v>
      </c>
      <c r="D277" s="915">
        <v>43854</v>
      </c>
      <c r="E277" s="743">
        <v>15.154299999999999</v>
      </c>
      <c r="F277" s="743">
        <v>6.9964000000000004</v>
      </c>
      <c r="G277" s="915">
        <v>43854</v>
      </c>
      <c r="H277" s="743">
        <v>4.1959999999999997</v>
      </c>
      <c r="I277" s="743">
        <v>1.1654</v>
      </c>
      <c r="J277" s="916">
        <v>-0.48399999999999999</v>
      </c>
      <c r="K277" s="916">
        <v>-0.53800000000000003</v>
      </c>
      <c r="L277" s="916">
        <v>-0.72199999999999998</v>
      </c>
    </row>
    <row r="278" spans="1:12" ht="14.5" x14ac:dyDescent="0.35">
      <c r="A278" s="915">
        <v>43847</v>
      </c>
      <c r="B278" s="743">
        <v>28.148800000000001</v>
      </c>
      <c r="C278" s="743">
        <v>14.528499999999999</v>
      </c>
      <c r="D278" s="915">
        <v>43847</v>
      </c>
      <c r="E278" s="743">
        <v>15.154299999999999</v>
      </c>
      <c r="F278" s="743">
        <v>6.9964000000000004</v>
      </c>
      <c r="G278" s="915">
        <v>43847</v>
      </c>
      <c r="H278" s="743">
        <v>4.2103999999999999</v>
      </c>
      <c r="I278" s="743">
        <v>1.1674</v>
      </c>
      <c r="J278" s="916">
        <v>-0.48399999999999999</v>
      </c>
      <c r="K278" s="916">
        <v>-0.53800000000000003</v>
      </c>
      <c r="L278" s="916">
        <v>-0.72299999999999998</v>
      </c>
    </row>
    <row r="279" spans="1:12" ht="14.5" x14ac:dyDescent="0.35">
      <c r="A279" s="915">
        <v>43840</v>
      </c>
      <c r="B279" s="743">
        <v>27.513400000000001</v>
      </c>
      <c r="C279" s="743">
        <v>14.228899999999999</v>
      </c>
      <c r="D279" s="915">
        <v>43840</v>
      </c>
      <c r="E279" s="743">
        <v>15.154299999999999</v>
      </c>
      <c r="F279" s="743">
        <v>6.9964000000000004</v>
      </c>
      <c r="G279" s="915">
        <v>43840</v>
      </c>
      <c r="H279" s="743">
        <v>4.1178999999999997</v>
      </c>
      <c r="I279" s="743">
        <v>1.1525000000000001</v>
      </c>
      <c r="J279" s="916">
        <v>-0.48299999999999998</v>
      </c>
      <c r="K279" s="916">
        <v>-0.53800000000000003</v>
      </c>
      <c r="L279" s="916">
        <v>-0.72</v>
      </c>
    </row>
    <row r="280" spans="1:12" ht="14.5" x14ac:dyDescent="0.35">
      <c r="A280" s="915">
        <v>43833</v>
      </c>
      <c r="B280" s="743">
        <v>26.9833</v>
      </c>
      <c r="C280" s="743">
        <v>13.9054</v>
      </c>
      <c r="D280" s="915">
        <v>43833</v>
      </c>
      <c r="E280" s="743">
        <v>15.154199999999999</v>
      </c>
      <c r="F280" s="743">
        <v>6.9964000000000004</v>
      </c>
      <c r="G280" s="915">
        <v>43833</v>
      </c>
      <c r="H280" s="743">
        <v>4.0407999999999999</v>
      </c>
      <c r="I280" s="743">
        <v>1.1364000000000001</v>
      </c>
      <c r="J280" s="916">
        <v>-0.48499999999999999</v>
      </c>
      <c r="K280" s="916">
        <v>-0.53800000000000003</v>
      </c>
      <c r="L280" s="916">
        <v>-0.71899999999999997</v>
      </c>
    </row>
    <row r="281" spans="1:12" ht="14.5" x14ac:dyDescent="0.35">
      <c r="A281" s="915">
        <v>43826</v>
      </c>
      <c r="B281" s="743">
        <v>26.913</v>
      </c>
      <c r="C281" s="743">
        <v>14.1272</v>
      </c>
      <c r="D281" s="915">
        <v>43826</v>
      </c>
      <c r="E281" s="743">
        <v>15.1624</v>
      </c>
      <c r="F281" s="743">
        <v>6.9964000000000004</v>
      </c>
      <c r="G281" s="915">
        <v>43826</v>
      </c>
      <c r="H281" s="743">
        <v>4.0305999999999997</v>
      </c>
      <c r="I281" s="743">
        <v>1.1474</v>
      </c>
      <c r="J281" s="916">
        <v>-0.47499999999999998</v>
      </c>
      <c r="K281" s="916">
        <v>-0.53900000000000003</v>
      </c>
      <c r="L281" s="916">
        <v>-0.71499999999999997</v>
      </c>
    </row>
    <row r="282" spans="1:12" ht="14.5" x14ac:dyDescent="0.35">
      <c r="A282" s="915">
        <v>43819</v>
      </c>
      <c r="B282" s="743">
        <v>26.629200000000001</v>
      </c>
      <c r="C282" s="743">
        <v>14.139099999999999</v>
      </c>
      <c r="D282" s="915">
        <v>43819</v>
      </c>
      <c r="E282" s="743">
        <v>15.1624</v>
      </c>
      <c r="F282" s="743">
        <v>6.9964000000000004</v>
      </c>
      <c r="G282" s="915">
        <v>43819</v>
      </c>
      <c r="H282" s="743">
        <v>3.9727999999999999</v>
      </c>
      <c r="I282" s="743">
        <v>1.1480999999999999</v>
      </c>
      <c r="J282" s="916">
        <v>-0.46899999999999997</v>
      </c>
      <c r="K282" s="916">
        <v>-0.53900000000000003</v>
      </c>
      <c r="L282" s="916">
        <v>-0.71099999999999997</v>
      </c>
    </row>
    <row r="283" spans="1:12" ht="14.5" x14ac:dyDescent="0.35">
      <c r="A283" s="915">
        <v>43812</v>
      </c>
      <c r="B283" s="743">
        <v>26.046099999999999</v>
      </c>
      <c r="C283" s="743">
        <v>13.8804</v>
      </c>
      <c r="D283" s="915">
        <v>43812</v>
      </c>
      <c r="E283" s="743">
        <v>15.1624</v>
      </c>
      <c r="F283" s="743">
        <v>6.9964000000000004</v>
      </c>
      <c r="G283" s="915">
        <v>43812</v>
      </c>
      <c r="H283" s="743">
        <v>3.8883999999999999</v>
      </c>
      <c r="I283" s="743">
        <v>1.1352</v>
      </c>
      <c r="J283" s="916">
        <v>-0.46700000000000003</v>
      </c>
      <c r="K283" s="916">
        <v>-0.53900000000000003</v>
      </c>
      <c r="L283" s="916">
        <v>-0.70799999999999996</v>
      </c>
    </row>
    <row r="284" spans="1:12" ht="14.5" x14ac:dyDescent="0.35">
      <c r="A284" s="915">
        <v>43805</v>
      </c>
      <c r="B284" s="743">
        <v>25.402100000000001</v>
      </c>
      <c r="C284" s="743">
        <v>13.2075</v>
      </c>
      <c r="D284" s="915">
        <v>43805</v>
      </c>
      <c r="E284" s="743">
        <v>15.091200000000001</v>
      </c>
      <c r="F284" s="743">
        <v>6.9964000000000004</v>
      </c>
      <c r="G284" s="915">
        <v>43805</v>
      </c>
      <c r="H284" s="743">
        <v>3.9045000000000001</v>
      </c>
      <c r="I284" s="743">
        <v>1.1178999999999999</v>
      </c>
      <c r="J284" s="916">
        <v>-0.48</v>
      </c>
      <c r="K284" s="916">
        <v>-0.53600000000000003</v>
      </c>
      <c r="L284" s="916">
        <v>-0.71399999999999997</v>
      </c>
    </row>
    <row r="285" spans="1:12" ht="14.5" x14ac:dyDescent="0.35">
      <c r="A285" s="915">
        <v>43798</v>
      </c>
      <c r="B285" s="743">
        <v>25.421299999999999</v>
      </c>
      <c r="C285" s="743">
        <v>13.207100000000001</v>
      </c>
      <c r="D285" s="915">
        <v>43798</v>
      </c>
      <c r="E285" s="743">
        <v>15.091200000000001</v>
      </c>
      <c r="F285" s="743">
        <v>6.9964000000000004</v>
      </c>
      <c r="G285" s="915">
        <v>43798</v>
      </c>
      <c r="H285" s="743">
        <v>3.9074</v>
      </c>
      <c r="I285" s="743">
        <v>1.1178999999999999</v>
      </c>
      <c r="J285" s="916">
        <v>-0.48</v>
      </c>
      <c r="K285" s="916">
        <v>-0.53600000000000003</v>
      </c>
      <c r="L285" s="916">
        <v>-0.71399999999999997</v>
      </c>
    </row>
    <row r="286" spans="1:12" ht="14.5" x14ac:dyDescent="0.35">
      <c r="A286" s="915">
        <v>43791</v>
      </c>
      <c r="B286" s="743">
        <v>25.023</v>
      </c>
      <c r="C286" s="743">
        <v>13.355</v>
      </c>
      <c r="D286" s="915">
        <v>43791</v>
      </c>
      <c r="E286" s="743">
        <v>15.091200000000001</v>
      </c>
      <c r="F286" s="743">
        <v>6.9964000000000004</v>
      </c>
      <c r="G286" s="915">
        <v>43791</v>
      </c>
      <c r="H286" s="743">
        <v>3.8479000000000001</v>
      </c>
      <c r="I286" s="743">
        <v>1.1254999999999999</v>
      </c>
      <c r="J286" s="916">
        <v>-0.46600000000000003</v>
      </c>
      <c r="K286" s="916">
        <v>-0.53600000000000003</v>
      </c>
      <c r="L286" s="916">
        <v>-0.70799999999999996</v>
      </c>
    </row>
    <row r="287" spans="1:12" ht="14.5" x14ac:dyDescent="0.35">
      <c r="A287" s="915">
        <v>43784</v>
      </c>
      <c r="B287" s="743">
        <v>25.158999999999999</v>
      </c>
      <c r="C287" s="743">
        <v>13.726900000000001</v>
      </c>
      <c r="D287" s="915">
        <v>43784</v>
      </c>
      <c r="E287" s="743">
        <v>15.092700000000001</v>
      </c>
      <c r="F287" s="743">
        <v>6.9964000000000004</v>
      </c>
      <c r="G287" s="915">
        <v>43784</v>
      </c>
      <c r="H287" s="743">
        <v>3.8803000000000001</v>
      </c>
      <c r="I287" s="743">
        <v>1.1442000000000001</v>
      </c>
      <c r="J287" s="916">
        <v>-0.45400000000000001</v>
      </c>
      <c r="K287" s="916">
        <v>-0.53600000000000003</v>
      </c>
      <c r="L287" s="916">
        <v>-0.70499999999999996</v>
      </c>
    </row>
    <row r="288" spans="1:12" ht="14.5" x14ac:dyDescent="0.35">
      <c r="A288" s="915">
        <v>43777</v>
      </c>
      <c r="B288" s="743">
        <v>24.9786</v>
      </c>
      <c r="C288" s="743">
        <v>13.017300000000001</v>
      </c>
      <c r="D288" s="915">
        <v>43777</v>
      </c>
      <c r="E288" s="743">
        <v>15.092700000000001</v>
      </c>
      <c r="F288" s="743">
        <v>7.2777000000000003</v>
      </c>
      <c r="G288" s="915">
        <v>43777</v>
      </c>
      <c r="H288" s="743">
        <v>3.8542000000000001</v>
      </c>
      <c r="I288" s="743">
        <v>1.159</v>
      </c>
      <c r="J288" s="916">
        <v>-0.47899999999999998</v>
      </c>
      <c r="K288" s="916">
        <v>-0.51800000000000002</v>
      </c>
      <c r="L288" s="916">
        <v>-0.69899999999999995</v>
      </c>
    </row>
    <row r="289" spans="1:12" ht="14.5" x14ac:dyDescent="0.35">
      <c r="A289" s="915">
        <v>43770</v>
      </c>
      <c r="B289" s="743">
        <v>24.692</v>
      </c>
      <c r="C289" s="743">
        <v>12.807700000000001</v>
      </c>
      <c r="D289" s="915">
        <v>43770</v>
      </c>
      <c r="E289" s="743">
        <v>15.092599999999999</v>
      </c>
      <c r="F289" s="743">
        <v>7.2337999999999996</v>
      </c>
      <c r="G289" s="915">
        <v>43770</v>
      </c>
      <c r="H289" s="743">
        <v>3.8136999999999999</v>
      </c>
      <c r="I289" s="743">
        <v>1.1458999999999999</v>
      </c>
      <c r="J289" s="916">
        <v>-0.48099999999999998</v>
      </c>
      <c r="K289" s="916">
        <v>-0.52100000000000002</v>
      </c>
      <c r="L289" s="916">
        <v>-0.7</v>
      </c>
    </row>
    <row r="290" spans="1:12" ht="14.5" x14ac:dyDescent="0.35">
      <c r="A290" s="915">
        <v>43763</v>
      </c>
      <c r="B290" s="743">
        <v>24.2928</v>
      </c>
      <c r="C290" s="743">
        <v>11.123900000000001</v>
      </c>
      <c r="D290" s="915">
        <v>43763</v>
      </c>
      <c r="E290" s="743">
        <v>15.092599999999999</v>
      </c>
      <c r="F290" s="743">
        <v>6.5223000000000004</v>
      </c>
      <c r="G290" s="915">
        <v>43763</v>
      </c>
      <c r="H290" s="743">
        <v>3.7538</v>
      </c>
      <c r="I290" s="743">
        <v>1.1087</v>
      </c>
      <c r="J290" s="916">
        <v>-0.54200000000000004</v>
      </c>
      <c r="K290" s="916">
        <v>-0.56799999999999995</v>
      </c>
      <c r="L290" s="916">
        <v>-0.70499999999999996</v>
      </c>
    </row>
    <row r="291" spans="1:12" ht="14.5" x14ac:dyDescent="0.35">
      <c r="A291" s="915">
        <v>43756</v>
      </c>
      <c r="B291" s="743">
        <v>23.8065</v>
      </c>
      <c r="C291" s="743">
        <v>10.9374</v>
      </c>
      <c r="D291" s="915">
        <v>43756</v>
      </c>
      <c r="E291" s="743">
        <v>15.092599999999999</v>
      </c>
      <c r="F291" s="743">
        <v>6.5223000000000004</v>
      </c>
      <c r="G291" s="915">
        <v>43756</v>
      </c>
      <c r="H291" s="743">
        <v>3.6808999999999998</v>
      </c>
      <c r="I291" s="743">
        <v>1.0975999999999999</v>
      </c>
      <c r="J291" s="916">
        <v>-0.54100000000000004</v>
      </c>
      <c r="K291" s="916">
        <v>-0.56799999999999995</v>
      </c>
      <c r="L291" s="916">
        <v>-0.70199999999999996</v>
      </c>
    </row>
    <row r="292" spans="1:12" ht="14.5" x14ac:dyDescent="0.35">
      <c r="A292" s="915">
        <v>43749</v>
      </c>
      <c r="B292" s="743">
        <v>23.731999999999999</v>
      </c>
      <c r="C292" s="743">
        <v>10.8925</v>
      </c>
      <c r="D292" s="915">
        <v>43749</v>
      </c>
      <c r="E292" s="743">
        <v>15.092499999999999</v>
      </c>
      <c r="F292" s="743">
        <v>6.5223000000000004</v>
      </c>
      <c r="G292" s="915">
        <v>43749</v>
      </c>
      <c r="H292" s="743">
        <v>3.6697000000000002</v>
      </c>
      <c r="I292" s="743">
        <v>1.0949</v>
      </c>
      <c r="J292" s="916">
        <v>-0.54100000000000004</v>
      </c>
      <c r="K292" s="916">
        <v>-0.56799999999999995</v>
      </c>
      <c r="L292" s="916">
        <v>-0.70199999999999996</v>
      </c>
    </row>
    <row r="293" spans="1:12" ht="14.5" x14ac:dyDescent="0.35">
      <c r="A293" s="915">
        <v>43742</v>
      </c>
      <c r="B293" s="743">
        <v>23.4604</v>
      </c>
      <c r="C293" s="743">
        <v>10.723100000000001</v>
      </c>
      <c r="D293" s="915">
        <v>43742</v>
      </c>
      <c r="E293" s="743">
        <v>15.092700000000001</v>
      </c>
      <c r="F293" s="743">
        <v>6.5223000000000004</v>
      </c>
      <c r="G293" s="915">
        <v>43742</v>
      </c>
      <c r="H293" s="743">
        <v>3.6288999999999998</v>
      </c>
      <c r="I293" s="743">
        <v>1.0846</v>
      </c>
      <c r="J293" s="916">
        <v>-0.54300000000000004</v>
      </c>
      <c r="K293" s="916">
        <v>-0.56799999999999995</v>
      </c>
      <c r="L293" s="916">
        <v>-0.70099999999999996</v>
      </c>
    </row>
    <row r="294" spans="1:12" ht="14.5" x14ac:dyDescent="0.35">
      <c r="A294" s="915">
        <v>43735</v>
      </c>
      <c r="B294" s="743">
        <v>23.241</v>
      </c>
      <c r="C294" s="743">
        <v>10.876300000000001</v>
      </c>
      <c r="D294" s="915">
        <v>43735</v>
      </c>
      <c r="E294" s="743">
        <v>15.084199999999999</v>
      </c>
      <c r="F294" s="743">
        <v>6.5223000000000004</v>
      </c>
      <c r="G294" s="915">
        <v>43735</v>
      </c>
      <c r="H294" s="743">
        <v>3.5960000000000001</v>
      </c>
      <c r="I294" s="743">
        <v>1.0939000000000001</v>
      </c>
      <c r="J294" s="916">
        <v>-0.53200000000000003</v>
      </c>
      <c r="K294" s="916">
        <v>-0.56799999999999995</v>
      </c>
      <c r="L294" s="916">
        <v>-0.69599999999999995</v>
      </c>
    </row>
    <row r="295" spans="1:12" ht="14.5" x14ac:dyDescent="0.35">
      <c r="A295" s="915">
        <v>43728</v>
      </c>
      <c r="B295" s="743">
        <v>23.670500000000001</v>
      </c>
      <c r="C295" s="743">
        <v>11.073700000000001</v>
      </c>
      <c r="D295" s="915">
        <v>43728</v>
      </c>
      <c r="E295" s="743">
        <v>15.084199999999999</v>
      </c>
      <c r="F295" s="743">
        <v>6.5223000000000004</v>
      </c>
      <c r="G295" s="915">
        <v>43728</v>
      </c>
      <c r="H295" s="743">
        <v>3.6760000000000002</v>
      </c>
      <c r="I295" s="743">
        <v>1.1054999999999999</v>
      </c>
      <c r="J295" s="916">
        <v>-0.53200000000000003</v>
      </c>
      <c r="K295" s="916">
        <v>-0.56799999999999995</v>
      </c>
      <c r="L295" s="916">
        <v>-0.69899999999999995</v>
      </c>
    </row>
    <row r="296" spans="1:12" ht="14.5" x14ac:dyDescent="0.35">
      <c r="A296" s="915">
        <v>43721</v>
      </c>
      <c r="B296" s="743">
        <v>23.880500000000001</v>
      </c>
      <c r="C296" s="743">
        <v>10.8477</v>
      </c>
      <c r="D296" s="915">
        <v>43721</v>
      </c>
      <c r="E296" s="743">
        <v>15.084199999999999</v>
      </c>
      <c r="F296" s="743">
        <v>6.5223000000000004</v>
      </c>
      <c r="G296" s="915">
        <v>43721</v>
      </c>
      <c r="H296" s="743">
        <v>3.7075999999999998</v>
      </c>
      <c r="I296" s="743">
        <v>1.0918000000000001</v>
      </c>
      <c r="J296" s="916">
        <v>-0.54600000000000004</v>
      </c>
      <c r="K296" s="916">
        <v>-0.56799999999999995</v>
      </c>
      <c r="L296" s="916">
        <v>-0.70599999999999996</v>
      </c>
    </row>
    <row r="297" spans="1:12" ht="14.5" x14ac:dyDescent="0.35">
      <c r="A297" s="915">
        <v>43714</v>
      </c>
      <c r="B297" s="743">
        <v>23.657499999999999</v>
      </c>
      <c r="C297" s="743">
        <v>10.634399999999999</v>
      </c>
      <c r="D297" s="915">
        <v>43714</v>
      </c>
      <c r="E297" s="743">
        <v>15.0641</v>
      </c>
      <c r="F297" s="743">
        <v>6.5223000000000004</v>
      </c>
      <c r="G297" s="915">
        <v>43714</v>
      </c>
      <c r="H297" s="743">
        <v>3.6911</v>
      </c>
      <c r="I297" s="743">
        <v>1.0789</v>
      </c>
      <c r="J297" s="916">
        <v>-0.55000000000000004</v>
      </c>
      <c r="K297" s="916">
        <v>-0.56699999999999995</v>
      </c>
      <c r="L297" s="916">
        <v>-0.70799999999999996</v>
      </c>
    </row>
    <row r="298" spans="1:12" ht="14.5" x14ac:dyDescent="0.35">
      <c r="A298" s="915">
        <v>43707</v>
      </c>
      <c r="B298" s="743">
        <v>23.170500000000001</v>
      </c>
      <c r="C298" s="743">
        <v>10.3666</v>
      </c>
      <c r="D298" s="915">
        <v>43707</v>
      </c>
      <c r="E298" s="743">
        <v>15.065099999999999</v>
      </c>
      <c r="F298" s="743">
        <v>6.5223000000000004</v>
      </c>
      <c r="G298" s="915">
        <v>43707</v>
      </c>
      <c r="H298" s="743">
        <v>3.6172</v>
      </c>
      <c r="I298" s="743">
        <v>1.0628</v>
      </c>
      <c r="J298" s="916">
        <v>-0.55300000000000005</v>
      </c>
      <c r="K298" s="916">
        <v>-0.56699999999999995</v>
      </c>
      <c r="L298" s="916">
        <v>-0.70599999999999996</v>
      </c>
    </row>
    <row r="299" spans="1:12" ht="14.5" x14ac:dyDescent="0.35">
      <c r="A299" s="915">
        <v>43700</v>
      </c>
      <c r="B299" s="743">
        <v>23.047599999999999</v>
      </c>
      <c r="C299" s="743">
        <v>10.2476</v>
      </c>
      <c r="D299" s="915">
        <v>43700</v>
      </c>
      <c r="E299" s="743">
        <v>15.0342</v>
      </c>
      <c r="F299" s="743">
        <v>6.5223000000000004</v>
      </c>
      <c r="G299" s="915">
        <v>43700</v>
      </c>
      <c r="H299" s="743">
        <v>3.5758999999999999</v>
      </c>
      <c r="I299" s="743">
        <v>1.0556000000000001</v>
      </c>
      <c r="J299" s="916">
        <v>-0.55500000000000005</v>
      </c>
      <c r="K299" s="916">
        <v>-0.56599999999999995</v>
      </c>
      <c r="L299" s="916">
        <v>-0.70499999999999996</v>
      </c>
    </row>
    <row r="300" spans="1:12" ht="14.5" x14ac:dyDescent="0.35">
      <c r="A300" s="915">
        <v>43693</v>
      </c>
      <c r="B300" s="743">
        <v>23.4771</v>
      </c>
      <c r="C300" s="743">
        <v>10.1684</v>
      </c>
      <c r="D300" s="915">
        <v>43693</v>
      </c>
      <c r="E300" s="743">
        <v>15.0342</v>
      </c>
      <c r="F300" s="743">
        <v>6.5223000000000004</v>
      </c>
      <c r="G300" s="915">
        <v>43693</v>
      </c>
      <c r="H300" s="743">
        <v>3.6404000000000001</v>
      </c>
      <c r="I300" s="743">
        <v>1.0508</v>
      </c>
      <c r="J300" s="916">
        <v>-0.56699999999999995</v>
      </c>
      <c r="K300" s="916">
        <v>-0.56599999999999995</v>
      </c>
      <c r="L300" s="916">
        <v>-0.71099999999999997</v>
      </c>
    </row>
    <row r="301" spans="1:12" ht="14.5" x14ac:dyDescent="0.35">
      <c r="A301" s="915">
        <v>43686</v>
      </c>
      <c r="B301" s="743">
        <v>23.582799999999999</v>
      </c>
      <c r="C301" s="743">
        <v>9.9141999999999992</v>
      </c>
      <c r="D301" s="915">
        <v>43686</v>
      </c>
      <c r="E301" s="743">
        <v>15.0342</v>
      </c>
      <c r="F301" s="743">
        <v>6.8716999999999997</v>
      </c>
      <c r="G301" s="915">
        <v>43686</v>
      </c>
      <c r="H301" s="743">
        <v>3.6465999999999998</v>
      </c>
      <c r="I301" s="743">
        <v>1.0556000000000001</v>
      </c>
      <c r="J301" s="916">
        <v>-0.57999999999999996</v>
      </c>
      <c r="K301" s="916">
        <v>-0.54300000000000004</v>
      </c>
      <c r="L301" s="916">
        <v>-0.71099999999999997</v>
      </c>
    </row>
    <row r="302" spans="1:12" ht="14.5" x14ac:dyDescent="0.35">
      <c r="A302" s="915">
        <v>43679</v>
      </c>
      <c r="B302" s="743">
        <v>23.758099999999999</v>
      </c>
      <c r="C302" s="743">
        <v>10.247999999999999</v>
      </c>
      <c r="D302" s="915">
        <v>43679</v>
      </c>
      <c r="E302" s="743">
        <v>15.0145</v>
      </c>
      <c r="F302" s="743">
        <v>6.8587999999999996</v>
      </c>
      <c r="G302" s="915">
        <v>43679</v>
      </c>
      <c r="H302" s="743">
        <v>3.6676000000000002</v>
      </c>
      <c r="I302" s="743">
        <v>1.075</v>
      </c>
      <c r="J302" s="916">
        <v>-0.56899999999999995</v>
      </c>
      <c r="K302" s="916">
        <v>-0.54300000000000004</v>
      </c>
      <c r="L302" s="916">
        <v>-0.70699999999999996</v>
      </c>
    </row>
    <row r="303" spans="1:12" ht="14.5" x14ac:dyDescent="0.35">
      <c r="A303" s="915">
        <v>43672</v>
      </c>
      <c r="B303" s="743">
        <v>24.757999999999999</v>
      </c>
      <c r="C303" s="743">
        <v>9.4512999999999998</v>
      </c>
      <c r="D303" s="915">
        <v>43672</v>
      </c>
      <c r="E303" s="743">
        <v>15.0145</v>
      </c>
      <c r="F303" s="743">
        <v>6.0640999999999998</v>
      </c>
      <c r="G303" s="915">
        <v>43672</v>
      </c>
      <c r="H303" s="743">
        <v>3.8174000000000001</v>
      </c>
      <c r="I303" s="743">
        <v>1.0801000000000001</v>
      </c>
      <c r="J303" s="916">
        <v>-0.61799999999999999</v>
      </c>
      <c r="K303" s="916">
        <v>-0.59599999999999997</v>
      </c>
      <c r="L303" s="916">
        <v>-0.71699999999999997</v>
      </c>
    </row>
    <row r="304" spans="1:12" ht="14.5" x14ac:dyDescent="0.35">
      <c r="A304" s="915">
        <v>43665</v>
      </c>
      <c r="B304" s="743">
        <v>24.195900000000002</v>
      </c>
      <c r="C304" s="743">
        <v>9.5165000000000006</v>
      </c>
      <c r="D304" s="915">
        <v>43665</v>
      </c>
      <c r="E304" s="743">
        <v>15.0145</v>
      </c>
      <c r="F304" s="743">
        <v>6.0640999999999998</v>
      </c>
      <c r="G304" s="915">
        <v>43665</v>
      </c>
      <c r="H304" s="743">
        <v>3.7332000000000001</v>
      </c>
      <c r="I304" s="743">
        <v>1.0847</v>
      </c>
      <c r="J304" s="916">
        <v>-0.60699999999999998</v>
      </c>
      <c r="K304" s="916">
        <v>-0.59599999999999997</v>
      </c>
      <c r="L304" s="916">
        <v>-0.70899999999999996</v>
      </c>
    </row>
    <row r="305" spans="1:12" ht="14.5" x14ac:dyDescent="0.35">
      <c r="A305" s="915">
        <v>43658</v>
      </c>
      <c r="B305" s="743">
        <v>24.53</v>
      </c>
      <c r="C305" s="743">
        <v>9.4488000000000003</v>
      </c>
      <c r="D305" s="915">
        <v>43658</v>
      </c>
      <c r="E305" s="743">
        <v>15.0145</v>
      </c>
      <c r="F305" s="743">
        <v>6.0641999999999996</v>
      </c>
      <c r="G305" s="915">
        <v>43658</v>
      </c>
      <c r="H305" s="743">
        <v>3.7833000000000001</v>
      </c>
      <c r="I305" s="743">
        <v>1.0799000000000001</v>
      </c>
      <c r="J305" s="916">
        <v>-0.61499999999999999</v>
      </c>
      <c r="K305" s="916">
        <v>-0.59599999999999997</v>
      </c>
      <c r="L305" s="916">
        <v>-0.71499999999999997</v>
      </c>
    </row>
    <row r="306" spans="1:12" ht="14.5" x14ac:dyDescent="0.35">
      <c r="A306" s="915">
        <v>43651</v>
      </c>
      <c r="B306" s="743">
        <v>24.215</v>
      </c>
      <c r="C306" s="743">
        <v>9.4937000000000005</v>
      </c>
      <c r="D306" s="915">
        <v>43651</v>
      </c>
      <c r="E306" s="743">
        <v>15.0145</v>
      </c>
      <c r="F306" s="743">
        <v>6.0641999999999996</v>
      </c>
      <c r="G306" s="915">
        <v>43651</v>
      </c>
      <c r="H306" s="743">
        <v>3.7362000000000002</v>
      </c>
      <c r="I306" s="743">
        <v>1.0831</v>
      </c>
      <c r="J306" s="916">
        <v>-0.60799999999999998</v>
      </c>
      <c r="K306" s="916">
        <v>-0.59599999999999997</v>
      </c>
      <c r="L306" s="916">
        <v>-0.71</v>
      </c>
    </row>
    <row r="307" spans="1:12" ht="14.5" x14ac:dyDescent="0.35">
      <c r="A307" s="915">
        <v>43644</v>
      </c>
      <c r="B307" s="743">
        <v>23.694299999999998</v>
      </c>
      <c r="C307" s="743">
        <v>9.6189</v>
      </c>
      <c r="D307" s="915">
        <v>43644</v>
      </c>
      <c r="E307" s="743">
        <v>15.008599999999999</v>
      </c>
      <c r="F307" s="743">
        <v>6.0641999999999996</v>
      </c>
      <c r="G307" s="915">
        <v>43644</v>
      </c>
      <c r="H307" s="743">
        <v>3.6562999999999999</v>
      </c>
      <c r="I307" s="743">
        <v>1.0918000000000001</v>
      </c>
      <c r="J307" s="916">
        <v>-0.59399999999999997</v>
      </c>
      <c r="K307" s="916">
        <v>-0.59599999999999997</v>
      </c>
      <c r="L307" s="916">
        <v>-0.70099999999999996</v>
      </c>
    </row>
    <row r="308" spans="1:12" ht="14.5" x14ac:dyDescent="0.35">
      <c r="A308" s="915">
        <v>43637</v>
      </c>
      <c r="B308" s="743">
        <v>23.872599999999998</v>
      </c>
      <c r="C308" s="743">
        <v>9.5350000000000001</v>
      </c>
      <c r="D308" s="915">
        <v>43637</v>
      </c>
      <c r="E308" s="743">
        <v>15.008599999999999</v>
      </c>
      <c r="F308" s="743">
        <v>6.0641999999999996</v>
      </c>
      <c r="G308" s="915">
        <v>43637</v>
      </c>
      <c r="H308" s="743">
        <v>3.6958000000000002</v>
      </c>
      <c r="I308" s="743">
        <v>1.0859000000000001</v>
      </c>
      <c r="J308" s="916">
        <v>-0.60099999999999998</v>
      </c>
      <c r="K308" s="916">
        <v>-0.59599999999999997</v>
      </c>
      <c r="L308" s="916">
        <v>-0.70599999999999996</v>
      </c>
    </row>
    <row r="309" spans="1:12" ht="14.5" x14ac:dyDescent="0.35">
      <c r="A309" s="915">
        <v>43630</v>
      </c>
      <c r="B309" s="743">
        <v>23.1007</v>
      </c>
      <c r="C309" s="743">
        <v>9.3503000000000007</v>
      </c>
      <c r="D309" s="915">
        <v>43630</v>
      </c>
      <c r="E309" s="743">
        <v>15.008599999999999</v>
      </c>
      <c r="F309" s="743">
        <v>6.0641999999999996</v>
      </c>
      <c r="G309" s="915">
        <v>43630</v>
      </c>
      <c r="H309" s="743">
        <v>3.5800999999999998</v>
      </c>
      <c r="I309" s="743">
        <v>1.073</v>
      </c>
      <c r="J309" s="916">
        <v>-0.59499999999999997</v>
      </c>
      <c r="K309" s="916">
        <v>-0.59599999999999997</v>
      </c>
      <c r="L309" s="916">
        <v>-0.7</v>
      </c>
    </row>
    <row r="310" spans="1:12" ht="14.5" x14ac:dyDescent="0.35">
      <c r="A310" s="915">
        <v>43623</v>
      </c>
      <c r="B310" s="743">
        <v>22.808700000000002</v>
      </c>
      <c r="C310" s="743">
        <v>9.2881</v>
      </c>
      <c r="D310" s="915">
        <v>43623</v>
      </c>
      <c r="E310" s="743">
        <v>14.991099999999999</v>
      </c>
      <c r="F310" s="743">
        <v>6.0641999999999996</v>
      </c>
      <c r="G310" s="915">
        <v>43623</v>
      </c>
      <c r="H310" s="743">
        <v>3.5510999999999999</v>
      </c>
      <c r="I310" s="743">
        <v>1.0615000000000001</v>
      </c>
      <c r="J310" s="916">
        <v>-0.59299999999999997</v>
      </c>
      <c r="K310" s="916">
        <v>-0.59499999999999997</v>
      </c>
      <c r="L310" s="916">
        <v>-0.70099999999999996</v>
      </c>
    </row>
    <row r="311" spans="1:12" ht="14.5" x14ac:dyDescent="0.35">
      <c r="A311" s="915">
        <v>43616</v>
      </c>
      <c r="B311" s="743">
        <v>21.921399999999998</v>
      </c>
      <c r="C311" s="743">
        <v>9.1327999999999996</v>
      </c>
      <c r="D311" s="915">
        <v>43616</v>
      </c>
      <c r="E311" s="743">
        <v>14.990600000000001</v>
      </c>
      <c r="F311" s="743">
        <v>6.0641999999999996</v>
      </c>
      <c r="G311" s="915">
        <v>43616</v>
      </c>
      <c r="H311" s="743">
        <v>3.4169999999999998</v>
      </c>
      <c r="I311" s="743">
        <v>1.0508</v>
      </c>
      <c r="J311" s="916">
        <v>-0.58299999999999996</v>
      </c>
      <c r="K311" s="916">
        <v>-0.59499999999999997</v>
      </c>
      <c r="L311" s="916">
        <v>-0.69199999999999995</v>
      </c>
    </row>
    <row r="312" spans="1:12" ht="14.5" x14ac:dyDescent="0.35">
      <c r="A312" s="915">
        <v>43609</v>
      </c>
      <c r="B312" s="743">
        <v>22.526599999999998</v>
      </c>
      <c r="C312" s="743">
        <v>9.1440000000000001</v>
      </c>
      <c r="D312" s="915">
        <v>43609</v>
      </c>
      <c r="E312" s="743">
        <v>12.899699999999999</v>
      </c>
      <c r="F312" s="743">
        <v>6.0641999999999996</v>
      </c>
      <c r="G312" s="915">
        <v>43609</v>
      </c>
      <c r="H312" s="743">
        <v>3.4638</v>
      </c>
      <c r="I312" s="743">
        <v>1.0516000000000001</v>
      </c>
      <c r="J312" s="916">
        <v>-0.59399999999999997</v>
      </c>
      <c r="K312" s="916">
        <v>-0.53</v>
      </c>
      <c r="L312" s="916">
        <v>-0.69599999999999995</v>
      </c>
    </row>
    <row r="313" spans="1:12" ht="14.5" x14ac:dyDescent="0.35">
      <c r="A313" s="915">
        <v>43602</v>
      </c>
      <c r="B313" s="743">
        <v>23.152100000000001</v>
      </c>
      <c r="C313" s="743">
        <v>9.1296999999999997</v>
      </c>
      <c r="D313" s="915">
        <v>43602</v>
      </c>
      <c r="E313" s="743">
        <v>12.899699999999999</v>
      </c>
      <c r="F313" s="743">
        <v>6.0641999999999996</v>
      </c>
      <c r="G313" s="915">
        <v>43602</v>
      </c>
      <c r="H313" s="743">
        <v>3.5581999999999998</v>
      </c>
      <c r="I313" s="743">
        <v>1.0506</v>
      </c>
      <c r="J313" s="916">
        <v>-0.60599999999999998</v>
      </c>
      <c r="K313" s="916">
        <v>-0.53</v>
      </c>
      <c r="L313" s="916">
        <v>-0.70499999999999996</v>
      </c>
    </row>
    <row r="314" spans="1:12" ht="14.5" x14ac:dyDescent="0.35">
      <c r="A314" s="915">
        <v>43595</v>
      </c>
      <c r="B314" s="743">
        <v>23.407699999999998</v>
      </c>
      <c r="C314" s="743">
        <v>9.1857000000000006</v>
      </c>
      <c r="D314" s="915">
        <v>43595</v>
      </c>
      <c r="E314" s="743">
        <v>12.899699999999999</v>
      </c>
      <c r="F314" s="743">
        <v>6.0004</v>
      </c>
      <c r="G314" s="915">
        <v>43595</v>
      </c>
      <c r="H314" s="743">
        <v>3.5968</v>
      </c>
      <c r="I314" s="743">
        <v>1.0619000000000001</v>
      </c>
      <c r="J314" s="916">
        <v>-0.60799999999999998</v>
      </c>
      <c r="K314" s="916">
        <v>-0.53500000000000003</v>
      </c>
      <c r="L314" s="916">
        <v>-0.70499999999999996</v>
      </c>
    </row>
    <row r="315" spans="1:12" ht="14.5" x14ac:dyDescent="0.35">
      <c r="A315" s="915">
        <v>43588</v>
      </c>
      <c r="B315" s="743">
        <v>24.2075</v>
      </c>
      <c r="C315" s="743">
        <v>9.5797000000000008</v>
      </c>
      <c r="D315" s="915">
        <v>43588</v>
      </c>
      <c r="E315" s="743">
        <v>12.899699999999999</v>
      </c>
      <c r="F315" s="743">
        <v>5.4279000000000002</v>
      </c>
      <c r="G315" s="915">
        <v>43588</v>
      </c>
      <c r="H315" s="743">
        <v>3.7174999999999998</v>
      </c>
      <c r="I315" s="743">
        <v>1.0686</v>
      </c>
      <c r="J315" s="916">
        <v>-0.60399999999999998</v>
      </c>
      <c r="K315" s="916">
        <v>-0.57899999999999996</v>
      </c>
      <c r="L315" s="916">
        <v>-0.71299999999999997</v>
      </c>
    </row>
    <row r="316" spans="1:12" ht="14.5" x14ac:dyDescent="0.35">
      <c r="A316" s="915">
        <v>43581</v>
      </c>
      <c r="B316" s="743">
        <v>24.148700000000002</v>
      </c>
      <c r="C316" s="743">
        <v>9.5006000000000004</v>
      </c>
      <c r="D316" s="915">
        <v>43581</v>
      </c>
      <c r="E316" s="743">
        <v>12.899699999999999</v>
      </c>
      <c r="F316" s="743">
        <v>5.4279000000000002</v>
      </c>
      <c r="G316" s="915">
        <v>43581</v>
      </c>
      <c r="H316" s="743">
        <v>3.7086999999999999</v>
      </c>
      <c r="I316" s="743">
        <v>1.0629999999999999</v>
      </c>
      <c r="J316" s="916">
        <v>-0.60699999999999998</v>
      </c>
      <c r="K316" s="916">
        <v>-0.57899999999999996</v>
      </c>
      <c r="L316" s="916">
        <v>-0.71299999999999997</v>
      </c>
    </row>
    <row r="317" spans="1:12" ht="14.5" x14ac:dyDescent="0.35">
      <c r="A317" s="915">
        <v>43574</v>
      </c>
      <c r="B317" s="743">
        <v>23.726099999999999</v>
      </c>
      <c r="C317" s="743">
        <v>9.6475000000000009</v>
      </c>
      <c r="D317" s="915">
        <v>43574</v>
      </c>
      <c r="E317" s="743">
        <v>12.899699999999999</v>
      </c>
      <c r="F317" s="743">
        <v>5.4279000000000002</v>
      </c>
      <c r="G317" s="915">
        <v>43574</v>
      </c>
      <c r="H317" s="743">
        <v>3.6448999999999998</v>
      </c>
      <c r="I317" s="743">
        <v>1.0733999999999999</v>
      </c>
      <c r="J317" s="916">
        <v>-0.59299999999999997</v>
      </c>
      <c r="K317" s="916">
        <v>-0.57899999999999996</v>
      </c>
      <c r="L317" s="916">
        <v>-0.70599999999999996</v>
      </c>
    </row>
    <row r="318" spans="1:12" ht="14.5" x14ac:dyDescent="0.35">
      <c r="A318" s="915">
        <v>43567</v>
      </c>
      <c r="B318" s="743">
        <v>23.540500000000002</v>
      </c>
      <c r="C318" s="743">
        <v>9.7285000000000004</v>
      </c>
      <c r="D318" s="915">
        <v>43567</v>
      </c>
      <c r="E318" s="743">
        <v>12.921099999999999</v>
      </c>
      <c r="F318" s="743">
        <v>5.4279000000000002</v>
      </c>
      <c r="G318" s="915">
        <v>43567</v>
      </c>
      <c r="H318" s="743">
        <v>3.6139000000000001</v>
      </c>
      <c r="I318" s="743">
        <v>1.0791999999999999</v>
      </c>
      <c r="J318" s="916">
        <v>-0.58699999999999997</v>
      </c>
      <c r="K318" s="916">
        <v>-0.57999999999999996</v>
      </c>
      <c r="L318" s="916">
        <v>-0.70099999999999996</v>
      </c>
    </row>
    <row r="319" spans="1:12" ht="14.5" x14ac:dyDescent="0.35">
      <c r="A319" s="915">
        <v>43560</v>
      </c>
      <c r="B319" s="743">
        <v>23.388300000000001</v>
      </c>
      <c r="C319" s="743">
        <v>9.6727000000000007</v>
      </c>
      <c r="D319" s="915">
        <v>43560</v>
      </c>
      <c r="E319" s="743">
        <v>12.921099999999999</v>
      </c>
      <c r="F319" s="743">
        <v>5.4279000000000002</v>
      </c>
      <c r="G319" s="915">
        <v>43560</v>
      </c>
      <c r="H319" s="743">
        <v>3.5910000000000002</v>
      </c>
      <c r="I319" s="743">
        <v>1.0751999999999999</v>
      </c>
      <c r="J319" s="916">
        <v>-0.58599999999999997</v>
      </c>
      <c r="K319" s="916">
        <v>-0.57999999999999996</v>
      </c>
      <c r="L319" s="916">
        <v>-0.70099999999999996</v>
      </c>
    </row>
    <row r="320" spans="1:12" ht="14.5" x14ac:dyDescent="0.35">
      <c r="A320" s="915">
        <v>43553</v>
      </c>
      <c r="B320" s="743">
        <v>22.770900000000001</v>
      </c>
      <c r="C320" s="743">
        <v>9.3177000000000003</v>
      </c>
      <c r="D320" s="915">
        <v>43553</v>
      </c>
      <c r="E320" s="743">
        <v>12.921099999999999</v>
      </c>
      <c r="F320" s="743">
        <v>5.4273999999999996</v>
      </c>
      <c r="G320" s="915">
        <v>43553</v>
      </c>
      <c r="H320" s="743">
        <v>3.4977999999999998</v>
      </c>
      <c r="I320" s="743">
        <v>1.0499000000000001</v>
      </c>
      <c r="J320" s="916">
        <v>-0.59099999999999997</v>
      </c>
      <c r="K320" s="916">
        <v>-0.57999999999999996</v>
      </c>
      <c r="L320" s="916">
        <v>-0.7</v>
      </c>
    </row>
    <row r="321" spans="1:12" ht="14.5" x14ac:dyDescent="0.35">
      <c r="A321" s="915">
        <v>43546</v>
      </c>
      <c r="B321" s="743">
        <v>22.607199999999999</v>
      </c>
      <c r="C321" s="743">
        <v>9.5579999999999998</v>
      </c>
      <c r="D321" s="915">
        <v>43546</v>
      </c>
      <c r="E321" s="743">
        <v>12.9213</v>
      </c>
      <c r="F321" s="743">
        <v>5.4273999999999996</v>
      </c>
      <c r="G321" s="915">
        <v>43546</v>
      </c>
      <c r="H321" s="743">
        <v>3.4733000000000001</v>
      </c>
      <c r="I321" s="743">
        <v>1.0667</v>
      </c>
      <c r="J321" s="916">
        <v>-0.57699999999999996</v>
      </c>
      <c r="K321" s="916">
        <v>-0.57999999999999996</v>
      </c>
      <c r="L321" s="916">
        <v>-0.69299999999999995</v>
      </c>
    </row>
    <row r="322" spans="1:12" ht="14.5" x14ac:dyDescent="0.35">
      <c r="A322" s="915">
        <v>43539</v>
      </c>
      <c r="B322" s="743">
        <v>22.551200000000001</v>
      </c>
      <c r="C322" s="743">
        <v>9.3303999999999991</v>
      </c>
      <c r="D322" s="915">
        <v>43539</v>
      </c>
      <c r="E322" s="743">
        <v>12.9213</v>
      </c>
      <c r="F322" s="743">
        <v>5.4600999999999997</v>
      </c>
      <c r="G322" s="915">
        <v>43539</v>
      </c>
      <c r="H322" s="743">
        <v>3.5137999999999998</v>
      </c>
      <c r="I322" s="743">
        <v>1.0678000000000001</v>
      </c>
      <c r="J322" s="916">
        <v>-0.58599999999999997</v>
      </c>
      <c r="K322" s="916">
        <v>-0.57699999999999996</v>
      </c>
      <c r="L322" s="916">
        <v>-0.69599999999999995</v>
      </c>
    </row>
    <row r="323" spans="1:12" ht="14.5" x14ac:dyDescent="0.35">
      <c r="A323" s="915">
        <v>43532</v>
      </c>
      <c r="B323" s="743">
        <v>21.7562</v>
      </c>
      <c r="C323" s="743">
        <v>8.2370000000000001</v>
      </c>
      <c r="D323" s="915">
        <v>43532</v>
      </c>
      <c r="E323" s="743">
        <v>15.374700000000001</v>
      </c>
      <c r="F323" s="743">
        <v>5.6094999999999997</v>
      </c>
      <c r="G323" s="915">
        <v>43532</v>
      </c>
      <c r="H323" s="743">
        <v>3.3618000000000001</v>
      </c>
      <c r="I323" s="743">
        <v>1.0638000000000001</v>
      </c>
      <c r="J323" s="916">
        <v>-0.621</v>
      </c>
      <c r="K323" s="916">
        <v>-0.63500000000000001</v>
      </c>
      <c r="L323" s="916">
        <v>-0.68400000000000005</v>
      </c>
    </row>
    <row r="324" spans="1:12" ht="14.5" x14ac:dyDescent="0.35">
      <c r="A324" s="915">
        <v>43525</v>
      </c>
      <c r="B324" s="743">
        <v>22.177600000000002</v>
      </c>
      <c r="C324" s="743">
        <v>8.5298999999999996</v>
      </c>
      <c r="D324" s="915">
        <v>43525</v>
      </c>
      <c r="E324" s="743">
        <v>15.374700000000001</v>
      </c>
      <c r="F324" s="743">
        <v>5.5548999999999999</v>
      </c>
      <c r="G324" s="915">
        <v>43525</v>
      </c>
      <c r="H324" s="743">
        <v>3.4264999999999999</v>
      </c>
      <c r="I324" s="743">
        <v>1.0589</v>
      </c>
      <c r="J324" s="916">
        <v>-0.61499999999999999</v>
      </c>
      <c r="K324" s="916">
        <v>-0.63900000000000001</v>
      </c>
      <c r="L324" s="916">
        <v>-0.69099999999999995</v>
      </c>
    </row>
    <row r="325" spans="1:12" ht="14.5" x14ac:dyDescent="0.35">
      <c r="A325" s="915">
        <v>43518</v>
      </c>
      <c r="B325" s="743">
        <v>21.988600000000002</v>
      </c>
      <c r="C325" s="743">
        <v>8.0815999999999999</v>
      </c>
      <c r="D325" s="915">
        <v>43518</v>
      </c>
      <c r="E325" s="743">
        <v>15.374700000000001</v>
      </c>
      <c r="F325" s="743">
        <v>5.4702000000000002</v>
      </c>
      <c r="G325" s="915">
        <v>43518</v>
      </c>
      <c r="H325" s="743">
        <v>3.3975</v>
      </c>
      <c r="I325" s="743">
        <v>1.0699000000000001</v>
      </c>
      <c r="J325" s="916">
        <v>-0.63200000000000001</v>
      </c>
      <c r="K325" s="916">
        <v>-0.64400000000000002</v>
      </c>
      <c r="L325" s="916">
        <v>-0.68500000000000005</v>
      </c>
    </row>
    <row r="326" spans="1:12" ht="14.5" x14ac:dyDescent="0.35">
      <c r="A326" s="915">
        <v>43511</v>
      </c>
      <c r="B326" s="743">
        <v>21.878699999999998</v>
      </c>
      <c r="C326" s="743">
        <v>7.9272</v>
      </c>
      <c r="D326" s="915">
        <v>43511</v>
      </c>
      <c r="E326" s="743">
        <v>15.3576</v>
      </c>
      <c r="F326" s="743">
        <v>5.4707999999999997</v>
      </c>
      <c r="G326" s="915">
        <v>43511</v>
      </c>
      <c r="H326" s="743">
        <v>3.3805999999999998</v>
      </c>
      <c r="I326" s="743">
        <v>1.0622</v>
      </c>
      <c r="J326" s="916">
        <v>-0.63800000000000001</v>
      </c>
      <c r="K326" s="916">
        <v>-0.64400000000000002</v>
      </c>
      <c r="L326" s="916">
        <v>-0.68600000000000005</v>
      </c>
    </row>
    <row r="327" spans="1:12" ht="14.5" x14ac:dyDescent="0.35">
      <c r="A327" s="915">
        <v>43504</v>
      </c>
      <c r="B327" s="743">
        <v>21.438199999999998</v>
      </c>
      <c r="C327" s="743">
        <v>8.0754999999999999</v>
      </c>
      <c r="D327" s="915">
        <v>43504</v>
      </c>
      <c r="E327" s="743">
        <v>15.3576</v>
      </c>
      <c r="F327" s="743">
        <v>4.7619999999999996</v>
      </c>
      <c r="G327" s="915">
        <v>43504</v>
      </c>
      <c r="H327" s="743">
        <v>3.3130999999999999</v>
      </c>
      <c r="I327" s="743">
        <v>0.93300000000000005</v>
      </c>
      <c r="J327" s="916">
        <v>-0.623</v>
      </c>
      <c r="K327" s="916">
        <v>-0.69</v>
      </c>
      <c r="L327" s="916">
        <v>-0.71799999999999997</v>
      </c>
    </row>
    <row r="328" spans="1:12" ht="14.5" x14ac:dyDescent="0.35">
      <c r="A328" s="915">
        <v>43497</v>
      </c>
      <c r="B328" s="743">
        <v>21.3216</v>
      </c>
      <c r="C328" s="743">
        <v>9.3571000000000009</v>
      </c>
      <c r="D328" s="915">
        <v>43497</v>
      </c>
      <c r="E328" s="743">
        <v>15.3576</v>
      </c>
      <c r="F328" s="743">
        <v>5.8935000000000004</v>
      </c>
      <c r="G328" s="915">
        <v>43497</v>
      </c>
      <c r="H328" s="743">
        <v>3.2963</v>
      </c>
      <c r="I328" s="743">
        <v>1.0686</v>
      </c>
      <c r="J328" s="916">
        <v>-0.56100000000000005</v>
      </c>
      <c r="K328" s="916">
        <v>-0.61599999999999999</v>
      </c>
      <c r="L328" s="916">
        <v>-0.67600000000000005</v>
      </c>
    </row>
    <row r="329" spans="1:12" ht="14.5" x14ac:dyDescent="0.35">
      <c r="A329" s="915">
        <v>43490</v>
      </c>
      <c r="B329" s="743">
        <v>21.048200000000001</v>
      </c>
      <c r="C329" s="743">
        <v>9.2159999999999993</v>
      </c>
      <c r="D329" s="915">
        <v>43490</v>
      </c>
      <c r="E329" s="743">
        <v>15.351599999999999</v>
      </c>
      <c r="F329" s="743">
        <v>5.8902000000000001</v>
      </c>
      <c r="G329" s="915">
        <v>43490</v>
      </c>
      <c r="H329" s="743">
        <v>3.2544</v>
      </c>
      <c r="I329" s="743">
        <v>1.0583</v>
      </c>
      <c r="J329" s="916">
        <v>-0.56200000000000006</v>
      </c>
      <c r="K329" s="916">
        <v>-0.61599999999999999</v>
      </c>
      <c r="L329" s="916">
        <v>-0.67500000000000004</v>
      </c>
    </row>
    <row r="330" spans="1:12" ht="14.5" x14ac:dyDescent="0.35">
      <c r="A330" s="915">
        <v>43483</v>
      </c>
      <c r="B330" s="743">
        <v>21.0396</v>
      </c>
      <c r="C330" s="743">
        <v>8.9497</v>
      </c>
      <c r="D330" s="915">
        <v>43483</v>
      </c>
      <c r="E330" s="743">
        <v>15.3514</v>
      </c>
      <c r="F330" s="743">
        <v>5.8901000000000003</v>
      </c>
      <c r="G330" s="915">
        <v>43483</v>
      </c>
      <c r="H330" s="743">
        <v>3.2530999999999999</v>
      </c>
      <c r="I330" s="743">
        <v>1.0389999999999999</v>
      </c>
      <c r="J330" s="916">
        <v>-0.57499999999999996</v>
      </c>
      <c r="K330" s="916">
        <v>-0.61599999999999999</v>
      </c>
      <c r="L330" s="916">
        <v>-0.68100000000000005</v>
      </c>
    </row>
    <row r="331" spans="1:12" ht="14.5" x14ac:dyDescent="0.35">
      <c r="A331" s="915">
        <v>43476</v>
      </c>
      <c r="B331" s="743">
        <v>20.471499999999999</v>
      </c>
      <c r="C331" s="743">
        <v>8.7136999999999993</v>
      </c>
      <c r="D331" s="915">
        <v>43476</v>
      </c>
      <c r="E331" s="743">
        <v>15.3497</v>
      </c>
      <c r="F331" s="743">
        <v>5.8898999999999999</v>
      </c>
      <c r="G331" s="915">
        <v>43476</v>
      </c>
      <c r="H331" s="743">
        <v>3.1659000000000002</v>
      </c>
      <c r="I331" s="743">
        <v>1.0217000000000001</v>
      </c>
      <c r="J331" s="916">
        <v>-0.57399999999999995</v>
      </c>
      <c r="K331" s="916">
        <v>-0.61599999999999999</v>
      </c>
      <c r="L331" s="916">
        <v>-0.67700000000000005</v>
      </c>
    </row>
    <row r="332" spans="1:12" ht="14.5" x14ac:dyDescent="0.35">
      <c r="A332" s="915">
        <v>43469</v>
      </c>
      <c r="B332" s="743">
        <v>19.917200000000001</v>
      </c>
      <c r="C332" s="743">
        <v>8.3989999999999991</v>
      </c>
      <c r="D332" s="915">
        <v>43469</v>
      </c>
      <c r="E332" s="743">
        <v>15.3497</v>
      </c>
      <c r="F332" s="743">
        <v>5.8898000000000001</v>
      </c>
      <c r="G332" s="915">
        <v>43469</v>
      </c>
      <c r="H332" s="743">
        <v>3.0809000000000002</v>
      </c>
      <c r="I332" s="743">
        <v>0.99860000000000004</v>
      </c>
      <c r="J332" s="916">
        <v>-0.57799999999999996</v>
      </c>
      <c r="K332" s="916">
        <v>-0.61599999999999999</v>
      </c>
      <c r="L332" s="916">
        <v>-0.67600000000000005</v>
      </c>
    </row>
    <row r="333" spans="1:12" ht="14.5" x14ac:dyDescent="0.35">
      <c r="A333" s="915">
        <v>43462</v>
      </c>
      <c r="B333" s="743">
        <v>19.491099999999999</v>
      </c>
      <c r="C333" s="743">
        <v>8.5360999999999994</v>
      </c>
      <c r="D333" s="915">
        <v>43462</v>
      </c>
      <c r="E333" s="743">
        <v>15.3697</v>
      </c>
      <c r="F333" s="743">
        <v>5.8905000000000003</v>
      </c>
      <c r="G333" s="915">
        <v>43462</v>
      </c>
      <c r="H333" s="743">
        <v>3.0154999999999998</v>
      </c>
      <c r="I333" s="743">
        <v>1.0065999999999999</v>
      </c>
      <c r="J333" s="916">
        <v>-0.56200000000000006</v>
      </c>
      <c r="K333" s="916">
        <v>-0.61699999999999999</v>
      </c>
      <c r="L333" s="916">
        <v>-0.66600000000000004</v>
      </c>
    </row>
    <row r="334" spans="1:12" ht="14.5" x14ac:dyDescent="0.35">
      <c r="A334" s="915">
        <v>43455</v>
      </c>
      <c r="B334" s="743">
        <v>18.750900000000001</v>
      </c>
      <c r="C334" s="743">
        <v>8.6379000000000001</v>
      </c>
      <c r="D334" s="915">
        <v>43455</v>
      </c>
      <c r="E334" s="743">
        <v>15.3697</v>
      </c>
      <c r="F334" s="743">
        <v>5.8902999999999999</v>
      </c>
      <c r="G334" s="915">
        <v>43455</v>
      </c>
      <c r="H334" s="743">
        <v>2.9203000000000001</v>
      </c>
      <c r="I334" s="743">
        <v>1.0143</v>
      </c>
      <c r="J334" s="916">
        <v>-0.53900000000000003</v>
      </c>
      <c r="K334" s="916">
        <v>-0.61699999999999999</v>
      </c>
      <c r="L334" s="916">
        <v>-0.65300000000000002</v>
      </c>
    </row>
    <row r="335" spans="1:12" ht="14.5" x14ac:dyDescent="0.35">
      <c r="A335" s="915">
        <v>43448</v>
      </c>
      <c r="B335" s="743">
        <v>20.453600000000002</v>
      </c>
      <c r="C335" s="743">
        <v>8.6550999999999991</v>
      </c>
      <c r="D335" s="915">
        <v>43448</v>
      </c>
      <c r="E335" s="743">
        <v>15.3695</v>
      </c>
      <c r="F335" s="743">
        <v>5.8895</v>
      </c>
      <c r="G335" s="915">
        <v>43448</v>
      </c>
      <c r="H335" s="743">
        <v>3.1829000000000001</v>
      </c>
      <c r="I335" s="743">
        <v>1.0156000000000001</v>
      </c>
      <c r="J335" s="916">
        <v>-0.57699999999999996</v>
      </c>
      <c r="K335" s="916">
        <v>-0.61699999999999999</v>
      </c>
      <c r="L335" s="916">
        <v>-0.68100000000000005</v>
      </c>
    </row>
    <row r="336" spans="1:12" ht="14.5" x14ac:dyDescent="0.35">
      <c r="A336" s="915">
        <v>43441</v>
      </c>
      <c r="B336" s="743">
        <v>20.510400000000001</v>
      </c>
      <c r="C336" s="743">
        <v>8.7630999999999997</v>
      </c>
      <c r="D336" s="915">
        <v>43441</v>
      </c>
      <c r="E336" s="743">
        <v>15.3721</v>
      </c>
      <c r="F336" s="743">
        <v>5.8891</v>
      </c>
      <c r="G336" s="915">
        <v>43441</v>
      </c>
      <c r="H336" s="743">
        <v>3.1919</v>
      </c>
      <c r="I336" s="743">
        <v>1.0233000000000001</v>
      </c>
      <c r="J336" s="916">
        <v>-0.57299999999999995</v>
      </c>
      <c r="K336" s="916">
        <v>-0.61699999999999999</v>
      </c>
      <c r="L336" s="916">
        <v>-0.67900000000000005</v>
      </c>
    </row>
    <row r="337" spans="1:12" ht="14.5" x14ac:dyDescent="0.35">
      <c r="A337" s="915">
        <v>43434</v>
      </c>
      <c r="B337" s="743">
        <v>23.482900000000001</v>
      </c>
      <c r="C337" s="743">
        <v>8.8688000000000002</v>
      </c>
      <c r="D337" s="915">
        <v>43434</v>
      </c>
      <c r="E337" s="743">
        <v>14.804</v>
      </c>
      <c r="F337" s="743">
        <v>5.8891999999999998</v>
      </c>
      <c r="G337" s="915">
        <v>43434</v>
      </c>
      <c r="H337" s="743">
        <v>3.5255000000000001</v>
      </c>
      <c r="I337" s="743">
        <v>1.0308999999999999</v>
      </c>
      <c r="J337" s="916">
        <v>-0.622</v>
      </c>
      <c r="K337" s="916">
        <v>-0.60199999999999998</v>
      </c>
      <c r="L337" s="916">
        <v>-0.70799999999999996</v>
      </c>
    </row>
    <row r="338" spans="1:12" ht="14.5" x14ac:dyDescent="0.35">
      <c r="A338" s="915">
        <v>43427</v>
      </c>
      <c r="B338" s="743">
        <v>22.058</v>
      </c>
      <c r="C338" s="743">
        <v>8.7126000000000001</v>
      </c>
      <c r="D338" s="915">
        <v>43427</v>
      </c>
      <c r="E338" s="743">
        <v>14.804</v>
      </c>
      <c r="F338" s="743">
        <v>5.8891</v>
      </c>
      <c r="G338" s="915">
        <v>43427</v>
      </c>
      <c r="H338" s="743">
        <v>3.3119999999999998</v>
      </c>
      <c r="I338" s="743">
        <v>1.0194000000000001</v>
      </c>
      <c r="J338" s="916">
        <v>-0.60499999999999998</v>
      </c>
      <c r="K338" s="916">
        <v>-0.60199999999999998</v>
      </c>
      <c r="L338" s="916">
        <v>-0.69199999999999995</v>
      </c>
    </row>
    <row r="339" spans="1:12" ht="14.5" x14ac:dyDescent="0.35">
      <c r="A339" s="915">
        <v>43420</v>
      </c>
      <c r="B339" s="743">
        <v>23.2058</v>
      </c>
      <c r="C339" s="743">
        <v>8.9052000000000007</v>
      </c>
      <c r="D339" s="915">
        <v>43420</v>
      </c>
      <c r="E339" s="743">
        <v>14.803900000000001</v>
      </c>
      <c r="F339" s="743">
        <v>5.8441000000000001</v>
      </c>
      <c r="G339" s="915">
        <v>43420</v>
      </c>
      <c r="H339" s="743">
        <v>3.4762</v>
      </c>
      <c r="I339" s="743">
        <v>1.0336000000000001</v>
      </c>
      <c r="J339" s="916">
        <v>-0.61599999999999999</v>
      </c>
      <c r="K339" s="916">
        <v>-0.60499999999999998</v>
      </c>
      <c r="L339" s="916">
        <v>-0.70299999999999996</v>
      </c>
    </row>
    <row r="340" spans="1:12" ht="14.5" x14ac:dyDescent="0.35">
      <c r="A340" s="915">
        <v>43413</v>
      </c>
      <c r="B340" s="743">
        <v>23.723099999999999</v>
      </c>
      <c r="C340" s="743">
        <v>8.7767999999999997</v>
      </c>
      <c r="D340" s="915">
        <v>43413</v>
      </c>
      <c r="E340" s="743">
        <v>14.7904</v>
      </c>
      <c r="F340" s="743">
        <v>6.2644000000000002</v>
      </c>
      <c r="G340" s="915">
        <v>43413</v>
      </c>
      <c r="H340" s="743">
        <v>3.5687000000000002</v>
      </c>
      <c r="I340" s="743">
        <v>1.0598000000000001</v>
      </c>
      <c r="J340" s="916">
        <v>-0.63</v>
      </c>
      <c r="K340" s="916">
        <v>-0.57599999999999996</v>
      </c>
      <c r="L340" s="916">
        <v>-0.70299999999999996</v>
      </c>
    </row>
    <row r="341" spans="1:12" ht="14.5" x14ac:dyDescent="0.35">
      <c r="A341" s="915">
        <v>43406</v>
      </c>
      <c r="B341" s="743">
        <v>23.473099999999999</v>
      </c>
      <c r="C341" s="743">
        <v>9.2376000000000005</v>
      </c>
      <c r="D341" s="915">
        <v>43406</v>
      </c>
      <c r="E341" s="743">
        <v>14.7872</v>
      </c>
      <c r="F341" s="743">
        <v>6.1260000000000003</v>
      </c>
      <c r="G341" s="915">
        <v>43406</v>
      </c>
      <c r="H341" s="743">
        <v>3.5266999999999999</v>
      </c>
      <c r="I341" s="743">
        <v>1.0609999999999999</v>
      </c>
      <c r="J341" s="916">
        <v>-0.60599999999999998</v>
      </c>
      <c r="K341" s="916">
        <v>-0.58599999999999997</v>
      </c>
      <c r="L341" s="916">
        <v>-0.69899999999999995</v>
      </c>
    </row>
    <row r="342" spans="1:12" ht="14.5" x14ac:dyDescent="0.35">
      <c r="A342" s="915">
        <v>43399</v>
      </c>
      <c r="B342" s="743">
        <v>23.092600000000001</v>
      </c>
      <c r="C342" s="743">
        <v>8.8948999999999998</v>
      </c>
      <c r="D342" s="915">
        <v>43399</v>
      </c>
      <c r="E342" s="743">
        <v>14.7814</v>
      </c>
      <c r="F342" s="743">
        <v>6.1258999999999997</v>
      </c>
      <c r="G342" s="915">
        <v>43399</v>
      </c>
      <c r="H342" s="743">
        <v>3.4697</v>
      </c>
      <c r="I342" s="743">
        <v>1.0361</v>
      </c>
      <c r="J342" s="916">
        <v>-0.61499999999999999</v>
      </c>
      <c r="K342" s="916">
        <v>-0.58599999999999997</v>
      </c>
      <c r="L342" s="916">
        <v>-0.70099999999999996</v>
      </c>
    </row>
    <row r="343" spans="1:12" ht="14.5" x14ac:dyDescent="0.35">
      <c r="A343" s="915">
        <v>43392</v>
      </c>
      <c r="B343" s="743">
        <v>23.9513</v>
      </c>
      <c r="C343" s="743">
        <v>9.4184000000000001</v>
      </c>
      <c r="D343" s="915">
        <v>43392</v>
      </c>
      <c r="E343" s="743">
        <v>14.7811</v>
      </c>
      <c r="F343" s="743">
        <v>6.1246999999999998</v>
      </c>
      <c r="G343" s="915">
        <v>43392</v>
      </c>
      <c r="H343" s="743">
        <v>3.5985</v>
      </c>
      <c r="I343" s="743">
        <v>1.0742</v>
      </c>
      <c r="J343" s="916">
        <v>-0.60699999999999998</v>
      </c>
      <c r="K343" s="916">
        <v>-0.58599999999999997</v>
      </c>
      <c r="L343" s="916">
        <v>-0.70099999999999996</v>
      </c>
    </row>
    <row r="344" spans="1:12" ht="14.5" x14ac:dyDescent="0.35">
      <c r="A344" s="915">
        <v>43385</v>
      </c>
      <c r="B344" s="743">
        <v>24.119399999999999</v>
      </c>
      <c r="C344" s="743">
        <v>9.4451000000000001</v>
      </c>
      <c r="D344" s="915">
        <v>43385</v>
      </c>
      <c r="E344" s="743">
        <v>14.7791</v>
      </c>
      <c r="F344" s="743">
        <v>6.1246</v>
      </c>
      <c r="G344" s="915">
        <v>43385</v>
      </c>
      <c r="H344" s="743">
        <v>3.6236999999999999</v>
      </c>
      <c r="I344" s="743">
        <v>1.0760000000000001</v>
      </c>
      <c r="J344" s="916">
        <v>-0.60799999999999998</v>
      </c>
      <c r="K344" s="916">
        <v>-0.58599999999999997</v>
      </c>
      <c r="L344" s="916">
        <v>-0.70299999999999996</v>
      </c>
    </row>
    <row r="345" spans="1:12" ht="14.5" x14ac:dyDescent="0.35">
      <c r="A345" s="915">
        <v>43378</v>
      </c>
      <c r="B345" s="743">
        <v>24.934200000000001</v>
      </c>
      <c r="C345" s="743">
        <v>9.8188999999999993</v>
      </c>
      <c r="D345" s="915">
        <v>43378</v>
      </c>
      <c r="E345" s="743">
        <v>14.7783</v>
      </c>
      <c r="F345" s="743">
        <v>6.1239999999999997</v>
      </c>
      <c r="G345" s="915">
        <v>43378</v>
      </c>
      <c r="H345" s="743">
        <v>3.7458999999999998</v>
      </c>
      <c r="I345" s="743">
        <v>1.1028</v>
      </c>
      <c r="J345" s="916">
        <v>-0.60599999999999998</v>
      </c>
      <c r="K345" s="916">
        <v>-0.58599999999999997</v>
      </c>
      <c r="L345" s="916">
        <v>-0.70599999999999996</v>
      </c>
    </row>
    <row r="346" spans="1:12" ht="14.5" x14ac:dyDescent="0.35">
      <c r="A346" s="915">
        <v>43371</v>
      </c>
      <c r="B346" s="743">
        <v>25.716100000000001</v>
      </c>
      <c r="C346" s="743">
        <v>10.1334</v>
      </c>
      <c r="D346" s="915">
        <v>43371</v>
      </c>
      <c r="E346" s="743">
        <v>14.7851</v>
      </c>
      <c r="F346" s="743">
        <v>6.1245000000000003</v>
      </c>
      <c r="G346" s="915">
        <v>43371</v>
      </c>
      <c r="H346" s="743">
        <v>3.8633000000000002</v>
      </c>
      <c r="I346" s="743">
        <v>1.1236999999999999</v>
      </c>
      <c r="J346" s="916">
        <v>-0.60599999999999998</v>
      </c>
      <c r="K346" s="916">
        <v>-0.58599999999999997</v>
      </c>
      <c r="L346" s="916">
        <v>-0.70899999999999996</v>
      </c>
    </row>
    <row r="347" spans="1:12" ht="14.5" x14ac:dyDescent="0.35">
      <c r="A347" s="915">
        <v>43364</v>
      </c>
      <c r="B347" s="743">
        <v>25.3904</v>
      </c>
      <c r="C347" s="743">
        <v>10.144500000000001</v>
      </c>
      <c r="D347" s="915">
        <v>43364</v>
      </c>
      <c r="E347" s="743">
        <v>14.785600000000001</v>
      </c>
      <c r="F347" s="743">
        <v>6.1245000000000003</v>
      </c>
      <c r="G347" s="915">
        <v>43364</v>
      </c>
      <c r="H347" s="743">
        <v>3.8300999999999998</v>
      </c>
      <c r="I347" s="743">
        <v>1.1245000000000001</v>
      </c>
      <c r="J347" s="916">
        <v>-0.6</v>
      </c>
      <c r="K347" s="916">
        <v>-0.58599999999999997</v>
      </c>
      <c r="L347" s="916">
        <v>-0.70599999999999996</v>
      </c>
    </row>
    <row r="348" spans="1:12" ht="14.5" x14ac:dyDescent="0.35">
      <c r="A348" s="915">
        <v>43357</v>
      </c>
      <c r="B348" s="743">
        <v>25.439</v>
      </c>
      <c r="C348" s="743">
        <v>10.0052</v>
      </c>
      <c r="D348" s="915">
        <v>43357</v>
      </c>
      <c r="E348" s="743">
        <v>14.786</v>
      </c>
      <c r="F348" s="743">
        <v>6.1241000000000003</v>
      </c>
      <c r="G348" s="915">
        <v>43357</v>
      </c>
      <c r="H348" s="743">
        <v>3.8374999999999999</v>
      </c>
      <c r="I348" s="743">
        <v>1.1138999999999999</v>
      </c>
      <c r="J348" s="916">
        <v>-0.60699999999999998</v>
      </c>
      <c r="K348" s="916">
        <v>-0.58599999999999997</v>
      </c>
      <c r="L348" s="916">
        <v>-0.71</v>
      </c>
    </row>
    <row r="349" spans="1:12" ht="14.5" x14ac:dyDescent="0.35">
      <c r="A349" s="915">
        <v>43350</v>
      </c>
      <c r="B349" s="743">
        <v>25.050699999999999</v>
      </c>
      <c r="C349" s="743">
        <v>9.8665000000000003</v>
      </c>
      <c r="D349" s="915">
        <v>43350</v>
      </c>
      <c r="E349" s="743">
        <v>14.786300000000001</v>
      </c>
      <c r="F349" s="743">
        <v>6.1241000000000003</v>
      </c>
      <c r="G349" s="915">
        <v>43350</v>
      </c>
      <c r="H349" s="743">
        <v>3.7789999999999999</v>
      </c>
      <c r="I349" s="743">
        <v>1.1037999999999999</v>
      </c>
      <c r="J349" s="916">
        <v>-0.60599999999999998</v>
      </c>
      <c r="K349" s="916">
        <v>-0.58599999999999997</v>
      </c>
      <c r="L349" s="916">
        <v>-0.70799999999999996</v>
      </c>
    </row>
    <row r="350" spans="1:12" ht="14.5" x14ac:dyDescent="0.35">
      <c r="A350" s="915">
        <v>43343</v>
      </c>
      <c r="B350" s="743">
        <v>25.710599999999999</v>
      </c>
      <c r="C350" s="743">
        <v>10.135999999999999</v>
      </c>
      <c r="D350" s="915">
        <v>43343</v>
      </c>
      <c r="E350" s="743">
        <v>14.7598</v>
      </c>
      <c r="F350" s="743">
        <v>6.1233000000000004</v>
      </c>
      <c r="G350" s="915">
        <v>43343</v>
      </c>
      <c r="H350" s="743">
        <v>3.8915000000000002</v>
      </c>
      <c r="I350" s="743">
        <v>1.1233</v>
      </c>
      <c r="J350" s="916">
        <v>-0.60599999999999998</v>
      </c>
      <c r="K350" s="916">
        <v>-0.58499999999999996</v>
      </c>
      <c r="L350" s="916">
        <v>-0.71099999999999997</v>
      </c>
    </row>
    <row r="351" spans="1:12" ht="14.5" x14ac:dyDescent="0.35">
      <c r="A351" s="915">
        <v>43336</v>
      </c>
      <c r="B351" s="743">
        <v>25.138999999999999</v>
      </c>
      <c r="C351" s="743">
        <v>9.9736999999999991</v>
      </c>
      <c r="D351" s="915">
        <v>43336</v>
      </c>
      <c r="E351" s="743">
        <v>14.756500000000001</v>
      </c>
      <c r="F351" s="743">
        <v>6.1233000000000004</v>
      </c>
      <c r="G351" s="915">
        <v>43336</v>
      </c>
      <c r="H351" s="743">
        <v>3.8054999999999999</v>
      </c>
      <c r="I351" s="743">
        <v>1.1115999999999999</v>
      </c>
      <c r="J351" s="916">
        <v>-0.60299999999999998</v>
      </c>
      <c r="K351" s="916">
        <v>-0.58499999999999996</v>
      </c>
      <c r="L351" s="916">
        <v>-0.70799999999999996</v>
      </c>
    </row>
    <row r="352" spans="1:12" ht="14.5" x14ac:dyDescent="0.35">
      <c r="A352" s="915">
        <v>43329</v>
      </c>
      <c r="B352" s="743">
        <v>24.758700000000001</v>
      </c>
      <c r="C352" s="743">
        <v>9.7283000000000008</v>
      </c>
      <c r="D352" s="915">
        <v>43329</v>
      </c>
      <c r="E352" s="743">
        <v>14.739100000000001</v>
      </c>
      <c r="F352" s="743">
        <v>6.1231999999999998</v>
      </c>
      <c r="G352" s="915">
        <v>43329</v>
      </c>
      <c r="H352" s="743">
        <v>3.7507000000000001</v>
      </c>
      <c r="I352" s="743">
        <v>1.0938000000000001</v>
      </c>
      <c r="J352" s="916">
        <v>-0.60699999999999998</v>
      </c>
      <c r="K352" s="916">
        <v>-0.58499999999999996</v>
      </c>
      <c r="L352" s="916">
        <v>-0.70799999999999996</v>
      </c>
    </row>
    <row r="353" spans="1:12" ht="14.5" x14ac:dyDescent="0.35">
      <c r="A353" s="915">
        <v>43322</v>
      </c>
      <c r="B353" s="743">
        <v>24.735399999999998</v>
      </c>
      <c r="C353" s="743">
        <v>9.4754000000000005</v>
      </c>
      <c r="D353" s="915">
        <v>43322</v>
      </c>
      <c r="E353" s="743">
        <v>14.663600000000001</v>
      </c>
      <c r="F353" s="743">
        <v>6.2962999999999996</v>
      </c>
      <c r="G353" s="915">
        <v>43322</v>
      </c>
      <c r="H353" s="743">
        <v>3.77</v>
      </c>
      <c r="I353" s="743">
        <v>1.1168</v>
      </c>
      <c r="J353" s="916">
        <v>-0.61699999999999999</v>
      </c>
      <c r="K353" s="916">
        <v>-0.57099999999999995</v>
      </c>
      <c r="L353" s="916">
        <v>-0.70399999999999996</v>
      </c>
    </row>
    <row r="354" spans="1:12" ht="14.5" x14ac:dyDescent="0.35">
      <c r="A354" s="915">
        <v>43315</v>
      </c>
      <c r="B354" s="743">
        <v>24.715499999999999</v>
      </c>
      <c r="C354" s="743">
        <v>10.1447</v>
      </c>
      <c r="D354" s="915">
        <v>43315</v>
      </c>
      <c r="E354" s="743">
        <v>14.593</v>
      </c>
      <c r="F354" s="743">
        <v>6.4229000000000003</v>
      </c>
      <c r="G354" s="915">
        <v>43315</v>
      </c>
      <c r="H354" s="743">
        <v>3.7679999999999998</v>
      </c>
      <c r="I354" s="743">
        <v>1.1194</v>
      </c>
      <c r="J354" s="916">
        <v>-0.59</v>
      </c>
      <c r="K354" s="916">
        <v>-0.56000000000000005</v>
      </c>
      <c r="L354" s="916">
        <v>-0.70299999999999996</v>
      </c>
    </row>
    <row r="355" spans="1:12" ht="14.5" x14ac:dyDescent="0.35">
      <c r="A355" s="915">
        <v>43308</v>
      </c>
      <c r="B355" s="743">
        <v>25.850899999999999</v>
      </c>
      <c r="C355" s="743">
        <v>10.2348</v>
      </c>
      <c r="D355" s="915">
        <v>43308</v>
      </c>
      <c r="E355" s="743">
        <v>14.2529</v>
      </c>
      <c r="F355" s="743">
        <v>6.4226999999999999</v>
      </c>
      <c r="G355" s="915">
        <v>43308</v>
      </c>
      <c r="H355" s="743">
        <v>3.8056999999999999</v>
      </c>
      <c r="I355" s="743">
        <v>1.1259999999999999</v>
      </c>
      <c r="J355" s="916">
        <v>-0.60399999999999998</v>
      </c>
      <c r="K355" s="916">
        <v>-0.54900000000000004</v>
      </c>
      <c r="L355" s="916">
        <v>-0.70399999999999996</v>
      </c>
    </row>
    <row r="356" spans="1:12" ht="14.5" x14ac:dyDescent="0.35">
      <c r="A356" s="915">
        <v>43301</v>
      </c>
      <c r="B356" s="743">
        <v>26.040199999999999</v>
      </c>
      <c r="C356" s="743">
        <v>10.2262</v>
      </c>
      <c r="D356" s="915">
        <v>43301</v>
      </c>
      <c r="E356" s="743">
        <v>14.2529</v>
      </c>
      <c r="F356" s="743">
        <v>6.4222000000000001</v>
      </c>
      <c r="G356" s="915">
        <v>43301</v>
      </c>
      <c r="H356" s="743">
        <v>3.7624</v>
      </c>
      <c r="I356" s="743">
        <v>1.1254</v>
      </c>
      <c r="J356" s="916">
        <v>-0.60699999999999998</v>
      </c>
      <c r="K356" s="916">
        <v>-0.54900000000000004</v>
      </c>
      <c r="L356" s="916">
        <v>-0.70099999999999996</v>
      </c>
    </row>
    <row r="357" spans="1:12" ht="14.5" x14ac:dyDescent="0.35">
      <c r="A357" s="915">
        <v>43294</v>
      </c>
      <c r="B357" s="743">
        <v>26.1309</v>
      </c>
      <c r="C357" s="743">
        <v>10.2605</v>
      </c>
      <c r="D357" s="915">
        <v>43294</v>
      </c>
      <c r="E357" s="743">
        <v>14.252800000000001</v>
      </c>
      <c r="F357" s="743">
        <v>6.4222999999999999</v>
      </c>
      <c r="G357" s="915">
        <v>43294</v>
      </c>
      <c r="H357" s="743">
        <v>3.7755000000000001</v>
      </c>
      <c r="I357" s="743">
        <v>1.1299999999999999</v>
      </c>
      <c r="J357" s="916">
        <v>-0.60699999999999998</v>
      </c>
      <c r="K357" s="916">
        <v>-0.54900000000000004</v>
      </c>
      <c r="L357" s="916">
        <v>-0.70099999999999996</v>
      </c>
    </row>
    <row r="358" spans="1:12" ht="14.5" x14ac:dyDescent="0.35">
      <c r="A358" s="915">
        <v>43287</v>
      </c>
      <c r="B358" s="743">
        <v>25.533999999999999</v>
      </c>
      <c r="C358" s="743">
        <v>10.0525</v>
      </c>
      <c r="D358" s="915">
        <v>43287</v>
      </c>
      <c r="E358" s="743">
        <v>14.2529</v>
      </c>
      <c r="F358" s="743">
        <v>6.4222999999999999</v>
      </c>
      <c r="G358" s="915">
        <v>43287</v>
      </c>
      <c r="H358" s="743">
        <v>3.6890999999999998</v>
      </c>
      <c r="I358" s="743">
        <v>1.1148</v>
      </c>
      <c r="J358" s="916">
        <v>-0.60599999999999998</v>
      </c>
      <c r="K358" s="916">
        <v>-0.54900000000000004</v>
      </c>
      <c r="L358" s="916">
        <v>-0.69799999999999995</v>
      </c>
    </row>
    <row r="359" spans="1:12" ht="14.5" x14ac:dyDescent="0.35">
      <c r="A359" s="915">
        <v>43280</v>
      </c>
      <c r="B359" s="743">
        <v>24.943999999999999</v>
      </c>
      <c r="C359" s="743">
        <v>10.2811</v>
      </c>
      <c r="D359" s="915">
        <v>43280</v>
      </c>
      <c r="E359" s="743">
        <v>14.256399999999999</v>
      </c>
      <c r="F359" s="743">
        <v>6.4207000000000001</v>
      </c>
      <c r="G359" s="915">
        <v>43280</v>
      </c>
      <c r="H359" s="743">
        <v>3.6036000000000001</v>
      </c>
      <c r="I359" s="743">
        <v>1.1293</v>
      </c>
      <c r="J359" s="916">
        <v>-0.58799999999999997</v>
      </c>
      <c r="K359" s="916">
        <v>-0.55000000000000004</v>
      </c>
      <c r="L359" s="916">
        <v>-0.68700000000000006</v>
      </c>
    </row>
    <row r="360" spans="1:12" ht="14.5" x14ac:dyDescent="0.35">
      <c r="A360" s="915">
        <v>43273</v>
      </c>
      <c r="B360" s="743">
        <v>25.499199999999998</v>
      </c>
      <c r="C360" s="743">
        <v>10.4217</v>
      </c>
      <c r="D360" s="915">
        <v>43273</v>
      </c>
      <c r="E360" s="743">
        <v>14.2559</v>
      </c>
      <c r="F360" s="743">
        <v>6.4204999999999997</v>
      </c>
      <c r="G360" s="915">
        <v>43273</v>
      </c>
      <c r="H360" s="743">
        <v>3.6840000000000002</v>
      </c>
      <c r="I360" s="743">
        <v>1.1395</v>
      </c>
      <c r="J360" s="916">
        <v>-0.59099999999999997</v>
      </c>
      <c r="K360" s="916">
        <v>-0.55000000000000004</v>
      </c>
      <c r="L360" s="916">
        <v>-0.69099999999999995</v>
      </c>
    </row>
    <row r="361" spans="1:12" ht="14.5" x14ac:dyDescent="0.35">
      <c r="A361" s="915">
        <v>43266</v>
      </c>
      <c r="B361" s="743">
        <v>25.7056</v>
      </c>
      <c r="C361" s="743">
        <v>10.569000000000001</v>
      </c>
      <c r="D361" s="915">
        <v>43266</v>
      </c>
      <c r="E361" s="743">
        <v>14.2559</v>
      </c>
      <c r="F361" s="743">
        <v>6.4203000000000001</v>
      </c>
      <c r="G361" s="915">
        <v>43266</v>
      </c>
      <c r="H361" s="743">
        <v>3.7403</v>
      </c>
      <c r="I361" s="743">
        <v>1.1500999999999999</v>
      </c>
      <c r="J361" s="916">
        <v>-0.58899999999999997</v>
      </c>
      <c r="K361" s="916">
        <v>-0.55000000000000004</v>
      </c>
      <c r="L361" s="916">
        <v>-0.69299999999999995</v>
      </c>
    </row>
    <row r="362" spans="1:12" ht="14.5" x14ac:dyDescent="0.35">
      <c r="A362" s="915">
        <v>43259</v>
      </c>
      <c r="B362" s="743">
        <v>25.4056</v>
      </c>
      <c r="C362" s="743">
        <v>10.7873</v>
      </c>
      <c r="D362" s="915">
        <v>43259</v>
      </c>
      <c r="E362" s="743">
        <v>14.2559</v>
      </c>
      <c r="F362" s="743">
        <v>6.4203000000000001</v>
      </c>
      <c r="G362" s="915">
        <v>43259</v>
      </c>
      <c r="H362" s="743">
        <v>3.6871</v>
      </c>
      <c r="I362" s="743">
        <v>1.1625000000000001</v>
      </c>
      <c r="J362" s="916">
        <v>-0.57499999999999996</v>
      </c>
      <c r="K362" s="916">
        <v>-0.55000000000000004</v>
      </c>
      <c r="L362" s="916">
        <v>-0.68500000000000005</v>
      </c>
    </row>
    <row r="363" spans="1:12" ht="14.5" x14ac:dyDescent="0.35">
      <c r="A363" s="915">
        <v>43252</v>
      </c>
      <c r="B363" s="743">
        <v>25.113800000000001</v>
      </c>
      <c r="C363" s="743">
        <v>10.726900000000001</v>
      </c>
      <c r="D363" s="915">
        <v>43252</v>
      </c>
      <c r="E363" s="743">
        <v>14.2407</v>
      </c>
      <c r="F363" s="743">
        <v>6.4204999999999997</v>
      </c>
      <c r="G363" s="915">
        <v>43252</v>
      </c>
      <c r="H363" s="743">
        <v>3.653</v>
      </c>
      <c r="I363" s="743">
        <v>1.1580999999999999</v>
      </c>
      <c r="J363" s="916">
        <v>-0.57299999999999995</v>
      </c>
      <c r="K363" s="916">
        <v>-0.54900000000000004</v>
      </c>
      <c r="L363" s="916">
        <v>-0.68300000000000005</v>
      </c>
    </row>
    <row r="364" spans="1:12" ht="14.5" x14ac:dyDescent="0.35">
      <c r="A364" s="915">
        <v>43245</v>
      </c>
      <c r="B364" s="743">
        <v>24.673200000000001</v>
      </c>
      <c r="C364" s="743">
        <v>10.9278</v>
      </c>
      <c r="D364" s="915">
        <v>43245</v>
      </c>
      <c r="E364" s="743">
        <v>14.2333</v>
      </c>
      <c r="F364" s="743">
        <v>6.4203999999999999</v>
      </c>
      <c r="G364" s="915">
        <v>43245</v>
      </c>
      <c r="H364" s="743">
        <v>3.5886999999999998</v>
      </c>
      <c r="I364" s="743">
        <v>1.1727000000000001</v>
      </c>
      <c r="J364" s="916">
        <v>-0.55700000000000005</v>
      </c>
      <c r="K364" s="916">
        <v>-0.54900000000000004</v>
      </c>
      <c r="L364" s="916">
        <v>-0.67300000000000004</v>
      </c>
    </row>
    <row r="365" spans="1:12" ht="14.5" x14ac:dyDescent="0.35">
      <c r="A365" s="915">
        <v>43238</v>
      </c>
      <c r="B365" s="743">
        <v>24.343299999999999</v>
      </c>
      <c r="C365" s="743">
        <v>10.786199999999999</v>
      </c>
      <c r="D365" s="915">
        <v>43238</v>
      </c>
      <c r="E365" s="743">
        <v>14.23</v>
      </c>
      <c r="F365" s="743">
        <v>6.4206000000000003</v>
      </c>
      <c r="G365" s="915">
        <v>43238</v>
      </c>
      <c r="H365" s="743">
        <v>3.5394999999999999</v>
      </c>
      <c r="I365" s="743">
        <v>1.1624000000000001</v>
      </c>
      <c r="J365" s="916">
        <v>-0.55700000000000005</v>
      </c>
      <c r="K365" s="916">
        <v>-0.54900000000000004</v>
      </c>
      <c r="L365" s="916">
        <v>-0.67200000000000004</v>
      </c>
    </row>
    <row r="366" spans="1:12" ht="14.5" x14ac:dyDescent="0.35">
      <c r="A366" s="915">
        <v>43231</v>
      </c>
      <c r="B366" s="743">
        <v>24.601199999999999</v>
      </c>
      <c r="C366" s="743">
        <v>10.5205</v>
      </c>
      <c r="D366" s="915">
        <v>43231</v>
      </c>
      <c r="E366" s="743">
        <v>14.1912</v>
      </c>
      <c r="F366" s="743">
        <v>6.4816000000000003</v>
      </c>
      <c r="G366" s="915">
        <v>43231</v>
      </c>
      <c r="H366" s="743">
        <v>3.5813000000000001</v>
      </c>
      <c r="I366" s="743">
        <v>1.1755</v>
      </c>
      <c r="J366" s="916">
        <v>-0.57199999999999995</v>
      </c>
      <c r="K366" s="916">
        <v>-0.54300000000000004</v>
      </c>
      <c r="L366" s="916">
        <v>-0.67200000000000004</v>
      </c>
    </row>
    <row r="367" spans="1:12" ht="14.5" x14ac:dyDescent="0.35">
      <c r="A367" s="915">
        <v>43224</v>
      </c>
      <c r="B367" s="743">
        <v>23.781099999999999</v>
      </c>
      <c r="C367" s="743">
        <v>10.4777</v>
      </c>
      <c r="D367" s="915">
        <v>43224</v>
      </c>
      <c r="E367" s="743">
        <v>14.1296</v>
      </c>
      <c r="F367" s="743">
        <v>6.4816000000000003</v>
      </c>
      <c r="G367" s="915">
        <v>43224</v>
      </c>
      <c r="H367" s="743">
        <v>3.4929000000000001</v>
      </c>
      <c r="I367" s="743">
        <v>1.1721999999999999</v>
      </c>
      <c r="J367" s="916">
        <v>-0.55900000000000005</v>
      </c>
      <c r="K367" s="916">
        <v>-0.54100000000000004</v>
      </c>
      <c r="L367" s="916">
        <v>-0.66400000000000003</v>
      </c>
    </row>
    <row r="368" spans="1:12" ht="14.5" x14ac:dyDescent="0.35">
      <c r="A368" s="915">
        <v>43217</v>
      </c>
      <c r="B368" s="743">
        <v>25.496600000000001</v>
      </c>
      <c r="C368" s="743">
        <v>10.6425</v>
      </c>
      <c r="D368" s="915">
        <v>43217</v>
      </c>
      <c r="E368" s="743">
        <v>14.177300000000001</v>
      </c>
      <c r="F368" s="743">
        <v>6.4816000000000003</v>
      </c>
      <c r="G368" s="915">
        <v>43217</v>
      </c>
      <c r="H368" s="743">
        <v>3.5200999999999998</v>
      </c>
      <c r="I368" s="743">
        <v>1.1849000000000001</v>
      </c>
      <c r="J368" s="916">
        <v>-0.58299999999999996</v>
      </c>
      <c r="K368" s="916">
        <v>-0.54300000000000004</v>
      </c>
      <c r="L368" s="916">
        <v>-0.66300000000000003</v>
      </c>
    </row>
    <row r="369" spans="1:12" ht="14.5" x14ac:dyDescent="0.35">
      <c r="A369" s="915">
        <v>43210</v>
      </c>
      <c r="B369" s="743">
        <v>25.539899999999999</v>
      </c>
      <c r="C369" s="743">
        <v>10.5307</v>
      </c>
      <c r="D369" s="915">
        <v>43210</v>
      </c>
      <c r="E369" s="743">
        <v>14.177099999999999</v>
      </c>
      <c r="F369" s="743">
        <v>6.4816000000000003</v>
      </c>
      <c r="G369" s="915">
        <v>43210</v>
      </c>
      <c r="H369" s="743">
        <v>3.5261999999999998</v>
      </c>
      <c r="I369" s="743">
        <v>1.1762999999999999</v>
      </c>
      <c r="J369" s="916">
        <v>-0.58799999999999997</v>
      </c>
      <c r="K369" s="916">
        <v>-0.54300000000000004</v>
      </c>
      <c r="L369" s="916">
        <v>-0.66600000000000004</v>
      </c>
    </row>
    <row r="370" spans="1:12" ht="14.5" x14ac:dyDescent="0.35">
      <c r="A370" s="915">
        <v>43203</v>
      </c>
      <c r="B370" s="743">
        <v>25.390599999999999</v>
      </c>
      <c r="C370" s="743">
        <v>10.436199999999999</v>
      </c>
      <c r="D370" s="915">
        <v>43203</v>
      </c>
      <c r="E370" s="743">
        <v>14.177099999999999</v>
      </c>
      <c r="F370" s="743">
        <v>6.4816000000000003</v>
      </c>
      <c r="G370" s="915">
        <v>43203</v>
      </c>
      <c r="H370" s="743">
        <v>3.5051999999999999</v>
      </c>
      <c r="I370" s="743">
        <v>1.1691</v>
      </c>
      <c r="J370" s="916">
        <v>-0.58899999999999997</v>
      </c>
      <c r="K370" s="916">
        <v>-0.54300000000000004</v>
      </c>
      <c r="L370" s="916">
        <v>-0.66600000000000004</v>
      </c>
    </row>
    <row r="371" spans="1:12" ht="14.5" x14ac:dyDescent="0.35">
      <c r="A371" s="915">
        <v>43196</v>
      </c>
      <c r="B371" s="743">
        <v>24.6431</v>
      </c>
      <c r="C371" s="743">
        <v>10.328200000000001</v>
      </c>
      <c r="D371" s="915">
        <v>43196</v>
      </c>
      <c r="E371" s="743">
        <v>14.177099999999999</v>
      </c>
      <c r="F371" s="743">
        <v>6.4816000000000003</v>
      </c>
      <c r="G371" s="915">
        <v>43196</v>
      </c>
      <c r="H371" s="743">
        <v>3.4009999999999998</v>
      </c>
      <c r="I371" s="743">
        <v>1.1616</v>
      </c>
      <c r="J371" s="916">
        <v>-0.58099999999999996</v>
      </c>
      <c r="K371" s="916">
        <v>-0.54300000000000004</v>
      </c>
      <c r="L371" s="916">
        <v>-0.65800000000000003</v>
      </c>
    </row>
    <row r="372" spans="1:12" ht="14.5" x14ac:dyDescent="0.35">
      <c r="A372" s="915">
        <v>43189</v>
      </c>
      <c r="B372" s="743">
        <v>25.272400000000001</v>
      </c>
      <c r="C372" s="743">
        <v>10.430999999999999</v>
      </c>
      <c r="D372" s="915">
        <v>43189</v>
      </c>
      <c r="E372" s="743">
        <v>14.2105</v>
      </c>
      <c r="F372" s="743">
        <v>6.4816000000000003</v>
      </c>
      <c r="G372" s="915">
        <v>43189</v>
      </c>
      <c r="H372" s="743">
        <v>3.4872999999999998</v>
      </c>
      <c r="I372" s="743">
        <v>1.1695</v>
      </c>
      <c r="J372" s="916">
        <v>-0.58699999999999997</v>
      </c>
      <c r="K372" s="916">
        <v>-0.54400000000000004</v>
      </c>
      <c r="L372" s="916">
        <v>-0.66500000000000004</v>
      </c>
    </row>
    <row r="373" spans="1:12" ht="14.5" x14ac:dyDescent="0.35">
      <c r="A373" s="915">
        <v>43182</v>
      </c>
      <c r="B373" s="743">
        <v>24.991</v>
      </c>
      <c r="C373" s="743">
        <v>10.383699999999999</v>
      </c>
      <c r="D373" s="915">
        <v>43182</v>
      </c>
      <c r="E373" s="743">
        <v>14.2105</v>
      </c>
      <c r="F373" s="743">
        <v>6.4816000000000003</v>
      </c>
      <c r="G373" s="915">
        <v>43182</v>
      </c>
      <c r="H373" s="743">
        <v>3.4483000000000001</v>
      </c>
      <c r="I373" s="743">
        <v>1.1654</v>
      </c>
      <c r="J373" s="916">
        <v>-0.58499999999999996</v>
      </c>
      <c r="K373" s="916">
        <v>-0.54400000000000004</v>
      </c>
      <c r="L373" s="916">
        <v>-0.66200000000000003</v>
      </c>
    </row>
    <row r="374" spans="1:12" ht="14.5" x14ac:dyDescent="0.35">
      <c r="A374" s="915">
        <v>43175</v>
      </c>
      <c r="B374" s="743">
        <v>26.954799999999999</v>
      </c>
      <c r="C374" s="743">
        <v>10.739599999999999</v>
      </c>
      <c r="D374" s="915">
        <v>43175</v>
      </c>
      <c r="E374" s="743">
        <v>14.2105</v>
      </c>
      <c r="F374" s="743">
        <v>6.4672999999999998</v>
      </c>
      <c r="G374" s="915">
        <v>43175</v>
      </c>
      <c r="H374" s="743">
        <v>3.7343999999999999</v>
      </c>
      <c r="I374" s="743">
        <v>1.1923999999999999</v>
      </c>
      <c r="J374" s="916">
        <v>-0.60199999999999998</v>
      </c>
      <c r="K374" s="916">
        <v>-0.54500000000000004</v>
      </c>
      <c r="L374" s="916">
        <v>-0.68100000000000005</v>
      </c>
    </row>
    <row r="375" spans="1:12" ht="14.5" x14ac:dyDescent="0.35">
      <c r="A375" s="915">
        <v>43168</v>
      </c>
      <c r="B375" s="743">
        <v>28.026</v>
      </c>
      <c r="C375" s="743">
        <v>10.477399999999999</v>
      </c>
      <c r="D375" s="915">
        <v>43168</v>
      </c>
      <c r="E375" s="743">
        <v>13.708299999999999</v>
      </c>
      <c r="F375" s="743">
        <v>5.9324000000000003</v>
      </c>
      <c r="G375" s="915">
        <v>43168</v>
      </c>
      <c r="H375" s="743">
        <v>3.8879000000000001</v>
      </c>
      <c r="I375" s="743">
        <v>1.0907</v>
      </c>
      <c r="J375" s="916">
        <v>-0.626</v>
      </c>
      <c r="K375" s="916">
        <v>-0.56699999999999995</v>
      </c>
      <c r="L375" s="916">
        <v>-0.71899999999999997</v>
      </c>
    </row>
    <row r="376" spans="1:12" ht="14.5" x14ac:dyDescent="0.35">
      <c r="A376" s="915">
        <v>43161</v>
      </c>
      <c r="B376" s="743">
        <v>26.8809</v>
      </c>
      <c r="C376" s="743">
        <v>9.8741000000000003</v>
      </c>
      <c r="D376" s="915">
        <v>43161</v>
      </c>
      <c r="E376" s="743">
        <v>13.708299999999999</v>
      </c>
      <c r="F376" s="743">
        <v>5.9596999999999998</v>
      </c>
      <c r="G376" s="915">
        <v>43161</v>
      </c>
      <c r="H376" s="743">
        <v>3.7284999999999999</v>
      </c>
      <c r="I376" s="743">
        <v>1.0141</v>
      </c>
      <c r="J376" s="916">
        <v>-0.63300000000000001</v>
      </c>
      <c r="K376" s="916">
        <v>-0.56499999999999995</v>
      </c>
      <c r="L376" s="916">
        <v>-0.72799999999999998</v>
      </c>
    </row>
    <row r="377" spans="1:12" ht="14.5" x14ac:dyDescent="0.35">
      <c r="A377" s="915">
        <v>43154</v>
      </c>
      <c r="B377" s="743">
        <v>27.218599999999999</v>
      </c>
      <c r="C377" s="743">
        <v>9.5970999999999993</v>
      </c>
      <c r="D377" s="915">
        <v>43154</v>
      </c>
      <c r="E377" s="743">
        <v>13.7029</v>
      </c>
      <c r="F377" s="743">
        <v>5.9272</v>
      </c>
      <c r="G377" s="915">
        <v>43154</v>
      </c>
      <c r="H377" s="743">
        <v>3.7755000000000001</v>
      </c>
      <c r="I377" s="743">
        <v>1.0462</v>
      </c>
      <c r="J377" s="916">
        <v>-0.64700000000000002</v>
      </c>
      <c r="K377" s="916">
        <v>-0.56699999999999995</v>
      </c>
      <c r="L377" s="916">
        <v>-0.72299999999999998</v>
      </c>
    </row>
    <row r="378" spans="1:12" ht="14.5" x14ac:dyDescent="0.35">
      <c r="A378" s="915">
        <v>43147</v>
      </c>
      <c r="B378" s="743">
        <v>26.721599999999999</v>
      </c>
      <c r="C378" s="743">
        <v>9.5123999999999995</v>
      </c>
      <c r="D378" s="915">
        <v>43147</v>
      </c>
      <c r="E378" s="743">
        <v>13.7029</v>
      </c>
      <c r="F378" s="743">
        <v>5.9261999999999997</v>
      </c>
      <c r="G378" s="915">
        <v>43147</v>
      </c>
      <c r="H378" s="743">
        <v>3.7063999999999999</v>
      </c>
      <c r="I378" s="743">
        <v>1.0454000000000001</v>
      </c>
      <c r="J378" s="916">
        <v>-0.64400000000000002</v>
      </c>
      <c r="K378" s="916">
        <v>-0.56799999999999995</v>
      </c>
      <c r="L378" s="916">
        <v>-0.71799999999999997</v>
      </c>
    </row>
    <row r="379" spans="1:12" ht="14.5" x14ac:dyDescent="0.35">
      <c r="A379" s="915">
        <v>43140</v>
      </c>
      <c r="B379" s="743">
        <v>25.307300000000001</v>
      </c>
      <c r="C379" s="743">
        <v>9.2674000000000003</v>
      </c>
      <c r="D379" s="915">
        <v>43140</v>
      </c>
      <c r="E379" s="743">
        <v>13.701599999999999</v>
      </c>
      <c r="F379" s="743">
        <v>5.9263000000000003</v>
      </c>
      <c r="G379" s="915">
        <v>43140</v>
      </c>
      <c r="H379" s="743">
        <v>3.5095000000000001</v>
      </c>
      <c r="I379" s="743">
        <v>1.0143</v>
      </c>
      <c r="J379" s="916">
        <v>-0.63400000000000001</v>
      </c>
      <c r="K379" s="916">
        <v>-0.56699999999999995</v>
      </c>
      <c r="L379" s="916">
        <v>-0.71099999999999997</v>
      </c>
    </row>
    <row r="380" spans="1:12" ht="14.5" x14ac:dyDescent="0.35">
      <c r="A380" s="915">
        <v>43133</v>
      </c>
      <c r="B380" s="743">
        <v>26.679099999999998</v>
      </c>
      <c r="C380" s="743">
        <v>11.3508</v>
      </c>
      <c r="D380" s="915">
        <v>43133</v>
      </c>
      <c r="E380" s="743">
        <v>13.701499999999999</v>
      </c>
      <c r="F380" s="743">
        <v>6.7660999999999998</v>
      </c>
      <c r="G380" s="915">
        <v>43133</v>
      </c>
      <c r="H380" s="743">
        <v>3.7004000000000001</v>
      </c>
      <c r="I380" s="743">
        <v>1.2013</v>
      </c>
      <c r="J380" s="916">
        <v>-0.57499999999999996</v>
      </c>
      <c r="K380" s="916">
        <v>-0.50600000000000001</v>
      </c>
      <c r="L380" s="916">
        <v>-0.67500000000000004</v>
      </c>
    </row>
    <row r="381" spans="1:12" ht="14.5" x14ac:dyDescent="0.35">
      <c r="A381" s="915">
        <v>43126</v>
      </c>
      <c r="B381" s="743">
        <v>27.715800000000002</v>
      </c>
      <c r="C381" s="743">
        <v>11.653499999999999</v>
      </c>
      <c r="D381" s="915">
        <v>43126</v>
      </c>
      <c r="E381" s="743">
        <v>13.701599999999999</v>
      </c>
      <c r="F381" s="743">
        <v>6.7660999999999998</v>
      </c>
      <c r="G381" s="915">
        <v>43126</v>
      </c>
      <c r="H381" s="743">
        <v>3.8447</v>
      </c>
      <c r="I381" s="743">
        <v>1.2213000000000001</v>
      </c>
      <c r="J381" s="916">
        <v>-0.57999999999999996</v>
      </c>
      <c r="K381" s="916">
        <v>-0.50600000000000001</v>
      </c>
      <c r="L381" s="916">
        <v>-0.68200000000000005</v>
      </c>
    </row>
    <row r="382" spans="1:12" ht="14.5" x14ac:dyDescent="0.35">
      <c r="A382" s="915">
        <v>43119</v>
      </c>
      <c r="B382" s="743">
        <v>26.971299999999999</v>
      </c>
      <c r="C382" s="743">
        <v>11.4808</v>
      </c>
      <c r="D382" s="915">
        <v>43119</v>
      </c>
      <c r="E382" s="743">
        <v>13.701499999999999</v>
      </c>
      <c r="F382" s="743">
        <v>6.7660999999999998</v>
      </c>
      <c r="G382" s="915">
        <v>43119</v>
      </c>
      <c r="H382" s="743">
        <v>3.7410999999999999</v>
      </c>
      <c r="I382" s="743">
        <v>1.2091000000000001</v>
      </c>
      <c r="J382" s="916">
        <v>-0.57399999999999995</v>
      </c>
      <c r="K382" s="916">
        <v>-0.50600000000000001</v>
      </c>
      <c r="L382" s="916">
        <v>-0.67700000000000005</v>
      </c>
    </row>
    <row r="383" spans="1:12" ht="14.5" x14ac:dyDescent="0.35">
      <c r="A383" s="915">
        <v>43112</v>
      </c>
      <c r="B383" s="743">
        <v>26.6722</v>
      </c>
      <c r="C383" s="743">
        <v>11.3718</v>
      </c>
      <c r="D383" s="915">
        <v>43112</v>
      </c>
      <c r="E383" s="743">
        <v>13.701499999999999</v>
      </c>
      <c r="F383" s="743">
        <v>6.7660999999999998</v>
      </c>
      <c r="G383" s="915">
        <v>43112</v>
      </c>
      <c r="H383" s="743">
        <v>3.6987999999999999</v>
      </c>
      <c r="I383" s="743">
        <v>1.2013</v>
      </c>
      <c r="J383" s="916">
        <v>-0.57399999999999995</v>
      </c>
      <c r="K383" s="916">
        <v>-0.50600000000000001</v>
      </c>
      <c r="L383" s="916">
        <v>-0.67500000000000004</v>
      </c>
    </row>
    <row r="384" spans="1:12" ht="14.5" x14ac:dyDescent="0.35">
      <c r="A384" s="915">
        <v>43105</v>
      </c>
      <c r="B384" s="743">
        <v>26.2545</v>
      </c>
      <c r="C384" s="743">
        <v>11.485200000000001</v>
      </c>
      <c r="D384" s="915">
        <v>43105</v>
      </c>
      <c r="E384" s="743">
        <v>13.698499999999999</v>
      </c>
      <c r="F384" s="743">
        <v>6.7660999999999998</v>
      </c>
      <c r="G384" s="915">
        <v>43105</v>
      </c>
      <c r="H384" s="743">
        <v>3.641</v>
      </c>
      <c r="I384" s="743">
        <v>1.2094</v>
      </c>
      <c r="J384" s="916">
        <v>-0.56299999999999994</v>
      </c>
      <c r="K384" s="916">
        <v>-0.50600000000000001</v>
      </c>
      <c r="L384" s="916">
        <v>-0.66800000000000004</v>
      </c>
    </row>
    <row r="385" spans="1:12" ht="14.5" x14ac:dyDescent="0.35">
      <c r="A385" s="915">
        <v>43098</v>
      </c>
      <c r="B385" s="743">
        <v>25.2408</v>
      </c>
      <c r="C385" s="743">
        <v>11.34</v>
      </c>
      <c r="D385" s="915">
        <v>43098</v>
      </c>
      <c r="E385" s="743">
        <v>13.7148</v>
      </c>
      <c r="F385" s="743">
        <v>6.7660999999999998</v>
      </c>
      <c r="G385" s="915">
        <v>43098</v>
      </c>
      <c r="H385" s="743">
        <v>3.5015999999999998</v>
      </c>
      <c r="I385" s="743">
        <v>1.1990000000000001</v>
      </c>
      <c r="J385" s="916">
        <v>-0.55100000000000005</v>
      </c>
      <c r="K385" s="916">
        <v>-0.50700000000000001</v>
      </c>
      <c r="L385" s="916">
        <v>-0.65800000000000003</v>
      </c>
    </row>
    <row r="386" spans="1:12" ht="14.5" x14ac:dyDescent="0.35">
      <c r="A386" s="915">
        <v>43091</v>
      </c>
      <c r="B386" s="743">
        <v>25.5121</v>
      </c>
      <c r="C386" s="743">
        <v>11.216799999999999</v>
      </c>
      <c r="D386" s="915">
        <v>43091</v>
      </c>
      <c r="E386" s="743">
        <v>13.7148</v>
      </c>
      <c r="F386" s="743">
        <v>6.7660999999999998</v>
      </c>
      <c r="G386" s="915">
        <v>43091</v>
      </c>
      <c r="H386" s="743">
        <v>3.5392999999999999</v>
      </c>
      <c r="I386" s="743">
        <v>1.1901999999999999</v>
      </c>
      <c r="J386" s="916">
        <v>-0.56000000000000005</v>
      </c>
      <c r="K386" s="916">
        <v>-0.50700000000000001</v>
      </c>
      <c r="L386" s="916">
        <v>-0.66400000000000003</v>
      </c>
    </row>
    <row r="387" spans="1:12" ht="14.5" x14ac:dyDescent="0.35">
      <c r="A387" s="915">
        <v>43084</v>
      </c>
      <c r="B387" s="743">
        <v>25.5167</v>
      </c>
      <c r="C387" s="743">
        <v>11.3893</v>
      </c>
      <c r="D387" s="915">
        <v>43084</v>
      </c>
      <c r="E387" s="743">
        <v>13.7148</v>
      </c>
      <c r="F387" s="743">
        <v>6.7660999999999998</v>
      </c>
      <c r="G387" s="915">
        <v>43084</v>
      </c>
      <c r="H387" s="743">
        <v>3.5396000000000001</v>
      </c>
      <c r="I387" s="743">
        <v>1.2024999999999999</v>
      </c>
      <c r="J387" s="916">
        <v>-0.55400000000000005</v>
      </c>
      <c r="K387" s="916">
        <v>-0.50700000000000001</v>
      </c>
      <c r="L387" s="916">
        <v>-0.66</v>
      </c>
    </row>
    <row r="388" spans="1:12" ht="14.5" x14ac:dyDescent="0.35">
      <c r="A388" s="915">
        <v>43077</v>
      </c>
      <c r="B388" s="743">
        <v>25.036200000000001</v>
      </c>
      <c r="C388" s="743">
        <v>11.3626</v>
      </c>
      <c r="D388" s="915">
        <v>43077</v>
      </c>
      <c r="E388" s="743">
        <v>13.7096</v>
      </c>
      <c r="F388" s="743">
        <v>6.7660999999999998</v>
      </c>
      <c r="G388" s="915">
        <v>43077</v>
      </c>
      <c r="H388" s="743">
        <v>3.4729000000000001</v>
      </c>
      <c r="I388" s="743">
        <v>1.1932</v>
      </c>
      <c r="J388" s="916">
        <v>-0.54600000000000004</v>
      </c>
      <c r="K388" s="916">
        <v>-0.50600000000000001</v>
      </c>
      <c r="L388" s="916">
        <v>-0.65600000000000003</v>
      </c>
    </row>
    <row r="389" spans="1:12" ht="14.5" x14ac:dyDescent="0.35">
      <c r="A389" s="915">
        <v>43070</v>
      </c>
      <c r="B389" s="743">
        <v>24.611000000000001</v>
      </c>
      <c r="C389" s="743">
        <v>11.3329</v>
      </c>
      <c r="D389" s="915">
        <v>43070</v>
      </c>
      <c r="E389" s="743">
        <v>13.5779</v>
      </c>
      <c r="F389" s="743">
        <v>6.7660999999999998</v>
      </c>
      <c r="G389" s="915">
        <v>43070</v>
      </c>
      <c r="H389" s="743">
        <v>3.4733999999999998</v>
      </c>
      <c r="I389" s="743">
        <v>1.1903999999999999</v>
      </c>
      <c r="J389" s="916">
        <v>-0.54</v>
      </c>
      <c r="K389" s="916">
        <v>-0.502</v>
      </c>
      <c r="L389" s="916">
        <v>-0.65700000000000003</v>
      </c>
    </row>
    <row r="390" spans="1:12" ht="14.5" x14ac:dyDescent="0.35">
      <c r="A390" s="915">
        <v>43063</v>
      </c>
      <c r="B390" s="743">
        <v>24.880800000000001</v>
      </c>
      <c r="C390" s="743">
        <v>11.737399999999999</v>
      </c>
      <c r="D390" s="915">
        <v>43063</v>
      </c>
      <c r="E390" s="743">
        <v>13.576499999999999</v>
      </c>
      <c r="F390" s="743">
        <v>6.7660999999999998</v>
      </c>
      <c r="G390" s="915">
        <v>43063</v>
      </c>
      <c r="H390" s="743">
        <v>3.5127999999999999</v>
      </c>
      <c r="I390" s="743">
        <v>1.2190000000000001</v>
      </c>
      <c r="J390" s="916">
        <v>-0.52800000000000002</v>
      </c>
      <c r="K390" s="916">
        <v>-0.502</v>
      </c>
      <c r="L390" s="916">
        <v>-0.65300000000000002</v>
      </c>
    </row>
    <row r="391" spans="1:12" ht="14.5" x14ac:dyDescent="0.35">
      <c r="A391" s="915">
        <v>43056</v>
      </c>
      <c r="B391" s="743">
        <v>24.488</v>
      </c>
      <c r="C391" s="743">
        <v>11.7027</v>
      </c>
      <c r="D391" s="915">
        <v>43056</v>
      </c>
      <c r="E391" s="743">
        <v>13.5524</v>
      </c>
      <c r="F391" s="743">
        <v>6.7660999999999998</v>
      </c>
      <c r="G391" s="915">
        <v>43056</v>
      </c>
      <c r="H391" s="743">
        <v>3.4607999999999999</v>
      </c>
      <c r="I391" s="743">
        <v>1.2165999999999999</v>
      </c>
      <c r="J391" s="916">
        <v>-0.52200000000000002</v>
      </c>
      <c r="K391" s="916">
        <v>-0.501</v>
      </c>
      <c r="L391" s="916">
        <v>-0.64800000000000002</v>
      </c>
    </row>
    <row r="392" spans="1:12" ht="14.5" x14ac:dyDescent="0.35">
      <c r="A392" s="915">
        <v>43049</v>
      </c>
      <c r="B392" s="743">
        <v>24.434899999999999</v>
      </c>
      <c r="C392" s="743">
        <v>11.5426</v>
      </c>
      <c r="D392" s="915">
        <v>43049</v>
      </c>
      <c r="E392" s="743">
        <v>13.508800000000001</v>
      </c>
      <c r="F392" s="743">
        <v>6.5730000000000004</v>
      </c>
      <c r="G392" s="915">
        <v>43049</v>
      </c>
      <c r="H392" s="743">
        <v>3.4563999999999999</v>
      </c>
      <c r="I392" s="743">
        <v>1.1968000000000001</v>
      </c>
      <c r="J392" s="916">
        <v>-0.52800000000000002</v>
      </c>
      <c r="K392" s="916">
        <v>-0.51300000000000001</v>
      </c>
      <c r="L392" s="916">
        <v>-0.65400000000000003</v>
      </c>
    </row>
    <row r="393" spans="1:12" ht="14.5" x14ac:dyDescent="0.35">
      <c r="A393" s="915">
        <v>43042</v>
      </c>
      <c r="B393" s="743">
        <v>24.340800000000002</v>
      </c>
      <c r="C393" s="743">
        <v>13.052199999999999</v>
      </c>
      <c r="D393" s="915">
        <v>43042</v>
      </c>
      <c r="E393" s="743">
        <v>13.6082</v>
      </c>
      <c r="F393" s="743">
        <v>7.1031000000000004</v>
      </c>
      <c r="G393" s="915">
        <v>43042</v>
      </c>
      <c r="H393" s="743">
        <v>3.4661</v>
      </c>
      <c r="I393" s="743">
        <v>1.2485999999999999</v>
      </c>
      <c r="J393" s="916">
        <v>-0.46400000000000002</v>
      </c>
      <c r="K393" s="916">
        <v>-0.47799999999999998</v>
      </c>
      <c r="L393" s="916">
        <v>-0.64</v>
      </c>
    </row>
    <row r="394" spans="1:12" ht="14.5" x14ac:dyDescent="0.35">
      <c r="A394" s="915">
        <v>43035</v>
      </c>
      <c r="B394" s="743">
        <v>25.577400000000001</v>
      </c>
      <c r="C394" s="743">
        <v>12.664099999999999</v>
      </c>
      <c r="D394" s="915">
        <v>43035</v>
      </c>
      <c r="E394" s="743">
        <v>13.409000000000001</v>
      </c>
      <c r="F394" s="743">
        <v>7.1031000000000004</v>
      </c>
      <c r="G394" s="915">
        <v>43035</v>
      </c>
      <c r="H394" s="743">
        <v>3.4823</v>
      </c>
      <c r="I394" s="743">
        <v>1.2239</v>
      </c>
      <c r="J394" s="916">
        <v>-0.505</v>
      </c>
      <c r="K394" s="916">
        <v>-0.47</v>
      </c>
      <c r="L394" s="916">
        <v>-0.64900000000000002</v>
      </c>
    </row>
    <row r="395" spans="1:12" ht="14.5" x14ac:dyDescent="0.35">
      <c r="A395" s="915">
        <v>43028</v>
      </c>
      <c r="B395" s="743">
        <v>25.146599999999999</v>
      </c>
      <c r="C395" s="743">
        <v>12.6584</v>
      </c>
      <c r="D395" s="915">
        <v>43028</v>
      </c>
      <c r="E395" s="743">
        <v>13.4087</v>
      </c>
      <c r="F395" s="743">
        <v>7.1029999999999998</v>
      </c>
      <c r="G395" s="915">
        <v>43028</v>
      </c>
      <c r="H395" s="743">
        <v>3.4180999999999999</v>
      </c>
      <c r="I395" s="743">
        <v>1.2235</v>
      </c>
      <c r="J395" s="916">
        <v>-0.497</v>
      </c>
      <c r="K395" s="916">
        <v>-0.47</v>
      </c>
      <c r="L395" s="916">
        <v>-0.64200000000000002</v>
      </c>
    </row>
    <row r="396" spans="1:12" ht="14.5" x14ac:dyDescent="0.35">
      <c r="A396" s="915">
        <v>43021</v>
      </c>
      <c r="B396" s="743">
        <v>25.048500000000001</v>
      </c>
      <c r="C396" s="743">
        <v>12.6128</v>
      </c>
      <c r="D396" s="915">
        <v>43021</v>
      </c>
      <c r="E396" s="743">
        <v>13.412800000000001</v>
      </c>
      <c r="F396" s="743">
        <v>7.1029999999999998</v>
      </c>
      <c r="G396" s="915">
        <v>43021</v>
      </c>
      <c r="H396" s="743">
        <v>3.4089</v>
      </c>
      <c r="I396" s="743">
        <v>1.2205999999999999</v>
      </c>
      <c r="J396" s="916">
        <v>-0.496</v>
      </c>
      <c r="K396" s="916">
        <v>-0.47</v>
      </c>
      <c r="L396" s="916">
        <v>-0.64200000000000002</v>
      </c>
    </row>
    <row r="397" spans="1:12" ht="14.5" x14ac:dyDescent="0.35">
      <c r="A397" s="915">
        <v>43014</v>
      </c>
      <c r="B397" s="743">
        <v>24.933900000000001</v>
      </c>
      <c r="C397" s="743">
        <v>12.167899999999999</v>
      </c>
      <c r="D397" s="915">
        <v>43014</v>
      </c>
      <c r="E397" s="743">
        <v>13.398999999999999</v>
      </c>
      <c r="F397" s="743">
        <v>7.1029999999999998</v>
      </c>
      <c r="G397" s="915">
        <v>43014</v>
      </c>
      <c r="H397" s="743">
        <v>3.3932000000000002</v>
      </c>
      <c r="I397" s="743">
        <v>1.1915</v>
      </c>
      <c r="J397" s="916">
        <v>-0.51200000000000001</v>
      </c>
      <c r="K397" s="916">
        <v>-0.47</v>
      </c>
      <c r="L397" s="916">
        <v>-0.64900000000000002</v>
      </c>
    </row>
    <row r="398" spans="1:12" ht="14.5" x14ac:dyDescent="0.35">
      <c r="A398" s="915">
        <v>43007</v>
      </c>
      <c r="B398" s="743">
        <v>24.607399999999998</v>
      </c>
      <c r="C398" s="743">
        <v>12.167899999999999</v>
      </c>
      <c r="D398" s="915">
        <v>43007</v>
      </c>
      <c r="E398" s="743">
        <v>13.4115</v>
      </c>
      <c r="F398" s="743">
        <v>7.1029999999999998</v>
      </c>
      <c r="G398" s="915">
        <v>43007</v>
      </c>
      <c r="H398" s="743">
        <v>3.3512</v>
      </c>
      <c r="I398" s="743">
        <v>1.1915</v>
      </c>
      <c r="J398" s="916">
        <v>-0.50600000000000001</v>
      </c>
      <c r="K398" s="916">
        <v>-0.47</v>
      </c>
      <c r="L398" s="916">
        <v>-0.64400000000000002</v>
      </c>
    </row>
    <row r="399" spans="1:12" ht="14.5" x14ac:dyDescent="0.35">
      <c r="A399" s="915">
        <v>43000</v>
      </c>
      <c r="B399" s="743">
        <v>24.414000000000001</v>
      </c>
      <c r="C399" s="743">
        <v>12.2014</v>
      </c>
      <c r="D399" s="915">
        <v>43000</v>
      </c>
      <c r="E399" s="743">
        <v>13.4115</v>
      </c>
      <c r="F399" s="743">
        <v>7.1028000000000002</v>
      </c>
      <c r="G399" s="915">
        <v>43000</v>
      </c>
      <c r="H399" s="743">
        <v>3.3247</v>
      </c>
      <c r="I399" s="743">
        <v>1.1938</v>
      </c>
      <c r="J399" s="916">
        <v>-0.5</v>
      </c>
      <c r="K399" s="916">
        <v>-0.47</v>
      </c>
      <c r="L399" s="916">
        <v>-0.64100000000000001</v>
      </c>
    </row>
    <row r="400" spans="1:12" ht="14.5" x14ac:dyDescent="0.35">
      <c r="A400" s="915">
        <v>42993</v>
      </c>
      <c r="B400" s="743">
        <v>24.6432</v>
      </c>
      <c r="C400" s="743">
        <v>12.043699999999999</v>
      </c>
      <c r="D400" s="915">
        <v>42993</v>
      </c>
      <c r="E400" s="743">
        <v>13.410600000000001</v>
      </c>
      <c r="F400" s="743">
        <v>7.1026999999999996</v>
      </c>
      <c r="G400" s="915">
        <v>42993</v>
      </c>
      <c r="H400" s="743">
        <v>3.3628999999999998</v>
      </c>
      <c r="I400" s="743">
        <v>1.1835</v>
      </c>
      <c r="J400" s="916">
        <v>-0.51100000000000001</v>
      </c>
      <c r="K400" s="916">
        <v>-0.47</v>
      </c>
      <c r="L400" s="916">
        <v>-0.64800000000000002</v>
      </c>
    </row>
    <row r="401" spans="1:12" ht="14.5" x14ac:dyDescent="0.35">
      <c r="A401" s="915">
        <v>42986</v>
      </c>
      <c r="B401" s="743">
        <v>24.337</v>
      </c>
      <c r="C401" s="743">
        <v>11.7979</v>
      </c>
      <c r="D401" s="915">
        <v>42986</v>
      </c>
      <c r="E401" s="743">
        <v>13.4108</v>
      </c>
      <c r="F401" s="743">
        <v>7.1028000000000002</v>
      </c>
      <c r="G401" s="915">
        <v>42986</v>
      </c>
      <c r="H401" s="743">
        <v>3.3208000000000002</v>
      </c>
      <c r="I401" s="743">
        <v>1.1628000000000001</v>
      </c>
      <c r="J401" s="916">
        <v>-0.51500000000000001</v>
      </c>
      <c r="K401" s="916">
        <v>-0.47</v>
      </c>
      <c r="L401" s="916">
        <v>-0.65</v>
      </c>
    </row>
    <row r="402" spans="1:12" ht="14.5" x14ac:dyDescent="0.35">
      <c r="A402" s="915">
        <v>42979</v>
      </c>
      <c r="B402" s="743">
        <v>24.644500000000001</v>
      </c>
      <c r="C402" s="743">
        <v>11.785399999999999</v>
      </c>
      <c r="D402" s="915">
        <v>42979</v>
      </c>
      <c r="E402" s="743">
        <v>13.4108</v>
      </c>
      <c r="F402" s="743">
        <v>7.1028000000000002</v>
      </c>
      <c r="G402" s="915">
        <v>42979</v>
      </c>
      <c r="H402" s="743">
        <v>3.3628</v>
      </c>
      <c r="I402" s="743">
        <v>1.1619999999999999</v>
      </c>
      <c r="J402" s="916">
        <v>-0.52200000000000002</v>
      </c>
      <c r="K402" s="916">
        <v>-0.47</v>
      </c>
      <c r="L402" s="916">
        <v>-0.65400000000000003</v>
      </c>
    </row>
    <row r="403" spans="1:12" ht="14.5" x14ac:dyDescent="0.35">
      <c r="A403" s="915">
        <v>42972</v>
      </c>
      <c r="B403" s="743">
        <v>23.950800000000001</v>
      </c>
      <c r="C403" s="743">
        <v>11.9223</v>
      </c>
      <c r="D403" s="915">
        <v>42972</v>
      </c>
      <c r="E403" s="743">
        <v>13.395099999999999</v>
      </c>
      <c r="F403" s="743">
        <v>7.1028000000000002</v>
      </c>
      <c r="G403" s="915">
        <v>42972</v>
      </c>
      <c r="H403" s="743">
        <v>3.2690999999999999</v>
      </c>
      <c r="I403" s="743">
        <v>1.1709000000000001</v>
      </c>
      <c r="J403" s="916">
        <v>-0.502</v>
      </c>
      <c r="K403" s="916">
        <v>-0.47</v>
      </c>
      <c r="L403" s="916">
        <v>-0.64200000000000002</v>
      </c>
    </row>
    <row r="404" spans="1:12" ht="14.5" x14ac:dyDescent="0.35">
      <c r="A404" s="915">
        <v>42965</v>
      </c>
      <c r="B404" s="743">
        <v>23.693100000000001</v>
      </c>
      <c r="C404" s="743">
        <v>11.8095</v>
      </c>
      <c r="D404" s="915">
        <v>42965</v>
      </c>
      <c r="E404" s="743">
        <v>13.358700000000001</v>
      </c>
      <c r="F404" s="743">
        <v>7.1029</v>
      </c>
      <c r="G404" s="915">
        <v>42965</v>
      </c>
      <c r="H404" s="743">
        <v>3.2517</v>
      </c>
      <c r="I404" s="743">
        <v>1.1635</v>
      </c>
      <c r="J404" s="916">
        <v>-0.502</v>
      </c>
      <c r="K404" s="916">
        <v>-0.46800000000000003</v>
      </c>
      <c r="L404" s="916">
        <v>-0.64200000000000002</v>
      </c>
    </row>
    <row r="405" spans="1:12" ht="14.5" x14ac:dyDescent="0.35">
      <c r="A405" s="915">
        <v>42958</v>
      </c>
      <c r="B405" s="743">
        <v>23.709299999999999</v>
      </c>
      <c r="C405" s="743">
        <v>12.7811</v>
      </c>
      <c r="D405" s="915">
        <v>42958</v>
      </c>
      <c r="E405" s="743">
        <v>13.267799999999999</v>
      </c>
      <c r="F405" s="743">
        <v>6.8141999999999996</v>
      </c>
      <c r="G405" s="915">
        <v>42958</v>
      </c>
      <c r="H405" s="743">
        <v>3.2753000000000001</v>
      </c>
      <c r="I405" s="743">
        <v>1.1318999999999999</v>
      </c>
      <c r="J405" s="916">
        <v>-0.46100000000000002</v>
      </c>
      <c r="K405" s="916">
        <v>-0.48599999999999999</v>
      </c>
      <c r="L405" s="916">
        <v>-0.65400000000000003</v>
      </c>
    </row>
    <row r="406" spans="1:12" ht="14.5" x14ac:dyDescent="0.35">
      <c r="A406" s="915">
        <v>42951</v>
      </c>
      <c r="B406" s="743">
        <v>23.979600000000001</v>
      </c>
      <c r="C406" s="743">
        <v>13.261900000000001</v>
      </c>
      <c r="D406" s="915">
        <v>42951</v>
      </c>
      <c r="E406" s="743">
        <v>13.2874</v>
      </c>
      <c r="F406" s="743">
        <v>6.8141999999999996</v>
      </c>
      <c r="G406" s="915">
        <v>42951</v>
      </c>
      <c r="H406" s="743">
        <v>3.3315000000000001</v>
      </c>
      <c r="I406" s="743">
        <v>1.1599999999999999</v>
      </c>
      <c r="J406" s="916">
        <v>-0.44700000000000001</v>
      </c>
      <c r="K406" s="916">
        <v>-0.48699999999999999</v>
      </c>
      <c r="L406" s="916">
        <v>-0.65200000000000002</v>
      </c>
    </row>
    <row r="407" spans="1:12" ht="14.5" x14ac:dyDescent="0.35">
      <c r="A407" s="915">
        <v>42944</v>
      </c>
      <c r="B407" s="743">
        <v>26.295300000000001</v>
      </c>
      <c r="C407" s="743">
        <v>13.2875</v>
      </c>
      <c r="D407" s="915">
        <v>42944</v>
      </c>
      <c r="E407" s="743">
        <v>13.6106</v>
      </c>
      <c r="F407" s="743">
        <v>6.8141999999999996</v>
      </c>
      <c r="G407" s="915">
        <v>42944</v>
      </c>
      <c r="H407" s="743">
        <v>3.4094000000000002</v>
      </c>
      <c r="I407" s="743">
        <v>1.1631</v>
      </c>
      <c r="J407" s="916">
        <v>-0.495</v>
      </c>
      <c r="K407" s="916">
        <v>-0.499</v>
      </c>
      <c r="L407" s="916">
        <v>-0.65900000000000003</v>
      </c>
    </row>
    <row r="408" spans="1:12" ht="14.5" x14ac:dyDescent="0.35">
      <c r="A408" s="915">
        <v>42937</v>
      </c>
      <c r="B408" s="743">
        <v>26.351500000000001</v>
      </c>
      <c r="C408" s="743">
        <v>13.6469</v>
      </c>
      <c r="D408" s="915">
        <v>42937</v>
      </c>
      <c r="E408" s="743">
        <v>13.6106</v>
      </c>
      <c r="F408" s="743">
        <v>6.8141999999999996</v>
      </c>
      <c r="G408" s="915">
        <v>42937</v>
      </c>
      <c r="H408" s="743">
        <v>3.4167000000000001</v>
      </c>
      <c r="I408" s="743">
        <v>1.1841999999999999</v>
      </c>
      <c r="J408" s="916">
        <v>-0.48199999999999998</v>
      </c>
      <c r="K408" s="916">
        <v>-0.499</v>
      </c>
      <c r="L408" s="916">
        <v>-0.65300000000000002</v>
      </c>
    </row>
    <row r="409" spans="1:12" ht="14.5" x14ac:dyDescent="0.35">
      <c r="A409" s="915">
        <v>42930</v>
      </c>
      <c r="B409" s="743">
        <v>25.9801</v>
      </c>
      <c r="C409" s="743">
        <v>13.464499999999999</v>
      </c>
      <c r="D409" s="915">
        <v>42930</v>
      </c>
      <c r="E409" s="743">
        <v>13.6106</v>
      </c>
      <c r="F409" s="743">
        <v>6.8141999999999996</v>
      </c>
      <c r="G409" s="915">
        <v>42930</v>
      </c>
      <c r="H409" s="743">
        <v>3.3681000000000001</v>
      </c>
      <c r="I409" s="743">
        <v>1.1735</v>
      </c>
      <c r="J409" s="916">
        <v>-0.48199999999999998</v>
      </c>
      <c r="K409" s="916">
        <v>-0.499</v>
      </c>
      <c r="L409" s="916">
        <v>-0.65200000000000002</v>
      </c>
    </row>
    <row r="410" spans="1:12" ht="14.5" x14ac:dyDescent="0.35">
      <c r="A410" s="915">
        <v>42923</v>
      </c>
      <c r="B410" s="743">
        <v>25.171900000000001</v>
      </c>
      <c r="C410" s="743">
        <v>13.1419</v>
      </c>
      <c r="D410" s="915">
        <v>42923</v>
      </c>
      <c r="E410" s="743">
        <v>13.6106</v>
      </c>
      <c r="F410" s="743">
        <v>6.8141999999999996</v>
      </c>
      <c r="G410" s="915">
        <v>42923</v>
      </c>
      <c r="H410" s="743">
        <v>3.2623000000000002</v>
      </c>
      <c r="I410" s="743">
        <v>1.157</v>
      </c>
      <c r="J410" s="916">
        <v>-0.47799999999999998</v>
      </c>
      <c r="K410" s="916">
        <v>-0.499</v>
      </c>
      <c r="L410" s="916">
        <v>-0.64500000000000002</v>
      </c>
    </row>
    <row r="411" spans="1:12" ht="14.5" x14ac:dyDescent="0.35">
      <c r="A411" s="915">
        <v>42916</v>
      </c>
      <c r="B411" s="743">
        <v>25.1294</v>
      </c>
      <c r="C411" s="743">
        <v>13.186400000000001</v>
      </c>
      <c r="D411" s="915">
        <v>42916</v>
      </c>
      <c r="E411" s="743">
        <v>13.6241</v>
      </c>
      <c r="F411" s="743">
        <v>6.8141999999999996</v>
      </c>
      <c r="G411" s="915">
        <v>42916</v>
      </c>
      <c r="H411" s="743">
        <v>3.2566999999999999</v>
      </c>
      <c r="I411" s="743">
        <v>1.1175999999999999</v>
      </c>
      <c r="J411" s="916">
        <v>-0.47499999999999998</v>
      </c>
      <c r="K411" s="916">
        <v>-0.5</v>
      </c>
      <c r="L411" s="916">
        <v>-0.65700000000000003</v>
      </c>
    </row>
    <row r="412" spans="1:12" ht="14.5" x14ac:dyDescent="0.35">
      <c r="A412" s="915">
        <v>42909</v>
      </c>
      <c r="B412" s="743">
        <v>25.8245</v>
      </c>
      <c r="C412" s="743">
        <v>13.120200000000001</v>
      </c>
      <c r="D412" s="915">
        <v>42909</v>
      </c>
      <c r="E412" s="743">
        <v>13.6241</v>
      </c>
      <c r="F412" s="743">
        <v>6.8141999999999996</v>
      </c>
      <c r="G412" s="915">
        <v>42909</v>
      </c>
      <c r="H412" s="743">
        <v>3.3477000000000001</v>
      </c>
      <c r="I412" s="743">
        <v>1.1138999999999999</v>
      </c>
      <c r="J412" s="916">
        <v>-0.49199999999999999</v>
      </c>
      <c r="K412" s="916">
        <v>-0.5</v>
      </c>
      <c r="L412" s="916">
        <v>-0.66700000000000004</v>
      </c>
    </row>
    <row r="413" spans="1:12" ht="14.5" x14ac:dyDescent="0.35">
      <c r="A413" s="915">
        <v>42902</v>
      </c>
      <c r="B413" s="743">
        <v>25.283200000000001</v>
      </c>
      <c r="C413" s="743">
        <v>12.943099999999999</v>
      </c>
      <c r="D413" s="915">
        <v>42902</v>
      </c>
      <c r="E413" s="743">
        <v>13.6242</v>
      </c>
      <c r="F413" s="743">
        <v>6.8141999999999996</v>
      </c>
      <c r="G413" s="915">
        <v>42902</v>
      </c>
      <c r="H413" s="743">
        <v>3.2965</v>
      </c>
      <c r="I413" s="743">
        <v>1.1037999999999999</v>
      </c>
      <c r="J413" s="916">
        <v>-0.48799999999999999</v>
      </c>
      <c r="K413" s="916">
        <v>-0.5</v>
      </c>
      <c r="L413" s="916">
        <v>-0.66500000000000004</v>
      </c>
    </row>
    <row r="414" spans="1:12" ht="14.5" x14ac:dyDescent="0.35">
      <c r="A414" s="915">
        <v>42895</v>
      </c>
      <c r="B414" s="743">
        <v>25.552299999999999</v>
      </c>
      <c r="C414" s="743">
        <v>13.0486</v>
      </c>
      <c r="D414" s="915">
        <v>42895</v>
      </c>
      <c r="E414" s="743">
        <v>13.6242</v>
      </c>
      <c r="F414" s="743">
        <v>6.8141999999999996</v>
      </c>
      <c r="G414" s="915">
        <v>42895</v>
      </c>
      <c r="H414" s="743">
        <v>3.3319000000000001</v>
      </c>
      <c r="I414" s="743">
        <v>1.1097999999999999</v>
      </c>
      <c r="J414" s="916">
        <v>-0.48899999999999999</v>
      </c>
      <c r="K414" s="916">
        <v>-0.5</v>
      </c>
      <c r="L414" s="916">
        <v>-0.66700000000000004</v>
      </c>
    </row>
    <row r="415" spans="1:12" ht="14.5" x14ac:dyDescent="0.35">
      <c r="A415" s="915">
        <v>42888</v>
      </c>
      <c r="B415" s="743">
        <v>26.173200000000001</v>
      </c>
      <c r="C415" s="743">
        <v>12.9864</v>
      </c>
      <c r="D415" s="915">
        <v>42888</v>
      </c>
      <c r="E415" s="743">
        <v>13.6242</v>
      </c>
      <c r="F415" s="743">
        <v>6.8141999999999996</v>
      </c>
      <c r="G415" s="915">
        <v>42888</v>
      </c>
      <c r="H415" s="743">
        <v>3.4137</v>
      </c>
      <c r="I415" s="743">
        <v>1.1175999999999999</v>
      </c>
      <c r="J415" s="916">
        <v>-0.504</v>
      </c>
      <c r="K415" s="916">
        <v>-0.5</v>
      </c>
      <c r="L415" s="916">
        <v>-0.67300000000000004</v>
      </c>
    </row>
    <row r="416" spans="1:12" ht="14.5" x14ac:dyDescent="0.35">
      <c r="A416" s="915">
        <v>42881</v>
      </c>
      <c r="B416" s="743">
        <v>25.669899999999998</v>
      </c>
      <c r="C416" s="743">
        <v>12.9536</v>
      </c>
      <c r="D416" s="915">
        <v>42881</v>
      </c>
      <c r="E416" s="743">
        <v>13.551</v>
      </c>
      <c r="F416" s="743">
        <v>6.8141999999999996</v>
      </c>
      <c r="G416" s="915">
        <v>42881</v>
      </c>
      <c r="H416" s="743">
        <v>3.3576999999999999</v>
      </c>
      <c r="I416" s="743">
        <v>1.1156999999999999</v>
      </c>
      <c r="J416" s="916">
        <v>-0.495</v>
      </c>
      <c r="K416" s="916">
        <v>-0.497</v>
      </c>
      <c r="L416" s="916">
        <v>-0.66800000000000004</v>
      </c>
    </row>
    <row r="417" spans="1:12" ht="14.5" x14ac:dyDescent="0.35">
      <c r="A417" s="915">
        <v>42874</v>
      </c>
      <c r="B417" s="743">
        <v>25.0671</v>
      </c>
      <c r="C417" s="743">
        <v>12.5906</v>
      </c>
      <c r="D417" s="915">
        <v>42874</v>
      </c>
      <c r="E417" s="743">
        <v>13.556699999999999</v>
      </c>
      <c r="F417" s="743">
        <v>6.8141999999999996</v>
      </c>
      <c r="G417" s="915">
        <v>42874</v>
      </c>
      <c r="H417" s="743">
        <v>3.2783000000000002</v>
      </c>
      <c r="I417" s="743">
        <v>1.1092</v>
      </c>
      <c r="J417" s="916">
        <v>-0.498</v>
      </c>
      <c r="K417" s="916">
        <v>-0.497</v>
      </c>
      <c r="L417" s="916">
        <v>-0.66200000000000003</v>
      </c>
    </row>
    <row r="418" spans="1:12" ht="14.5" x14ac:dyDescent="0.35">
      <c r="A418" s="915">
        <v>42867</v>
      </c>
      <c r="B418" s="743">
        <v>25.14</v>
      </c>
      <c r="C418" s="743">
        <v>12.1859</v>
      </c>
      <c r="D418" s="915">
        <v>42867</v>
      </c>
      <c r="E418" s="743">
        <v>13.5304</v>
      </c>
      <c r="F418" s="743">
        <v>6.6864999999999997</v>
      </c>
      <c r="G418" s="915">
        <v>42867</v>
      </c>
      <c r="H418" s="743">
        <v>3.2953999999999999</v>
      </c>
      <c r="I418" s="743">
        <v>1.1257999999999999</v>
      </c>
      <c r="J418" s="916">
        <v>-0.51500000000000001</v>
      </c>
      <c r="K418" s="916">
        <v>-0.50600000000000001</v>
      </c>
      <c r="L418" s="916">
        <v>-0.65800000000000003</v>
      </c>
    </row>
    <row r="419" spans="1:12" ht="14.5" x14ac:dyDescent="0.35">
      <c r="A419" s="915">
        <v>42860</v>
      </c>
      <c r="B419" s="743">
        <v>24.815000000000001</v>
      </c>
      <c r="C419" s="743">
        <v>14.088200000000001</v>
      </c>
      <c r="D419" s="915">
        <v>42860</v>
      </c>
      <c r="E419" s="743">
        <v>13.533899999999999</v>
      </c>
      <c r="F419" s="743">
        <v>6.7645999999999997</v>
      </c>
      <c r="G419" s="915">
        <v>42860</v>
      </c>
      <c r="H419" s="743">
        <v>3.2805</v>
      </c>
      <c r="I419" s="743">
        <v>1.1524000000000001</v>
      </c>
      <c r="J419" s="916">
        <v>-0.432</v>
      </c>
      <c r="K419" s="916">
        <v>-0.5</v>
      </c>
      <c r="L419" s="916">
        <v>-0.64900000000000002</v>
      </c>
    </row>
    <row r="420" spans="1:12" ht="14.5" x14ac:dyDescent="0.35">
      <c r="A420" s="915">
        <v>42853</v>
      </c>
      <c r="B420" s="743">
        <v>26.0244</v>
      </c>
      <c r="C420" s="743">
        <v>13.8269</v>
      </c>
      <c r="D420" s="915">
        <v>42853</v>
      </c>
      <c r="E420" s="743">
        <v>12.7166</v>
      </c>
      <c r="F420" s="743">
        <v>6.7645999999999997</v>
      </c>
      <c r="G420" s="915">
        <v>42853</v>
      </c>
      <c r="H420" s="743">
        <v>3.3330000000000002</v>
      </c>
      <c r="I420" s="743">
        <v>1.1383000000000001</v>
      </c>
      <c r="J420" s="916">
        <v>-0.46899999999999997</v>
      </c>
      <c r="K420" s="916">
        <v>-0.46800000000000003</v>
      </c>
      <c r="L420" s="916">
        <v>-0.65800000000000003</v>
      </c>
    </row>
    <row r="421" spans="1:12" ht="14.5" x14ac:dyDescent="0.35">
      <c r="A421" s="915">
        <v>42846</v>
      </c>
      <c r="B421" s="743">
        <v>25.365400000000001</v>
      </c>
      <c r="C421" s="743">
        <v>13.453799999999999</v>
      </c>
      <c r="D421" s="915">
        <v>42846</v>
      </c>
      <c r="E421" s="743">
        <v>12.7166</v>
      </c>
      <c r="F421" s="743">
        <v>6.7645999999999997</v>
      </c>
      <c r="G421" s="915">
        <v>42846</v>
      </c>
      <c r="H421" s="743">
        <v>3.2448000000000001</v>
      </c>
      <c r="I421" s="743">
        <v>1.1180000000000001</v>
      </c>
      <c r="J421" s="916">
        <v>-0.47</v>
      </c>
      <c r="K421" s="916">
        <v>-0.46800000000000003</v>
      </c>
      <c r="L421" s="916">
        <v>-0.65500000000000003</v>
      </c>
    </row>
    <row r="422" spans="1:12" ht="14.5" x14ac:dyDescent="0.35">
      <c r="A422" s="915">
        <v>42839</v>
      </c>
      <c r="B422" s="743">
        <v>24.953299999999999</v>
      </c>
      <c r="C422" s="743">
        <v>13.3285</v>
      </c>
      <c r="D422" s="915">
        <v>42839</v>
      </c>
      <c r="E422" s="743">
        <v>12.7166</v>
      </c>
      <c r="F422" s="743">
        <v>6.7645999999999997</v>
      </c>
      <c r="G422" s="915">
        <v>42839</v>
      </c>
      <c r="H422" s="743">
        <v>3.1917</v>
      </c>
      <c r="I422" s="743">
        <v>1.1128</v>
      </c>
      <c r="J422" s="916">
        <v>-0.46600000000000003</v>
      </c>
      <c r="K422" s="916">
        <v>-0.46800000000000003</v>
      </c>
      <c r="L422" s="916">
        <v>-0.65100000000000002</v>
      </c>
    </row>
    <row r="423" spans="1:12" ht="14.5" x14ac:dyDescent="0.35">
      <c r="A423" s="915">
        <v>42832</v>
      </c>
      <c r="B423" s="743">
        <v>25.254999999999999</v>
      </c>
      <c r="C423" s="743">
        <v>13.4095</v>
      </c>
      <c r="D423" s="915">
        <v>42832</v>
      </c>
      <c r="E423" s="743">
        <v>12.7074</v>
      </c>
      <c r="F423" s="743">
        <v>6.7645999999999997</v>
      </c>
      <c r="G423" s="915">
        <v>42832</v>
      </c>
      <c r="H423" s="743">
        <v>3.2305999999999999</v>
      </c>
      <c r="I423" s="743">
        <v>1.1172</v>
      </c>
      <c r="J423" s="916">
        <v>-0.46899999999999997</v>
      </c>
      <c r="K423" s="916">
        <v>-0.46800000000000003</v>
      </c>
      <c r="L423" s="916">
        <v>-0.65400000000000003</v>
      </c>
    </row>
    <row r="424" spans="1:12" ht="14.5" x14ac:dyDescent="0.35">
      <c r="A424" s="915">
        <v>42825</v>
      </c>
      <c r="B424" s="743">
        <v>25.357399999999998</v>
      </c>
      <c r="C424" s="743">
        <v>13.4895</v>
      </c>
      <c r="D424" s="915">
        <v>42825</v>
      </c>
      <c r="E424" s="743">
        <v>12.722</v>
      </c>
      <c r="F424" s="743">
        <v>6.7645999999999997</v>
      </c>
      <c r="G424" s="915">
        <v>42825</v>
      </c>
      <c r="H424" s="743">
        <v>3.2423000000000002</v>
      </c>
      <c r="I424" s="743">
        <v>1.1215999999999999</v>
      </c>
      <c r="J424" s="916">
        <v>-0.46800000000000003</v>
      </c>
      <c r="K424" s="916">
        <v>-0.46800000000000003</v>
      </c>
      <c r="L424" s="916">
        <v>-0.65400000000000003</v>
      </c>
    </row>
    <row r="425" spans="1:12" ht="14.5" x14ac:dyDescent="0.35">
      <c r="A425" s="915">
        <v>42818</v>
      </c>
      <c r="B425" s="743">
        <v>25.0291</v>
      </c>
      <c r="C425" s="743">
        <v>12.7202</v>
      </c>
      <c r="D425" s="915">
        <v>42818</v>
      </c>
      <c r="E425" s="743">
        <v>12.740500000000001</v>
      </c>
      <c r="F425" s="743">
        <v>6.5022000000000002</v>
      </c>
      <c r="G425" s="915">
        <v>42818</v>
      </c>
      <c r="H425" s="743">
        <v>3.1989000000000001</v>
      </c>
      <c r="I425" s="743">
        <v>1.1267</v>
      </c>
      <c r="J425" s="916">
        <v>-0.49199999999999999</v>
      </c>
      <c r="K425" s="916">
        <v>-0.49</v>
      </c>
      <c r="L425" s="916">
        <v>-0.64800000000000002</v>
      </c>
    </row>
    <row r="426" spans="1:12" ht="14.5" x14ac:dyDescent="0.35">
      <c r="A426" s="915">
        <v>42811</v>
      </c>
      <c r="B426" s="743">
        <v>25.232099999999999</v>
      </c>
      <c r="C426" s="743">
        <v>12.677099999999999</v>
      </c>
      <c r="D426" s="915">
        <v>42811</v>
      </c>
      <c r="E426" s="743">
        <v>12.740500000000001</v>
      </c>
      <c r="F426" s="743">
        <v>6.4981999999999998</v>
      </c>
      <c r="G426" s="915">
        <v>42811</v>
      </c>
      <c r="H426" s="743">
        <v>3.2345000000000002</v>
      </c>
      <c r="I426" s="743">
        <v>1.1257999999999999</v>
      </c>
      <c r="J426" s="916">
        <v>-0.498</v>
      </c>
      <c r="K426" s="916">
        <v>-0.49</v>
      </c>
      <c r="L426" s="916">
        <v>-0.65200000000000002</v>
      </c>
    </row>
    <row r="427" spans="1:12" ht="14.5" x14ac:dyDescent="0.35">
      <c r="A427" s="915">
        <v>42804</v>
      </c>
      <c r="B427" s="743">
        <v>25.125399999999999</v>
      </c>
      <c r="C427" s="743">
        <v>11.025</v>
      </c>
      <c r="D427" s="915">
        <v>42804</v>
      </c>
      <c r="E427" s="743">
        <v>12.740500000000001</v>
      </c>
      <c r="F427" s="743">
        <v>6.4184000000000001</v>
      </c>
      <c r="G427" s="915">
        <v>42804</v>
      </c>
      <c r="H427" s="743">
        <v>3.2206999999999999</v>
      </c>
      <c r="I427" s="743">
        <v>1.0515000000000001</v>
      </c>
      <c r="J427" s="916">
        <v>-0.56100000000000005</v>
      </c>
      <c r="K427" s="916">
        <v>-0.496</v>
      </c>
      <c r="L427" s="916">
        <v>-0.67400000000000004</v>
      </c>
    </row>
    <row r="428" spans="1:12" ht="14.5" x14ac:dyDescent="0.35">
      <c r="A428" s="915">
        <v>42797</v>
      </c>
      <c r="B428" s="743">
        <v>25.068300000000001</v>
      </c>
      <c r="C428" s="743">
        <v>10.701000000000001</v>
      </c>
      <c r="D428" s="915">
        <v>42797</v>
      </c>
      <c r="E428" s="743">
        <v>12.7386</v>
      </c>
      <c r="F428" s="743">
        <v>6.4162999999999997</v>
      </c>
      <c r="G428" s="915">
        <v>42797</v>
      </c>
      <c r="H428" s="743">
        <v>3.2126000000000001</v>
      </c>
      <c r="I428" s="743">
        <v>1.0377000000000001</v>
      </c>
      <c r="J428" s="916">
        <v>-0.57299999999999995</v>
      </c>
      <c r="K428" s="916">
        <v>-0.496</v>
      </c>
      <c r="L428" s="916">
        <v>-0.67700000000000005</v>
      </c>
    </row>
    <row r="429" spans="1:12" ht="14.5" x14ac:dyDescent="0.35">
      <c r="A429" s="915">
        <v>42790</v>
      </c>
      <c r="B429" s="743">
        <v>24.704899999999999</v>
      </c>
      <c r="C429" s="743">
        <v>10.2873</v>
      </c>
      <c r="D429" s="915">
        <v>42790</v>
      </c>
      <c r="E429" s="743">
        <v>12.6806</v>
      </c>
      <c r="F429" s="743">
        <v>6.5896999999999997</v>
      </c>
      <c r="G429" s="915">
        <v>42790</v>
      </c>
      <c r="H429" s="743">
        <v>3.2058</v>
      </c>
      <c r="I429" s="743">
        <v>1.0481</v>
      </c>
      <c r="J429" s="916">
        <v>-0.58399999999999996</v>
      </c>
      <c r="K429" s="916">
        <v>-0.48</v>
      </c>
      <c r="L429" s="916">
        <v>-0.67300000000000004</v>
      </c>
    </row>
    <row r="430" spans="1:12" ht="14.5" x14ac:dyDescent="0.35">
      <c r="A430" s="915">
        <v>42783</v>
      </c>
      <c r="B430" s="743">
        <v>24.523099999999999</v>
      </c>
      <c r="C430" s="743">
        <v>10.5785</v>
      </c>
      <c r="D430" s="915">
        <v>42783</v>
      </c>
      <c r="E430" s="743">
        <v>12.6747</v>
      </c>
      <c r="F430" s="743">
        <v>6.1003999999999996</v>
      </c>
      <c r="G430" s="915">
        <v>42783</v>
      </c>
      <c r="H430" s="743">
        <v>3.1937000000000002</v>
      </c>
      <c r="I430" s="743">
        <v>0.98370000000000002</v>
      </c>
      <c r="J430" s="916">
        <v>-0.56899999999999995</v>
      </c>
      <c r="K430" s="916">
        <v>-0.51900000000000002</v>
      </c>
      <c r="L430" s="916">
        <v>-0.69199999999999995</v>
      </c>
    </row>
    <row r="431" spans="1:12" ht="14.5" x14ac:dyDescent="0.35">
      <c r="A431" s="915">
        <v>42776</v>
      </c>
      <c r="B431" s="743">
        <v>25.303799999999999</v>
      </c>
      <c r="C431" s="743">
        <v>10.4991</v>
      </c>
      <c r="D431" s="915">
        <v>42776</v>
      </c>
      <c r="E431" s="743">
        <v>13.176299999999999</v>
      </c>
      <c r="F431" s="743">
        <v>5.7668999999999997</v>
      </c>
      <c r="G431" s="915">
        <v>42776</v>
      </c>
      <c r="H431" s="743">
        <v>3.1711</v>
      </c>
      <c r="I431" s="743">
        <v>0.9335</v>
      </c>
      <c r="J431" s="916">
        <v>-0.58499999999999996</v>
      </c>
      <c r="K431" s="916">
        <v>-0.56200000000000006</v>
      </c>
      <c r="L431" s="916">
        <v>-0.70599999999999996</v>
      </c>
    </row>
    <row r="432" spans="1:12" ht="14.5" x14ac:dyDescent="0.35">
      <c r="A432" s="915">
        <v>42769</v>
      </c>
      <c r="B432" s="743">
        <v>24.988700000000001</v>
      </c>
      <c r="C432" s="743">
        <v>11.381399999999999</v>
      </c>
      <c r="D432" s="915">
        <v>42769</v>
      </c>
      <c r="E432" s="743">
        <v>13.1768</v>
      </c>
      <c r="F432" s="743">
        <v>5.1535000000000002</v>
      </c>
      <c r="G432" s="915">
        <v>42769</v>
      </c>
      <c r="H432" s="743">
        <v>3.1431</v>
      </c>
      <c r="I432" s="743">
        <v>0.83630000000000004</v>
      </c>
      <c r="J432" s="916">
        <v>-0.54500000000000004</v>
      </c>
      <c r="K432" s="916">
        <v>-0.60899999999999999</v>
      </c>
      <c r="L432" s="916">
        <v>-0.73399999999999999</v>
      </c>
    </row>
    <row r="433" spans="1:12" ht="14.5" x14ac:dyDescent="0.35">
      <c r="A433" s="915">
        <v>42762</v>
      </c>
      <c r="B433" s="743">
        <v>25.02</v>
      </c>
      <c r="C433" s="743">
        <v>13.2341</v>
      </c>
      <c r="D433" s="915">
        <v>42762</v>
      </c>
      <c r="E433" s="743">
        <v>13.1768</v>
      </c>
      <c r="F433" s="743">
        <v>6.7259000000000002</v>
      </c>
      <c r="G433" s="915">
        <v>42762</v>
      </c>
      <c r="H433" s="743">
        <v>3.1511999999999998</v>
      </c>
      <c r="I433" s="743">
        <v>1.0823</v>
      </c>
      <c r="J433" s="916">
        <v>-0.47099999999999997</v>
      </c>
      <c r="K433" s="916">
        <v>-0.49</v>
      </c>
      <c r="L433" s="916">
        <v>-0.65700000000000003</v>
      </c>
    </row>
    <row r="434" spans="1:12" ht="14.5" x14ac:dyDescent="0.35">
      <c r="A434" s="915">
        <v>42755</v>
      </c>
      <c r="B434" s="743">
        <v>24.5123</v>
      </c>
      <c r="C434" s="743">
        <v>12.997199999999999</v>
      </c>
      <c r="D434" s="915">
        <v>42755</v>
      </c>
      <c r="E434" s="743">
        <v>13.1768</v>
      </c>
      <c r="F434" s="743">
        <v>6.7259000000000002</v>
      </c>
      <c r="G434" s="915">
        <v>42755</v>
      </c>
      <c r="H434" s="743">
        <v>3.0865999999999998</v>
      </c>
      <c r="I434" s="743">
        <v>1.0697000000000001</v>
      </c>
      <c r="J434" s="916">
        <v>-0.47</v>
      </c>
      <c r="K434" s="916">
        <v>-0.49</v>
      </c>
      <c r="L434" s="916">
        <v>-0.65300000000000002</v>
      </c>
    </row>
    <row r="435" spans="1:12" ht="14.5" x14ac:dyDescent="0.35">
      <c r="A435" s="915">
        <v>42748</v>
      </c>
      <c r="B435" s="743">
        <v>24.494499999999999</v>
      </c>
      <c r="C435" s="743">
        <v>13.0609</v>
      </c>
      <c r="D435" s="915">
        <v>42748</v>
      </c>
      <c r="E435" s="743">
        <v>13.1776</v>
      </c>
      <c r="F435" s="743">
        <v>6.7253999999999996</v>
      </c>
      <c r="G435" s="915">
        <v>42748</v>
      </c>
      <c r="H435" s="743">
        <v>3.0842999999999998</v>
      </c>
      <c r="I435" s="743">
        <v>1.0728</v>
      </c>
      <c r="J435" s="916">
        <v>-0.46700000000000003</v>
      </c>
      <c r="K435" s="916">
        <v>-0.49</v>
      </c>
      <c r="L435" s="916">
        <v>-0.65200000000000002</v>
      </c>
    </row>
    <row r="436" spans="1:12" ht="14.5" x14ac:dyDescent="0.35">
      <c r="A436" s="915">
        <v>42741</v>
      </c>
      <c r="B436" s="743">
        <v>24.240600000000001</v>
      </c>
      <c r="C436" s="743">
        <v>12.8108</v>
      </c>
      <c r="D436" s="915">
        <v>42741</v>
      </c>
      <c r="E436" s="743">
        <v>13.1782</v>
      </c>
      <c r="F436" s="743">
        <v>6.7253999999999996</v>
      </c>
      <c r="G436" s="915">
        <v>42741</v>
      </c>
      <c r="H436" s="743">
        <v>3.052</v>
      </c>
      <c r="I436" s="743">
        <v>1.0598000000000001</v>
      </c>
      <c r="J436" s="916">
        <v>-0.47199999999999998</v>
      </c>
      <c r="K436" s="916">
        <v>-0.49</v>
      </c>
      <c r="L436" s="916">
        <v>-0.65300000000000002</v>
      </c>
    </row>
    <row r="437" spans="1:12" ht="14.5" x14ac:dyDescent="0.35">
      <c r="A437" s="915">
        <v>42734</v>
      </c>
      <c r="B437" s="743">
        <v>23.546099999999999</v>
      </c>
      <c r="C437" s="743">
        <v>11.8073</v>
      </c>
      <c r="D437" s="915">
        <v>42734</v>
      </c>
      <c r="E437" s="743">
        <v>13.167299999999999</v>
      </c>
      <c r="F437" s="743">
        <v>6.3273999999999999</v>
      </c>
      <c r="G437" s="915">
        <v>42734</v>
      </c>
      <c r="H437" s="743">
        <v>2.9636</v>
      </c>
      <c r="I437" s="743">
        <v>1.0516000000000001</v>
      </c>
      <c r="J437" s="916">
        <v>-0.499</v>
      </c>
      <c r="K437" s="916">
        <v>-0.51900000000000002</v>
      </c>
      <c r="L437" s="916">
        <v>-0.64500000000000002</v>
      </c>
    </row>
    <row r="438" spans="1:12" ht="14.5" x14ac:dyDescent="0.35">
      <c r="A438" s="915">
        <v>42727</v>
      </c>
      <c r="B438" s="743">
        <v>23.916</v>
      </c>
      <c r="C438" s="743">
        <v>11.882400000000001</v>
      </c>
      <c r="D438" s="915">
        <v>42727</v>
      </c>
      <c r="E438" s="743">
        <v>13.167299999999999</v>
      </c>
      <c r="F438" s="743">
        <v>6.3274999999999997</v>
      </c>
      <c r="G438" s="915">
        <v>42727</v>
      </c>
      <c r="H438" s="743">
        <v>3.0106999999999999</v>
      </c>
      <c r="I438" s="743">
        <v>1.0548999999999999</v>
      </c>
      <c r="J438" s="916">
        <v>-0.503</v>
      </c>
      <c r="K438" s="916">
        <v>-0.51900000000000002</v>
      </c>
      <c r="L438" s="916">
        <v>-0.65</v>
      </c>
    </row>
    <row r="439" spans="1:12" ht="14.5" x14ac:dyDescent="0.35">
      <c r="A439" s="915">
        <v>42720</v>
      </c>
      <c r="B439" s="743">
        <v>23.789899999999999</v>
      </c>
      <c r="C439" s="743">
        <v>11.9208</v>
      </c>
      <c r="D439" s="915">
        <v>42720</v>
      </c>
      <c r="E439" s="743">
        <v>13.167899999999999</v>
      </c>
      <c r="F439" s="743">
        <v>6.3277999999999999</v>
      </c>
      <c r="G439" s="915">
        <v>42720</v>
      </c>
      <c r="H439" s="743">
        <v>2.9923999999999999</v>
      </c>
      <c r="I439" s="743">
        <v>1.0569999999999999</v>
      </c>
      <c r="J439" s="916">
        <v>-0.499</v>
      </c>
      <c r="K439" s="916">
        <v>-0.51900000000000002</v>
      </c>
      <c r="L439" s="916">
        <v>-0.64700000000000002</v>
      </c>
    </row>
    <row r="440" spans="1:12" ht="14.5" x14ac:dyDescent="0.35">
      <c r="A440" s="915">
        <v>42713</v>
      </c>
      <c r="B440" s="743">
        <v>23.6981</v>
      </c>
      <c r="C440" s="743">
        <v>11.863300000000001</v>
      </c>
      <c r="D440" s="915">
        <v>42713</v>
      </c>
      <c r="E440" s="743">
        <v>13.170999999999999</v>
      </c>
      <c r="F440" s="743">
        <v>6.3277999999999999</v>
      </c>
      <c r="G440" s="915">
        <v>42713</v>
      </c>
      <c r="H440" s="743">
        <v>2.9813999999999998</v>
      </c>
      <c r="I440" s="743">
        <v>1.0537000000000001</v>
      </c>
      <c r="J440" s="916">
        <v>-0.499</v>
      </c>
      <c r="K440" s="916">
        <v>-0.52</v>
      </c>
      <c r="L440" s="916">
        <v>-0.64700000000000002</v>
      </c>
    </row>
    <row r="441" spans="1:12" ht="14.5" x14ac:dyDescent="0.35">
      <c r="A441" s="915">
        <v>42706</v>
      </c>
      <c r="B441" s="743">
        <v>22.485800000000001</v>
      </c>
      <c r="C441" s="743">
        <v>11.5016</v>
      </c>
      <c r="D441" s="915">
        <v>42706</v>
      </c>
      <c r="E441" s="743">
        <v>13.075100000000001</v>
      </c>
      <c r="F441" s="743">
        <v>6.3281000000000001</v>
      </c>
      <c r="G441" s="915">
        <v>42706</v>
      </c>
      <c r="H441" s="743">
        <v>2.8805000000000001</v>
      </c>
      <c r="I441" s="743">
        <v>1.0326</v>
      </c>
      <c r="J441" s="916">
        <v>-0.48799999999999999</v>
      </c>
      <c r="K441" s="916">
        <v>-0.51600000000000001</v>
      </c>
      <c r="L441" s="916">
        <v>-0.64200000000000002</v>
      </c>
    </row>
    <row r="442" spans="1:12" ht="14.5" x14ac:dyDescent="0.35">
      <c r="A442" s="915">
        <v>42699</v>
      </c>
      <c r="B442" s="743">
        <v>23.097000000000001</v>
      </c>
      <c r="C442" s="743">
        <v>11.454499999999999</v>
      </c>
      <c r="D442" s="915">
        <v>42699</v>
      </c>
      <c r="E442" s="743">
        <v>13.0739</v>
      </c>
      <c r="F442" s="743">
        <v>6.3281999999999998</v>
      </c>
      <c r="G442" s="915">
        <v>42699</v>
      </c>
      <c r="H442" s="743">
        <v>2.9607999999999999</v>
      </c>
      <c r="I442" s="743">
        <v>1.0305</v>
      </c>
      <c r="J442" s="916">
        <v>-0.504</v>
      </c>
      <c r="K442" s="916">
        <v>-0.51600000000000001</v>
      </c>
      <c r="L442" s="916">
        <v>-0.65200000000000002</v>
      </c>
    </row>
    <row r="443" spans="1:12" ht="14.5" x14ac:dyDescent="0.35">
      <c r="A443" s="915">
        <v>42692</v>
      </c>
      <c r="B443" s="743">
        <v>22.8352</v>
      </c>
      <c r="C443" s="743">
        <v>11.3169</v>
      </c>
      <c r="D443" s="915">
        <v>42692</v>
      </c>
      <c r="E443" s="743">
        <v>13.057</v>
      </c>
      <c r="F443" s="743">
        <v>6.3285999999999998</v>
      </c>
      <c r="G443" s="915">
        <v>42692</v>
      </c>
      <c r="H443" s="743">
        <v>2.9217</v>
      </c>
      <c r="I443" s="743">
        <v>1.0226999999999999</v>
      </c>
      <c r="J443" s="916">
        <v>-0.504</v>
      </c>
      <c r="K443" s="916">
        <v>-0.51500000000000001</v>
      </c>
      <c r="L443" s="916">
        <v>-0.65</v>
      </c>
    </row>
    <row r="444" spans="1:12" ht="14.5" x14ac:dyDescent="0.35">
      <c r="A444" s="915">
        <v>42685</v>
      </c>
      <c r="B444" s="743">
        <v>23.095600000000001</v>
      </c>
      <c r="C444" s="743">
        <v>11.076000000000001</v>
      </c>
      <c r="D444" s="915">
        <v>42685</v>
      </c>
      <c r="E444" s="743">
        <v>11.9328</v>
      </c>
      <c r="F444" s="743">
        <v>6.4541000000000004</v>
      </c>
      <c r="G444" s="915">
        <v>42685</v>
      </c>
      <c r="H444" s="743">
        <v>2.9453999999999998</v>
      </c>
      <c r="I444" s="743">
        <v>0.98829999999999996</v>
      </c>
      <c r="J444" s="916">
        <v>-0.52</v>
      </c>
      <c r="K444" s="916">
        <v>-0.45900000000000002</v>
      </c>
      <c r="L444" s="916">
        <v>-0.66400000000000003</v>
      </c>
    </row>
    <row r="445" spans="1:12" ht="14.5" x14ac:dyDescent="0.35">
      <c r="A445" s="915">
        <v>42678</v>
      </c>
      <c r="B445" s="743">
        <v>22.651199999999999</v>
      </c>
      <c r="C445" s="743">
        <v>11.1417</v>
      </c>
      <c r="D445" s="915">
        <v>42678</v>
      </c>
      <c r="E445" s="743">
        <v>11.9328</v>
      </c>
      <c r="F445" s="743">
        <v>6.4436</v>
      </c>
      <c r="G445" s="915">
        <v>42678</v>
      </c>
      <c r="H445" s="743">
        <v>2.8895</v>
      </c>
      <c r="I445" s="743">
        <v>0.98799999999999999</v>
      </c>
      <c r="J445" s="916">
        <v>-0.50800000000000001</v>
      </c>
      <c r="K445" s="916">
        <v>-0.46</v>
      </c>
      <c r="L445" s="916">
        <v>-0.65800000000000003</v>
      </c>
    </row>
    <row r="446" spans="1:12" ht="14.5" x14ac:dyDescent="0.35">
      <c r="A446" s="915">
        <v>42671</v>
      </c>
      <c r="B446" s="743">
        <v>23.3566</v>
      </c>
      <c r="C446" s="743">
        <v>13.0944</v>
      </c>
      <c r="D446" s="915">
        <v>42671</v>
      </c>
      <c r="E446" s="743">
        <v>11.8643</v>
      </c>
      <c r="F446" s="743">
        <v>6.5598000000000001</v>
      </c>
      <c r="G446" s="915">
        <v>42671</v>
      </c>
      <c r="H446" s="743">
        <v>2.9803000000000002</v>
      </c>
      <c r="I446" s="743">
        <v>1.0476000000000001</v>
      </c>
      <c r="J446" s="916">
        <v>-0.439</v>
      </c>
      <c r="K446" s="916">
        <v>-0.44700000000000001</v>
      </c>
      <c r="L446" s="916">
        <v>-0.64800000000000002</v>
      </c>
    </row>
    <row r="447" spans="1:12" ht="14.5" x14ac:dyDescent="0.35">
      <c r="A447" s="915">
        <v>42664</v>
      </c>
      <c r="B447" s="743">
        <v>23.581199999999999</v>
      </c>
      <c r="C447" s="743">
        <v>13.1022</v>
      </c>
      <c r="D447" s="915">
        <v>42664</v>
      </c>
      <c r="E447" s="743">
        <v>11.864000000000001</v>
      </c>
      <c r="F447" s="743">
        <v>6.5598000000000001</v>
      </c>
      <c r="G447" s="915">
        <v>42664</v>
      </c>
      <c r="H447" s="743">
        <v>3.0091999999999999</v>
      </c>
      <c r="I447" s="743">
        <v>1.048</v>
      </c>
      <c r="J447" s="916">
        <v>-0.44400000000000001</v>
      </c>
      <c r="K447" s="916">
        <v>-0.44700000000000001</v>
      </c>
      <c r="L447" s="916">
        <v>-0.65200000000000002</v>
      </c>
    </row>
    <row r="448" spans="1:12" ht="14.5" x14ac:dyDescent="0.35">
      <c r="A448" s="915">
        <v>42657</v>
      </c>
      <c r="B448" s="743">
        <v>23.3733</v>
      </c>
      <c r="C448" s="743">
        <v>12.962199999999999</v>
      </c>
      <c r="D448" s="915">
        <v>42657</v>
      </c>
      <c r="E448" s="743">
        <v>11.8627</v>
      </c>
      <c r="F448" s="743">
        <v>6.5598000000000001</v>
      </c>
      <c r="G448" s="915">
        <v>42657</v>
      </c>
      <c r="H448" s="743">
        <v>2.9807999999999999</v>
      </c>
      <c r="I448" s="743">
        <v>1.0398000000000001</v>
      </c>
      <c r="J448" s="916">
        <v>-0.44500000000000001</v>
      </c>
      <c r="K448" s="916">
        <v>-0.44700000000000001</v>
      </c>
      <c r="L448" s="916">
        <v>-0.65100000000000002</v>
      </c>
    </row>
    <row r="449" spans="1:12" ht="14.5" x14ac:dyDescent="0.35">
      <c r="A449" s="915">
        <v>42650</v>
      </c>
      <c r="B449" s="743">
        <v>23.645499999999998</v>
      </c>
      <c r="C449" s="743">
        <v>13.233599999999999</v>
      </c>
      <c r="D449" s="915">
        <v>42650</v>
      </c>
      <c r="E449" s="743">
        <v>11.8649</v>
      </c>
      <c r="F449" s="743">
        <v>6.5598000000000001</v>
      </c>
      <c r="G449" s="915">
        <v>42650</v>
      </c>
      <c r="H449" s="743">
        <v>3.0106000000000002</v>
      </c>
      <c r="I449" s="743">
        <v>1.0548</v>
      </c>
      <c r="J449" s="916">
        <v>-0.44</v>
      </c>
      <c r="K449" s="916">
        <v>-0.44700000000000001</v>
      </c>
      <c r="L449" s="916">
        <v>-0.65</v>
      </c>
    </row>
    <row r="450" spans="1:12" ht="14.5" x14ac:dyDescent="0.35">
      <c r="A450" s="915">
        <v>42643</v>
      </c>
      <c r="B450" s="743">
        <v>23.717099999999999</v>
      </c>
      <c r="C450" s="743">
        <v>13.0688</v>
      </c>
      <c r="D450" s="915">
        <v>42643</v>
      </c>
      <c r="E450" s="743">
        <v>11.874599999999999</v>
      </c>
      <c r="F450" s="743">
        <v>6.5598000000000001</v>
      </c>
      <c r="G450" s="915">
        <v>42643</v>
      </c>
      <c r="H450" s="743">
        <v>3.02</v>
      </c>
      <c r="I450" s="743">
        <v>1.0464</v>
      </c>
      <c r="J450" s="916">
        <v>-0.44900000000000001</v>
      </c>
      <c r="K450" s="916">
        <v>-0.44800000000000001</v>
      </c>
      <c r="L450" s="916">
        <v>-0.65400000000000003</v>
      </c>
    </row>
    <row r="451" spans="1:12" ht="14.5" x14ac:dyDescent="0.35">
      <c r="A451" s="915">
        <v>42636</v>
      </c>
      <c r="B451" s="743">
        <v>23.6371</v>
      </c>
      <c r="C451" s="743">
        <v>13.112</v>
      </c>
      <c r="D451" s="915">
        <v>42636</v>
      </c>
      <c r="E451" s="743">
        <v>11.8627</v>
      </c>
      <c r="F451" s="743">
        <v>6.5598000000000001</v>
      </c>
      <c r="G451" s="915">
        <v>42636</v>
      </c>
      <c r="H451" s="743">
        <v>3.0059999999999998</v>
      </c>
      <c r="I451" s="743">
        <v>1.0479000000000001</v>
      </c>
      <c r="J451" s="916">
        <v>-0.44500000000000001</v>
      </c>
      <c r="K451" s="916">
        <v>-0.44700000000000001</v>
      </c>
      <c r="L451" s="916">
        <v>-0.65100000000000002</v>
      </c>
    </row>
    <row r="452" spans="1:12" ht="14.5" x14ac:dyDescent="0.35">
      <c r="A452" s="915">
        <v>42629</v>
      </c>
      <c r="B452" s="743">
        <v>23.438099999999999</v>
      </c>
      <c r="C452" s="743">
        <v>12.788</v>
      </c>
      <c r="D452" s="915">
        <v>42629</v>
      </c>
      <c r="E452" s="743">
        <v>11.8628</v>
      </c>
      <c r="F452" s="743">
        <v>6.5598000000000001</v>
      </c>
      <c r="G452" s="915">
        <v>42629</v>
      </c>
      <c r="H452" s="743">
        <v>2.9889999999999999</v>
      </c>
      <c r="I452" s="743">
        <v>1.0315000000000001</v>
      </c>
      <c r="J452" s="916">
        <v>-0.45400000000000001</v>
      </c>
      <c r="K452" s="916">
        <v>-0.44700000000000001</v>
      </c>
      <c r="L452" s="916">
        <v>-0.65500000000000003</v>
      </c>
    </row>
    <row r="453" spans="1:12" ht="14.5" x14ac:dyDescent="0.35">
      <c r="A453" s="915">
        <v>42622</v>
      </c>
      <c r="B453" s="743">
        <v>22.774000000000001</v>
      </c>
      <c r="C453" s="743">
        <v>13.0771</v>
      </c>
      <c r="D453" s="915">
        <v>42622</v>
      </c>
      <c r="E453" s="743">
        <v>11.8627</v>
      </c>
      <c r="F453" s="743">
        <v>6.5598000000000001</v>
      </c>
      <c r="G453" s="915">
        <v>42622</v>
      </c>
      <c r="H453" s="743">
        <v>2.9036</v>
      </c>
      <c r="I453" s="743">
        <v>1.0461</v>
      </c>
      <c r="J453" s="916">
        <v>-0.42599999999999999</v>
      </c>
      <c r="K453" s="916">
        <v>-0.44700000000000001</v>
      </c>
      <c r="L453" s="916">
        <v>-0.64</v>
      </c>
    </row>
    <row r="454" spans="1:12" ht="14.5" x14ac:dyDescent="0.35">
      <c r="A454" s="915">
        <v>42615</v>
      </c>
      <c r="B454" s="743">
        <v>23.343699999999998</v>
      </c>
      <c r="C454" s="743">
        <v>13.019299999999999</v>
      </c>
      <c r="D454" s="915">
        <v>42615</v>
      </c>
      <c r="E454" s="743">
        <v>11.8627</v>
      </c>
      <c r="F454" s="743">
        <v>6.5598000000000001</v>
      </c>
      <c r="G454" s="915">
        <v>42615</v>
      </c>
      <c r="H454" s="743">
        <v>2.9769000000000001</v>
      </c>
      <c r="I454" s="743">
        <v>1.0431999999999999</v>
      </c>
      <c r="J454" s="916">
        <v>-0.442</v>
      </c>
      <c r="K454" s="916">
        <v>-0.44700000000000001</v>
      </c>
      <c r="L454" s="916">
        <v>-0.65</v>
      </c>
    </row>
    <row r="455" spans="1:12" ht="14.5" x14ac:dyDescent="0.35">
      <c r="A455" s="915">
        <v>42608</v>
      </c>
      <c r="B455" s="743">
        <v>23.157900000000001</v>
      </c>
      <c r="C455" s="743">
        <v>12.9938</v>
      </c>
      <c r="D455" s="915">
        <v>42608</v>
      </c>
      <c r="E455" s="743">
        <v>11.8215</v>
      </c>
      <c r="F455" s="743">
        <v>6.5598000000000001</v>
      </c>
      <c r="G455" s="915">
        <v>42608</v>
      </c>
      <c r="H455" s="743">
        <v>2.9647000000000001</v>
      </c>
      <c r="I455" s="743">
        <v>1.0419</v>
      </c>
      <c r="J455" s="916">
        <v>-0.439</v>
      </c>
      <c r="K455" s="916">
        <v>-0.44500000000000001</v>
      </c>
      <c r="L455" s="916">
        <v>-0.64900000000000002</v>
      </c>
    </row>
    <row r="456" spans="1:12" ht="14.5" x14ac:dyDescent="0.35">
      <c r="A456" s="915">
        <v>42601</v>
      </c>
      <c r="B456" s="743">
        <v>23.245200000000001</v>
      </c>
      <c r="C456" s="743">
        <v>13.1267</v>
      </c>
      <c r="D456" s="915">
        <v>42601</v>
      </c>
      <c r="E456" s="743">
        <v>11.811999999999999</v>
      </c>
      <c r="F456" s="743">
        <v>6.5598000000000001</v>
      </c>
      <c r="G456" s="915">
        <v>42601</v>
      </c>
      <c r="H456" s="743">
        <v>2.9786000000000001</v>
      </c>
      <c r="I456" s="743">
        <v>1.0486</v>
      </c>
      <c r="J456" s="916">
        <v>-0.435</v>
      </c>
      <c r="K456" s="916">
        <v>-0.44500000000000001</v>
      </c>
      <c r="L456" s="916">
        <v>-0.64800000000000002</v>
      </c>
    </row>
    <row r="457" spans="1:12" ht="14.5" x14ac:dyDescent="0.35">
      <c r="A457" s="915">
        <v>42594</v>
      </c>
      <c r="B457" s="743">
        <v>23.1144</v>
      </c>
      <c r="C457" s="743">
        <v>11.5282</v>
      </c>
      <c r="D457" s="915">
        <v>42594</v>
      </c>
      <c r="E457" s="743">
        <v>12.069000000000001</v>
      </c>
      <c r="F457" s="743">
        <v>6.2054</v>
      </c>
      <c r="G457" s="915">
        <v>42594</v>
      </c>
      <c r="H457" s="743">
        <v>2.9841000000000002</v>
      </c>
      <c r="I457" s="743">
        <v>1.0003</v>
      </c>
      <c r="J457" s="916">
        <v>-0.501</v>
      </c>
      <c r="K457" s="916">
        <v>-0.48599999999999999</v>
      </c>
      <c r="L457" s="916">
        <v>-0.66500000000000004</v>
      </c>
    </row>
    <row r="458" spans="1:12" ht="14.5" x14ac:dyDescent="0.35">
      <c r="A458" s="915">
        <v>42587</v>
      </c>
      <c r="B458" s="743">
        <v>23.0381</v>
      </c>
      <c r="C458" s="743">
        <v>11.4651</v>
      </c>
      <c r="D458" s="915">
        <v>42587</v>
      </c>
      <c r="E458" s="743">
        <v>12.069000000000001</v>
      </c>
      <c r="F458" s="743">
        <v>6.2222999999999997</v>
      </c>
      <c r="G458" s="915">
        <v>42587</v>
      </c>
      <c r="H458" s="743">
        <v>2.9741</v>
      </c>
      <c r="I458" s="743">
        <v>0.99109999999999998</v>
      </c>
      <c r="J458" s="916">
        <v>-0.502</v>
      </c>
      <c r="K458" s="916">
        <v>-0.48399999999999999</v>
      </c>
      <c r="L458" s="916">
        <v>-0.66700000000000004</v>
      </c>
    </row>
    <row r="459" spans="1:12" ht="14.5" x14ac:dyDescent="0.35">
      <c r="A459" s="915">
        <v>42580</v>
      </c>
      <c r="B459" s="743">
        <v>22.744900000000001</v>
      </c>
      <c r="C459" s="743">
        <v>11.3902</v>
      </c>
      <c r="D459" s="915">
        <v>42580</v>
      </c>
      <c r="E459" s="743">
        <v>12.069000000000001</v>
      </c>
      <c r="F459" s="743">
        <v>6.2112999999999996</v>
      </c>
      <c r="G459" s="915">
        <v>42580</v>
      </c>
      <c r="H459" s="743">
        <v>2.9357000000000002</v>
      </c>
      <c r="I459" s="743">
        <v>0.98560000000000003</v>
      </c>
      <c r="J459" s="916">
        <v>-0.499</v>
      </c>
      <c r="K459" s="916">
        <v>-0.48499999999999999</v>
      </c>
      <c r="L459" s="916">
        <v>-0.66400000000000003</v>
      </c>
    </row>
    <row r="460" spans="1:12" ht="14.5" x14ac:dyDescent="0.35">
      <c r="A460" s="915">
        <v>42573</v>
      </c>
      <c r="B460" s="743">
        <v>22.436399999999999</v>
      </c>
      <c r="C460" s="743">
        <v>13.9207</v>
      </c>
      <c r="D460" s="915">
        <v>42573</v>
      </c>
      <c r="E460" s="743">
        <v>12.068899999999999</v>
      </c>
      <c r="F460" s="743">
        <v>6.7587000000000002</v>
      </c>
      <c r="G460" s="915">
        <v>42573</v>
      </c>
      <c r="H460" s="743">
        <v>2.8956</v>
      </c>
      <c r="I460" s="743">
        <v>1.022</v>
      </c>
      <c r="J460" s="916">
        <v>-0.38</v>
      </c>
      <c r="K460" s="916">
        <v>-0.44</v>
      </c>
      <c r="L460" s="916">
        <v>-0.64700000000000002</v>
      </c>
    </row>
    <row r="461" spans="1:12" ht="14.5" x14ac:dyDescent="0.35">
      <c r="A461" s="915">
        <v>42566</v>
      </c>
      <c r="B461" s="743">
        <v>22.069800000000001</v>
      </c>
      <c r="C461" s="743">
        <v>13.9818</v>
      </c>
      <c r="D461" s="915">
        <v>42566</v>
      </c>
      <c r="E461" s="743">
        <v>12.0688</v>
      </c>
      <c r="F461" s="743">
        <v>6.7587999999999999</v>
      </c>
      <c r="G461" s="915">
        <v>42566</v>
      </c>
      <c r="H461" s="743">
        <v>2.8435000000000001</v>
      </c>
      <c r="I461" s="743">
        <v>1.0247999999999999</v>
      </c>
      <c r="J461" s="916">
        <v>-0.36599999999999999</v>
      </c>
      <c r="K461" s="916">
        <v>-0.44</v>
      </c>
      <c r="L461" s="916">
        <v>-0.64</v>
      </c>
    </row>
    <row r="462" spans="1:12" ht="14.5" x14ac:dyDescent="0.35">
      <c r="A462" s="915">
        <v>42559</v>
      </c>
      <c r="B462" s="743">
        <v>21.7742</v>
      </c>
      <c r="C462" s="743">
        <v>13.5189</v>
      </c>
      <c r="D462" s="915">
        <v>42559</v>
      </c>
      <c r="E462" s="743">
        <v>12.0688</v>
      </c>
      <c r="F462" s="743">
        <v>6.7587999999999999</v>
      </c>
      <c r="G462" s="915">
        <v>42559</v>
      </c>
      <c r="H462" s="743">
        <v>2.8048999999999999</v>
      </c>
      <c r="I462" s="743">
        <v>1.0034000000000001</v>
      </c>
      <c r="J462" s="916">
        <v>-0.379</v>
      </c>
      <c r="K462" s="916">
        <v>-0.44</v>
      </c>
      <c r="L462" s="916">
        <v>-0.64200000000000002</v>
      </c>
    </row>
    <row r="463" spans="1:12" ht="14.5" x14ac:dyDescent="0.35">
      <c r="A463" s="915">
        <v>42552</v>
      </c>
      <c r="B463" s="743">
        <v>21.337</v>
      </c>
      <c r="C463" s="743">
        <v>13.697900000000001</v>
      </c>
      <c r="D463" s="915">
        <v>42552</v>
      </c>
      <c r="E463" s="743">
        <v>12.0688</v>
      </c>
      <c r="F463" s="743">
        <v>6.7590000000000003</v>
      </c>
      <c r="G463" s="915">
        <v>42552</v>
      </c>
      <c r="H463" s="743">
        <v>2.7477</v>
      </c>
      <c r="I463" s="743">
        <v>1.0118</v>
      </c>
      <c r="J463" s="916">
        <v>-0.35799999999999998</v>
      </c>
      <c r="K463" s="916">
        <v>-0.44</v>
      </c>
      <c r="L463" s="916">
        <v>-0.63200000000000001</v>
      </c>
    </row>
    <row r="464" spans="1:12" ht="14.5" x14ac:dyDescent="0.35">
      <c r="A464" s="915">
        <v>42545</v>
      </c>
      <c r="B464" s="743">
        <v>20.607399999999998</v>
      </c>
      <c r="C464" s="743">
        <v>12.331799999999999</v>
      </c>
      <c r="D464" s="915">
        <v>42545</v>
      </c>
      <c r="E464" s="743">
        <v>12.091200000000001</v>
      </c>
      <c r="F464" s="743">
        <v>6.3609</v>
      </c>
      <c r="G464" s="915">
        <v>42545</v>
      </c>
      <c r="H464" s="743">
        <v>2.6522999999999999</v>
      </c>
      <c r="I464" s="743">
        <v>0.99319999999999997</v>
      </c>
      <c r="J464" s="916">
        <v>-0.40200000000000002</v>
      </c>
      <c r="K464" s="916">
        <v>-0.47399999999999998</v>
      </c>
      <c r="L464" s="916">
        <v>-0.626</v>
      </c>
    </row>
    <row r="465" spans="1:12" ht="14.5" x14ac:dyDescent="0.35">
      <c r="A465" s="915">
        <v>42538</v>
      </c>
      <c r="B465" s="743">
        <v>21.0396</v>
      </c>
      <c r="C465" s="743">
        <v>12.428800000000001</v>
      </c>
      <c r="D465" s="915">
        <v>42538</v>
      </c>
      <c r="E465" s="743">
        <v>12.091200000000001</v>
      </c>
      <c r="F465" s="743">
        <v>6.3609</v>
      </c>
      <c r="G465" s="915">
        <v>42538</v>
      </c>
      <c r="H465" s="743">
        <v>2.6899000000000002</v>
      </c>
      <c r="I465" s="743">
        <v>0.99809999999999999</v>
      </c>
      <c r="J465" s="916">
        <v>-0.40899999999999997</v>
      </c>
      <c r="K465" s="916">
        <v>-0.47399999999999998</v>
      </c>
      <c r="L465" s="916">
        <v>-0.629</v>
      </c>
    </row>
    <row r="466" spans="1:12" ht="14.5" x14ac:dyDescent="0.35">
      <c r="A466" s="915">
        <v>42531</v>
      </c>
      <c r="B466" s="743">
        <v>21.485399999999998</v>
      </c>
      <c r="C466" s="743">
        <v>12.770200000000001</v>
      </c>
      <c r="D466" s="915">
        <v>42531</v>
      </c>
      <c r="E466" s="743">
        <v>12.081799999999999</v>
      </c>
      <c r="F466" s="743">
        <v>6.3609</v>
      </c>
      <c r="G466" s="915">
        <v>42531</v>
      </c>
      <c r="H466" s="743">
        <v>2.7458999999999998</v>
      </c>
      <c r="I466" s="743">
        <v>1.0152000000000001</v>
      </c>
      <c r="J466" s="916">
        <v>-0.40600000000000003</v>
      </c>
      <c r="K466" s="916">
        <v>-0.47399999999999998</v>
      </c>
      <c r="L466" s="916">
        <v>-0.63</v>
      </c>
    </row>
    <row r="467" spans="1:12" ht="14.5" x14ac:dyDescent="0.35">
      <c r="A467" s="915">
        <v>42524</v>
      </c>
      <c r="B467" s="743">
        <v>21.716200000000001</v>
      </c>
      <c r="C467" s="743">
        <v>12.5526</v>
      </c>
      <c r="D467" s="915">
        <v>42524</v>
      </c>
      <c r="E467" s="743">
        <v>12.081799999999999</v>
      </c>
      <c r="F467" s="743">
        <v>6.3609</v>
      </c>
      <c r="G467" s="915">
        <v>42524</v>
      </c>
      <c r="H467" s="743">
        <v>2.7764000000000002</v>
      </c>
      <c r="I467" s="743">
        <v>0.997</v>
      </c>
      <c r="J467" s="916">
        <v>-0.42199999999999999</v>
      </c>
      <c r="K467" s="916">
        <v>-0.47399999999999998</v>
      </c>
      <c r="L467" s="916">
        <v>-0.64100000000000001</v>
      </c>
    </row>
    <row r="468" spans="1:12" ht="14.5" x14ac:dyDescent="0.35">
      <c r="A468" s="915">
        <v>42517</v>
      </c>
      <c r="B468" s="743">
        <v>21.692499999999999</v>
      </c>
      <c r="C468" s="743">
        <v>12.4337</v>
      </c>
      <c r="D468" s="915">
        <v>42517</v>
      </c>
      <c r="E468" s="743">
        <v>12.048400000000001</v>
      </c>
      <c r="F468" s="743">
        <v>6.3609999999999998</v>
      </c>
      <c r="G468" s="915">
        <v>42517</v>
      </c>
      <c r="H468" s="743">
        <v>2.7772999999999999</v>
      </c>
      <c r="I468" s="743">
        <v>0.99109999999999998</v>
      </c>
      <c r="J468" s="916">
        <v>-0.42699999999999999</v>
      </c>
      <c r="K468" s="916">
        <v>-0.47199999999999998</v>
      </c>
      <c r="L468" s="916">
        <v>-0.64300000000000002</v>
      </c>
    </row>
    <row r="469" spans="1:12" ht="14.5" x14ac:dyDescent="0.35">
      <c r="A469" s="915">
        <v>42510</v>
      </c>
      <c r="B469" s="743">
        <v>20.673300000000001</v>
      </c>
      <c r="C469" s="743">
        <v>12.2599</v>
      </c>
      <c r="D469" s="915">
        <v>42510</v>
      </c>
      <c r="E469" s="743">
        <v>12.4757</v>
      </c>
      <c r="F469" s="743">
        <v>6.3609999999999998</v>
      </c>
      <c r="G469" s="915">
        <v>42510</v>
      </c>
      <c r="H469" s="743">
        <v>2.7185999999999999</v>
      </c>
      <c r="I469" s="743">
        <v>0.98260000000000003</v>
      </c>
      <c r="J469" s="916">
        <v>-0.40699999999999997</v>
      </c>
      <c r="K469" s="916">
        <v>-0.49</v>
      </c>
      <c r="L469" s="916">
        <v>-0.63900000000000001</v>
      </c>
    </row>
    <row r="470" spans="1:12" ht="14.5" x14ac:dyDescent="0.35">
      <c r="A470" s="915">
        <v>42503</v>
      </c>
      <c r="B470" s="743">
        <v>20.500399999999999</v>
      </c>
      <c r="C470" s="743">
        <v>11.7667</v>
      </c>
      <c r="D470" s="915">
        <v>42503</v>
      </c>
      <c r="E470" s="743">
        <v>12.474299999999999</v>
      </c>
      <c r="F470" s="743">
        <v>6.4383999999999997</v>
      </c>
      <c r="G470" s="915">
        <v>42503</v>
      </c>
      <c r="H470" s="743">
        <v>2.6956000000000002</v>
      </c>
      <c r="I470" s="743">
        <v>0.94779999999999998</v>
      </c>
      <c r="J470" s="916">
        <v>-0.42599999999999999</v>
      </c>
      <c r="K470" s="916">
        <v>-0.48399999999999999</v>
      </c>
      <c r="L470" s="916">
        <v>-0.64800000000000002</v>
      </c>
    </row>
    <row r="471" spans="1:12" ht="14.5" x14ac:dyDescent="0.35">
      <c r="A471" s="915">
        <v>42496</v>
      </c>
      <c r="B471" s="743">
        <v>20.517700000000001</v>
      </c>
      <c r="C471" s="743">
        <v>11.9605</v>
      </c>
      <c r="D471" s="915">
        <v>42496</v>
      </c>
      <c r="E471" s="743">
        <v>12.474299999999999</v>
      </c>
      <c r="F471" s="743">
        <v>6.4676999999999998</v>
      </c>
      <c r="G471" s="915">
        <v>42496</v>
      </c>
      <c r="H471" s="743">
        <v>2.6979000000000002</v>
      </c>
      <c r="I471" s="743">
        <v>0.95960000000000001</v>
      </c>
      <c r="J471" s="916">
        <v>-0.41699999999999998</v>
      </c>
      <c r="K471" s="916">
        <v>-0.48199999999999998</v>
      </c>
      <c r="L471" s="916">
        <v>-0.64400000000000002</v>
      </c>
    </row>
    <row r="472" spans="1:12" ht="14.5" x14ac:dyDescent="0.35">
      <c r="A472" s="915">
        <v>42489</v>
      </c>
      <c r="B472" s="743">
        <v>20.570399999999999</v>
      </c>
      <c r="C472" s="743">
        <v>13.741899999999999</v>
      </c>
      <c r="D472" s="915">
        <v>42489</v>
      </c>
      <c r="E472" s="743">
        <v>12.474299999999999</v>
      </c>
      <c r="F472" s="743">
        <v>6.8890000000000002</v>
      </c>
      <c r="G472" s="915">
        <v>42489</v>
      </c>
      <c r="H472" s="743">
        <v>2.7050000000000001</v>
      </c>
      <c r="I472" s="743">
        <v>1.0234000000000001</v>
      </c>
      <c r="J472" s="916">
        <v>-0.33200000000000002</v>
      </c>
      <c r="K472" s="916">
        <v>-0.44800000000000001</v>
      </c>
      <c r="L472" s="916">
        <v>-0.622</v>
      </c>
    </row>
    <row r="473" spans="1:12" ht="14.5" x14ac:dyDescent="0.35">
      <c r="A473" s="915">
        <v>42482</v>
      </c>
      <c r="B473" s="743">
        <v>21.2011</v>
      </c>
      <c r="C473" s="743">
        <v>13.925700000000001</v>
      </c>
      <c r="D473" s="915">
        <v>42482</v>
      </c>
      <c r="E473" s="743">
        <v>12.4801</v>
      </c>
      <c r="F473" s="743">
        <v>6.8890000000000002</v>
      </c>
      <c r="G473" s="915">
        <v>42482</v>
      </c>
      <c r="H473" s="743">
        <v>2.7909999999999999</v>
      </c>
      <c r="I473" s="743">
        <v>1.0318000000000001</v>
      </c>
      <c r="J473" s="916">
        <v>-0.34300000000000003</v>
      </c>
      <c r="K473" s="916">
        <v>-0.44800000000000001</v>
      </c>
      <c r="L473" s="916">
        <v>-0.63</v>
      </c>
    </row>
    <row r="474" spans="1:12" ht="14.5" x14ac:dyDescent="0.35">
      <c r="A474" s="915">
        <v>42475</v>
      </c>
      <c r="B474" s="743">
        <v>21.53</v>
      </c>
      <c r="C474" s="743">
        <v>13.9406</v>
      </c>
      <c r="D474" s="915">
        <v>42475</v>
      </c>
      <c r="E474" s="743">
        <v>12.479100000000001</v>
      </c>
      <c r="F474" s="743">
        <v>6.8890000000000002</v>
      </c>
      <c r="G474" s="915">
        <v>42475</v>
      </c>
      <c r="H474" s="743">
        <v>2.8403999999999998</v>
      </c>
      <c r="I474" s="743">
        <v>1.0325</v>
      </c>
      <c r="J474" s="916">
        <v>-0.35299999999999998</v>
      </c>
      <c r="K474" s="916">
        <v>-0.44800000000000001</v>
      </c>
      <c r="L474" s="916">
        <v>-0.63600000000000001</v>
      </c>
    </row>
    <row r="475" spans="1:12" ht="14.5" x14ac:dyDescent="0.35">
      <c r="A475" s="915">
        <v>42468</v>
      </c>
      <c r="B475" s="743">
        <v>21.206600000000002</v>
      </c>
      <c r="C475" s="743">
        <v>13.526899999999999</v>
      </c>
      <c r="D475" s="915">
        <v>42468</v>
      </c>
      <c r="E475" s="743">
        <v>12.479100000000001</v>
      </c>
      <c r="F475" s="743">
        <v>6.8890000000000002</v>
      </c>
      <c r="G475" s="915">
        <v>42468</v>
      </c>
      <c r="H475" s="743">
        <v>2.7968000000000002</v>
      </c>
      <c r="I475" s="743">
        <v>1.0135000000000001</v>
      </c>
      <c r="J475" s="916">
        <v>-0.36199999999999999</v>
      </c>
      <c r="K475" s="916">
        <v>-0.44800000000000001</v>
      </c>
      <c r="L475" s="916">
        <v>-0.63800000000000001</v>
      </c>
    </row>
    <row r="476" spans="1:12" ht="14.5" x14ac:dyDescent="0.35">
      <c r="A476" s="915">
        <v>42461</v>
      </c>
      <c r="B476" s="743">
        <v>21.477499999999999</v>
      </c>
      <c r="C476" s="743">
        <v>13.568099999999999</v>
      </c>
      <c r="D476" s="915">
        <v>42461</v>
      </c>
      <c r="E476" s="743">
        <v>12.479100000000001</v>
      </c>
      <c r="F476" s="743">
        <v>6.8890000000000002</v>
      </c>
      <c r="G476" s="915">
        <v>42461</v>
      </c>
      <c r="H476" s="743">
        <v>2.8233999999999999</v>
      </c>
      <c r="I476" s="743">
        <v>1.0153000000000001</v>
      </c>
      <c r="J476" s="916">
        <v>-0.36799999999999999</v>
      </c>
      <c r="K476" s="916">
        <v>-0.44800000000000001</v>
      </c>
      <c r="L476" s="916">
        <v>-0.64</v>
      </c>
    </row>
    <row r="477" spans="1:12" ht="14.5" x14ac:dyDescent="0.35">
      <c r="A477" s="915">
        <v>42454</v>
      </c>
      <c r="B477" s="743">
        <v>20.881399999999999</v>
      </c>
      <c r="C477" s="743">
        <v>12.9117</v>
      </c>
      <c r="D477" s="915">
        <v>42454</v>
      </c>
      <c r="E477" s="743">
        <v>12.4703</v>
      </c>
      <c r="F477" s="743">
        <v>6.3933999999999997</v>
      </c>
      <c r="G477" s="915">
        <v>42454</v>
      </c>
      <c r="H477" s="743">
        <v>2.7427999999999999</v>
      </c>
      <c r="I477" s="743">
        <v>0.95540000000000003</v>
      </c>
      <c r="J477" s="916">
        <v>-0.38200000000000001</v>
      </c>
      <c r="K477" s="916">
        <v>-0.48699999999999999</v>
      </c>
      <c r="L477" s="916">
        <v>-0.65200000000000002</v>
      </c>
    </row>
    <row r="478" spans="1:12" ht="14.5" x14ac:dyDescent="0.35">
      <c r="A478" s="915">
        <v>42447</v>
      </c>
      <c r="B478" s="743">
        <v>20.906099999999999</v>
      </c>
      <c r="C478" s="743">
        <v>12.9521</v>
      </c>
      <c r="D478" s="915">
        <v>42447</v>
      </c>
      <c r="E478" s="743">
        <v>12.4703</v>
      </c>
      <c r="F478" s="743">
        <v>6.2990000000000004</v>
      </c>
      <c r="G478" s="915">
        <v>42447</v>
      </c>
      <c r="H478" s="743">
        <v>2.76</v>
      </c>
      <c r="I478" s="743">
        <v>0.94240000000000002</v>
      </c>
      <c r="J478" s="916">
        <v>-0.38</v>
      </c>
      <c r="K478" s="916">
        <v>-0.495</v>
      </c>
      <c r="L478" s="916">
        <v>-0.65900000000000003</v>
      </c>
    </row>
    <row r="479" spans="1:12" ht="14.5" x14ac:dyDescent="0.35">
      <c r="A479" s="915">
        <v>42440</v>
      </c>
      <c r="B479" s="743">
        <v>20.674299999999999</v>
      </c>
      <c r="C479" s="743">
        <v>12.744999999999999</v>
      </c>
      <c r="D479" s="915">
        <v>42440</v>
      </c>
      <c r="E479" s="743">
        <v>12.4726</v>
      </c>
      <c r="F479" s="743">
        <v>6.1852999999999998</v>
      </c>
      <c r="G479" s="915">
        <v>42440</v>
      </c>
      <c r="H479" s="743">
        <v>2.7317999999999998</v>
      </c>
      <c r="I479" s="743">
        <v>0.91949999999999998</v>
      </c>
      <c r="J479" s="916">
        <v>-0.38400000000000001</v>
      </c>
      <c r="K479" s="916">
        <v>-0.504</v>
      </c>
      <c r="L479" s="916">
        <v>-0.66300000000000003</v>
      </c>
    </row>
    <row r="480" spans="1:12" ht="14.5" x14ac:dyDescent="0.35">
      <c r="A480" s="915">
        <v>42433</v>
      </c>
      <c r="B480" s="743">
        <v>20.5184</v>
      </c>
      <c r="C480" s="743">
        <v>11.2996</v>
      </c>
      <c r="D480" s="915">
        <v>42433</v>
      </c>
      <c r="E480" s="743">
        <v>12.4727</v>
      </c>
      <c r="F480" s="743">
        <v>6.2535999999999996</v>
      </c>
      <c r="G480" s="915">
        <v>42433</v>
      </c>
      <c r="H480" s="743">
        <v>2.7107999999999999</v>
      </c>
      <c r="I480" s="743">
        <v>0.86839999999999995</v>
      </c>
      <c r="J480" s="916">
        <v>-0.44900000000000001</v>
      </c>
      <c r="K480" s="916">
        <v>-0.499</v>
      </c>
      <c r="L480" s="916">
        <v>-0.68</v>
      </c>
    </row>
    <row r="481" spans="1:12" ht="14.5" x14ac:dyDescent="0.35">
      <c r="A481" s="915">
        <v>42426</v>
      </c>
      <c r="B481" s="743">
        <v>19.9758</v>
      </c>
      <c r="C481" s="743">
        <v>10.872199999999999</v>
      </c>
      <c r="D481" s="915">
        <v>42426</v>
      </c>
      <c r="E481" s="743">
        <v>11.0374</v>
      </c>
      <c r="F481" s="743">
        <v>6.1889000000000003</v>
      </c>
      <c r="G481" s="915">
        <v>42426</v>
      </c>
      <c r="H481" s="743">
        <v>2.6282000000000001</v>
      </c>
      <c r="I481" s="743">
        <v>0.85119999999999996</v>
      </c>
      <c r="J481" s="916">
        <v>-0.45600000000000002</v>
      </c>
      <c r="K481" s="916">
        <v>-0.439</v>
      </c>
      <c r="L481" s="916">
        <v>-0.67600000000000005</v>
      </c>
    </row>
    <row r="482" spans="1:12" ht="14.5" x14ac:dyDescent="0.35">
      <c r="A482" s="915">
        <v>42419</v>
      </c>
      <c r="B482" s="743">
        <v>19.638400000000001</v>
      </c>
      <c r="C482" s="743">
        <v>10.882999999999999</v>
      </c>
      <c r="D482" s="915">
        <v>42419</v>
      </c>
      <c r="E482" s="743">
        <v>11.036</v>
      </c>
      <c r="F482" s="743">
        <v>6.1826999999999996</v>
      </c>
      <c r="G482" s="915">
        <v>42419</v>
      </c>
      <c r="H482" s="743">
        <v>2.5749</v>
      </c>
      <c r="I482" s="743">
        <v>0.85450000000000004</v>
      </c>
      <c r="J482" s="916">
        <v>-0.44600000000000001</v>
      </c>
      <c r="K482" s="916">
        <v>-0.44</v>
      </c>
      <c r="L482" s="916">
        <v>-0.66800000000000004</v>
      </c>
    </row>
    <row r="483" spans="1:12" ht="14.5" x14ac:dyDescent="0.35">
      <c r="A483" s="915">
        <v>42412</v>
      </c>
      <c r="B483" s="743">
        <v>18.955100000000002</v>
      </c>
      <c r="C483" s="743">
        <v>10.396699999999999</v>
      </c>
      <c r="D483" s="915">
        <v>42412</v>
      </c>
      <c r="E483" s="743">
        <v>11.036</v>
      </c>
      <c r="F483" s="743">
        <v>6.1825999999999999</v>
      </c>
      <c r="G483" s="915">
        <v>42412</v>
      </c>
      <c r="H483" s="743">
        <v>2.4807000000000001</v>
      </c>
      <c r="I483" s="743">
        <v>0.82809999999999995</v>
      </c>
      <c r="J483" s="916">
        <v>-0.45200000000000001</v>
      </c>
      <c r="K483" s="916">
        <v>-0.44</v>
      </c>
      <c r="L483" s="916">
        <v>-0.66600000000000004</v>
      </c>
    </row>
    <row r="484" spans="1:12" ht="14.5" x14ac:dyDescent="0.35">
      <c r="A484" s="915">
        <v>42405</v>
      </c>
      <c r="B484" s="743">
        <v>18.98</v>
      </c>
      <c r="C484" s="743">
        <v>10.7189</v>
      </c>
      <c r="D484" s="915">
        <v>42405</v>
      </c>
      <c r="E484" s="743">
        <v>11.036</v>
      </c>
      <c r="F484" s="743">
        <v>6.1878000000000002</v>
      </c>
      <c r="G484" s="915">
        <v>42405</v>
      </c>
      <c r="H484" s="743">
        <v>2.4841000000000002</v>
      </c>
      <c r="I484" s="743">
        <v>0.84689999999999999</v>
      </c>
      <c r="J484" s="916">
        <v>-0.435</v>
      </c>
      <c r="K484" s="916">
        <v>-0.439</v>
      </c>
      <c r="L484" s="916">
        <v>-0.65900000000000003</v>
      </c>
    </row>
    <row r="485" spans="1:12" ht="14.5" x14ac:dyDescent="0.35">
      <c r="A485" s="915">
        <v>42398</v>
      </c>
      <c r="B485" s="743">
        <v>20.1812</v>
      </c>
      <c r="C485" s="743">
        <v>13.6191</v>
      </c>
      <c r="D485" s="915">
        <v>42398</v>
      </c>
      <c r="E485" s="743">
        <v>11.036</v>
      </c>
      <c r="F485" s="743">
        <v>6.8891999999999998</v>
      </c>
      <c r="G485" s="915">
        <v>42398</v>
      </c>
      <c r="H485" s="743">
        <v>2.6463000000000001</v>
      </c>
      <c r="I485" s="743">
        <v>0.98939999999999995</v>
      </c>
      <c r="J485" s="916">
        <v>-0.32500000000000001</v>
      </c>
      <c r="K485" s="916">
        <v>-0.376</v>
      </c>
      <c r="L485" s="916">
        <v>-0.626</v>
      </c>
    </row>
    <row r="486" spans="1:12" ht="14.5" x14ac:dyDescent="0.35">
      <c r="A486" s="915">
        <v>42391</v>
      </c>
      <c r="B486" s="743">
        <v>20.089700000000001</v>
      </c>
      <c r="C486" s="743">
        <v>13.4224</v>
      </c>
      <c r="D486" s="915">
        <v>42391</v>
      </c>
      <c r="E486" s="743">
        <v>11.036</v>
      </c>
      <c r="F486" s="743">
        <v>6.8891999999999998</v>
      </c>
      <c r="G486" s="915">
        <v>42391</v>
      </c>
      <c r="H486" s="743">
        <v>2.6339000000000001</v>
      </c>
      <c r="I486" s="743">
        <v>0.98270000000000002</v>
      </c>
      <c r="J486" s="916">
        <v>-0.33200000000000002</v>
      </c>
      <c r="K486" s="916">
        <v>-0.376</v>
      </c>
      <c r="L486" s="916">
        <v>-0.627</v>
      </c>
    </row>
    <row r="487" spans="1:12" ht="14.5" x14ac:dyDescent="0.35">
      <c r="A487" s="915">
        <v>42384</v>
      </c>
      <c r="B487" s="743">
        <v>19.529900000000001</v>
      </c>
      <c r="C487" s="743">
        <v>13.4315</v>
      </c>
      <c r="D487" s="915">
        <v>42384</v>
      </c>
      <c r="E487" s="743">
        <v>11.036</v>
      </c>
      <c r="F487" s="743">
        <v>6.8891999999999998</v>
      </c>
      <c r="G487" s="915">
        <v>42384</v>
      </c>
      <c r="H487" s="743">
        <v>2.5583999999999998</v>
      </c>
      <c r="I487" s="743">
        <v>0.98309999999999997</v>
      </c>
      <c r="J487" s="916">
        <v>-0.312</v>
      </c>
      <c r="K487" s="916">
        <v>-0.376</v>
      </c>
      <c r="L487" s="916">
        <v>-0.61599999999999999</v>
      </c>
    </row>
    <row r="488" spans="1:12" ht="14.5" x14ac:dyDescent="0.35">
      <c r="A488" s="915">
        <v>42377</v>
      </c>
      <c r="B488" s="743">
        <v>20.1416</v>
      </c>
      <c r="C488" s="743">
        <v>13.7026</v>
      </c>
      <c r="D488" s="915">
        <v>42377</v>
      </c>
      <c r="E488" s="743">
        <v>11.036</v>
      </c>
      <c r="F488" s="743">
        <v>6.8891999999999998</v>
      </c>
      <c r="G488" s="915">
        <v>42377</v>
      </c>
      <c r="H488" s="743">
        <v>2.6371000000000002</v>
      </c>
      <c r="I488" s="743">
        <v>0.99480000000000002</v>
      </c>
      <c r="J488" s="916">
        <v>-0.32</v>
      </c>
      <c r="K488" s="916">
        <v>-0.376</v>
      </c>
      <c r="L488" s="916">
        <v>-0.623</v>
      </c>
    </row>
    <row r="489" spans="1:12" ht="14.5" x14ac:dyDescent="0.35">
      <c r="A489" s="915">
        <v>42370</v>
      </c>
      <c r="B489" s="743">
        <v>21.662500000000001</v>
      </c>
      <c r="C489" s="743">
        <v>14.1722</v>
      </c>
      <c r="D489" s="915">
        <v>42370</v>
      </c>
      <c r="E489" s="743">
        <v>11.036</v>
      </c>
      <c r="F489" s="743">
        <v>6.8891999999999998</v>
      </c>
      <c r="G489" s="915">
        <v>42370</v>
      </c>
      <c r="H489" s="743">
        <v>2.8420999999999998</v>
      </c>
      <c r="I489" s="743">
        <v>1.0153000000000001</v>
      </c>
      <c r="J489" s="916">
        <v>-0.34599999999999997</v>
      </c>
      <c r="K489" s="916">
        <v>-0.376</v>
      </c>
      <c r="L489" s="916">
        <v>-0.64300000000000002</v>
      </c>
    </row>
    <row r="490" spans="1:12" ht="14.5" x14ac:dyDescent="0.35">
      <c r="A490" s="915">
        <v>42363</v>
      </c>
      <c r="B490" s="743">
        <v>21.834499999999998</v>
      </c>
      <c r="C490" s="743">
        <v>14.507899999999999</v>
      </c>
      <c r="D490" s="915">
        <v>42363</v>
      </c>
      <c r="E490" s="743">
        <v>11.7745</v>
      </c>
      <c r="F490" s="743">
        <v>6.8891999999999998</v>
      </c>
      <c r="G490" s="915">
        <v>42363</v>
      </c>
      <c r="H490" s="743">
        <v>2.8271000000000002</v>
      </c>
      <c r="I490" s="743">
        <v>1.0289999999999999</v>
      </c>
      <c r="J490" s="916">
        <v>-0.33600000000000002</v>
      </c>
      <c r="K490" s="916">
        <v>-0.41499999999999998</v>
      </c>
      <c r="L490" s="916">
        <v>-0.63600000000000001</v>
      </c>
    </row>
    <row r="491" spans="1:12" ht="14.5" x14ac:dyDescent="0.35">
      <c r="A491" s="915">
        <v>42356</v>
      </c>
      <c r="B491" s="743">
        <v>21.3246</v>
      </c>
      <c r="C491" s="743">
        <v>14.3613</v>
      </c>
      <c r="D491" s="915">
        <v>42356</v>
      </c>
      <c r="E491" s="743">
        <v>11.7745</v>
      </c>
      <c r="F491" s="743">
        <v>6.8891999999999998</v>
      </c>
      <c r="G491" s="915">
        <v>42356</v>
      </c>
      <c r="H491" s="743">
        <v>2.7492999999999999</v>
      </c>
      <c r="I491" s="743">
        <v>1.0226</v>
      </c>
      <c r="J491" s="916">
        <v>-0.32700000000000001</v>
      </c>
      <c r="K491" s="916">
        <v>-0.41499999999999998</v>
      </c>
      <c r="L491" s="916">
        <v>-0.628</v>
      </c>
    </row>
    <row r="492" spans="1:12" ht="14.5" x14ac:dyDescent="0.35">
      <c r="A492" s="915">
        <v>42349</v>
      </c>
      <c r="B492" s="743">
        <v>21.431999999999999</v>
      </c>
      <c r="C492" s="743">
        <v>14.2225</v>
      </c>
      <c r="D492" s="915">
        <v>42349</v>
      </c>
      <c r="E492" s="743">
        <v>11.7745</v>
      </c>
      <c r="F492" s="743">
        <v>6.8891999999999998</v>
      </c>
      <c r="G492" s="915">
        <v>42349</v>
      </c>
      <c r="H492" s="743">
        <v>2.7639</v>
      </c>
      <c r="I492" s="743">
        <v>1.0165</v>
      </c>
      <c r="J492" s="916">
        <v>-0.33600000000000002</v>
      </c>
      <c r="K492" s="916">
        <v>-0.41499999999999998</v>
      </c>
      <c r="L492" s="916">
        <v>-0.63200000000000001</v>
      </c>
    </row>
    <row r="493" spans="1:12" ht="14.5" x14ac:dyDescent="0.35">
      <c r="A493" s="915">
        <v>42342</v>
      </c>
      <c r="B493" s="743">
        <v>22.275400000000001</v>
      </c>
      <c r="C493" s="743">
        <v>14.2925</v>
      </c>
      <c r="D493" s="915">
        <v>42342</v>
      </c>
      <c r="E493" s="743">
        <v>11.7744</v>
      </c>
      <c r="F493" s="743">
        <v>6.8891999999999998</v>
      </c>
      <c r="G493" s="915">
        <v>42342</v>
      </c>
      <c r="H493" s="743">
        <v>2.8765000000000001</v>
      </c>
      <c r="I493" s="743">
        <v>1.0196000000000001</v>
      </c>
      <c r="J493" s="916">
        <v>-0.35799999999999998</v>
      </c>
      <c r="K493" s="916">
        <v>-0.41499999999999998</v>
      </c>
      <c r="L493" s="916">
        <v>-0.64600000000000002</v>
      </c>
    </row>
    <row r="494" spans="1:12" ht="14.5" x14ac:dyDescent="0.35">
      <c r="A494" s="915">
        <v>42335</v>
      </c>
      <c r="B494" s="743">
        <v>22.106999999999999</v>
      </c>
      <c r="C494" s="743">
        <v>14.698399999999999</v>
      </c>
      <c r="D494" s="915">
        <v>42335</v>
      </c>
      <c r="E494" s="743">
        <v>11.7744</v>
      </c>
      <c r="F494" s="743">
        <v>6.8891999999999998</v>
      </c>
      <c r="G494" s="915">
        <v>42335</v>
      </c>
      <c r="H494" s="743">
        <v>2.8540000000000001</v>
      </c>
      <c r="I494" s="743">
        <v>1.0367999999999999</v>
      </c>
      <c r="J494" s="916">
        <v>-0.33500000000000002</v>
      </c>
      <c r="K494" s="916">
        <v>-0.41499999999999998</v>
      </c>
      <c r="L494" s="916">
        <v>-0.63700000000000001</v>
      </c>
    </row>
    <row r="495" spans="1:12" ht="14.5" x14ac:dyDescent="0.35">
      <c r="A495" s="915">
        <v>42328</v>
      </c>
      <c r="B495" s="743">
        <v>22.134799999999998</v>
      </c>
      <c r="C495" s="743">
        <v>14.4544</v>
      </c>
      <c r="D495" s="915">
        <v>42328</v>
      </c>
      <c r="E495" s="743">
        <v>11.7744</v>
      </c>
      <c r="F495" s="743">
        <v>6.8891999999999998</v>
      </c>
      <c r="G495" s="915">
        <v>42328</v>
      </c>
      <c r="H495" s="743">
        <v>2.8576999999999999</v>
      </c>
      <c r="I495" s="743">
        <v>1.0262</v>
      </c>
      <c r="J495" s="916">
        <v>-0.34699999999999998</v>
      </c>
      <c r="K495" s="916">
        <v>-0.41499999999999998</v>
      </c>
      <c r="L495" s="916">
        <v>-0.64100000000000001</v>
      </c>
    </row>
    <row r="496" spans="1:12" ht="14.5" x14ac:dyDescent="0.35">
      <c r="A496" s="915">
        <v>42321</v>
      </c>
      <c r="B496" s="743">
        <v>21.264700000000001</v>
      </c>
      <c r="C496" s="743">
        <v>12.641500000000001</v>
      </c>
      <c r="D496" s="915">
        <v>42321</v>
      </c>
      <c r="E496" s="743">
        <v>11.7744</v>
      </c>
      <c r="F496" s="743">
        <v>6.5938999999999997</v>
      </c>
      <c r="G496" s="915">
        <v>42321</v>
      </c>
      <c r="H496" s="743">
        <v>2.7416</v>
      </c>
      <c r="I496" s="743">
        <v>0.9657</v>
      </c>
      <c r="J496" s="916">
        <v>-0.40600000000000003</v>
      </c>
      <c r="K496" s="916">
        <v>-0.44</v>
      </c>
      <c r="L496" s="916">
        <v>-0.64800000000000002</v>
      </c>
    </row>
    <row r="497" spans="1:12" ht="14.5" x14ac:dyDescent="0.35">
      <c r="A497" s="915">
        <v>42314</v>
      </c>
      <c r="B497" s="743">
        <v>22.2317</v>
      </c>
      <c r="C497" s="743">
        <v>12.152799999999999</v>
      </c>
      <c r="D497" s="915">
        <v>42314</v>
      </c>
      <c r="E497" s="743">
        <v>11.774100000000001</v>
      </c>
      <c r="F497" s="743">
        <v>6.6028000000000002</v>
      </c>
      <c r="G497" s="915">
        <v>42314</v>
      </c>
      <c r="H497" s="743">
        <v>2.8616999999999999</v>
      </c>
      <c r="I497" s="743">
        <v>0.98029999999999995</v>
      </c>
      <c r="J497" s="916">
        <v>-0.45300000000000001</v>
      </c>
      <c r="K497" s="916">
        <v>-0.439</v>
      </c>
      <c r="L497" s="916">
        <v>-0.65700000000000003</v>
      </c>
    </row>
    <row r="498" spans="1:12" ht="14.5" x14ac:dyDescent="0.35">
      <c r="A498" s="915">
        <v>42307</v>
      </c>
      <c r="B498" s="743">
        <v>21.9573</v>
      </c>
      <c r="C498" s="743">
        <v>14.119400000000001</v>
      </c>
      <c r="D498" s="915">
        <v>42307</v>
      </c>
      <c r="E498" s="743">
        <v>11.774900000000001</v>
      </c>
      <c r="F498" s="743">
        <v>7.1056999999999997</v>
      </c>
      <c r="G498" s="915">
        <v>42307</v>
      </c>
      <c r="H498" s="743">
        <v>2.8250999999999999</v>
      </c>
      <c r="I498" s="743">
        <v>0.98089999999999999</v>
      </c>
      <c r="J498" s="916">
        <v>-0.35699999999999998</v>
      </c>
      <c r="K498" s="916">
        <v>-0.39700000000000002</v>
      </c>
      <c r="L498" s="916">
        <v>-0.65300000000000002</v>
      </c>
    </row>
    <row r="499" spans="1:12" ht="14.5" x14ac:dyDescent="0.35">
      <c r="A499" s="915">
        <v>42300</v>
      </c>
      <c r="B499" s="743">
        <v>21.840499999999999</v>
      </c>
      <c r="C499" s="743">
        <v>14.105399999999999</v>
      </c>
      <c r="D499" s="915">
        <v>42300</v>
      </c>
      <c r="E499" s="743">
        <v>11.775399999999999</v>
      </c>
      <c r="F499" s="743">
        <v>7.1056999999999997</v>
      </c>
      <c r="G499" s="915">
        <v>42300</v>
      </c>
      <c r="H499" s="743">
        <v>2.8094999999999999</v>
      </c>
      <c r="I499" s="743">
        <v>0.98029999999999995</v>
      </c>
      <c r="J499" s="916">
        <v>-0.35399999999999998</v>
      </c>
      <c r="K499" s="916">
        <v>-0.39700000000000002</v>
      </c>
      <c r="L499" s="916">
        <v>-0.65100000000000002</v>
      </c>
    </row>
    <row r="500" spans="1:12" ht="14.5" x14ac:dyDescent="0.35">
      <c r="A500" s="915">
        <v>42293</v>
      </c>
      <c r="B500" s="743">
        <v>20.964400000000001</v>
      </c>
      <c r="C500" s="743">
        <v>13.985099999999999</v>
      </c>
      <c r="D500" s="915">
        <v>42293</v>
      </c>
      <c r="E500" s="743">
        <v>11.7751</v>
      </c>
      <c r="F500" s="743">
        <v>7.1056999999999997</v>
      </c>
      <c r="G500" s="915">
        <v>42293</v>
      </c>
      <c r="H500" s="743">
        <v>2.6928999999999998</v>
      </c>
      <c r="I500" s="743">
        <v>0.97509999999999997</v>
      </c>
      <c r="J500" s="916">
        <v>-0.33300000000000002</v>
      </c>
      <c r="K500" s="916">
        <v>-0.39700000000000002</v>
      </c>
      <c r="L500" s="916">
        <v>-0.63800000000000001</v>
      </c>
    </row>
    <row r="501" spans="1:12" ht="14.5" x14ac:dyDescent="0.35">
      <c r="A501" s="915">
        <v>42286</v>
      </c>
      <c r="B501" s="743">
        <v>20.639800000000001</v>
      </c>
      <c r="C501" s="743">
        <v>13.896100000000001</v>
      </c>
      <c r="D501" s="915">
        <v>42286</v>
      </c>
      <c r="E501" s="743">
        <v>11.7746</v>
      </c>
      <c r="F501" s="743">
        <v>7.1056999999999997</v>
      </c>
      <c r="G501" s="915">
        <v>42286</v>
      </c>
      <c r="H501" s="743">
        <v>2.6497000000000002</v>
      </c>
      <c r="I501" s="743">
        <v>0.97130000000000005</v>
      </c>
      <c r="J501" s="916">
        <v>-0.32700000000000001</v>
      </c>
      <c r="K501" s="916">
        <v>-0.39700000000000002</v>
      </c>
      <c r="L501" s="916">
        <v>-0.63300000000000001</v>
      </c>
    </row>
    <row r="502" spans="1:12" ht="14.5" x14ac:dyDescent="0.35">
      <c r="A502" s="915">
        <v>42279</v>
      </c>
      <c r="B502" s="743">
        <v>20.1555</v>
      </c>
      <c r="C502" s="743">
        <v>13.3405</v>
      </c>
      <c r="D502" s="915">
        <v>42279</v>
      </c>
      <c r="E502" s="743">
        <v>11.774100000000001</v>
      </c>
      <c r="F502" s="743">
        <v>7.1056999999999997</v>
      </c>
      <c r="G502" s="915">
        <v>42279</v>
      </c>
      <c r="H502" s="743">
        <v>2.5823999999999998</v>
      </c>
      <c r="I502" s="743">
        <v>0.94740000000000002</v>
      </c>
      <c r="J502" s="916">
        <v>-0.33800000000000002</v>
      </c>
      <c r="K502" s="916">
        <v>-0.39600000000000002</v>
      </c>
      <c r="L502" s="916">
        <v>-0.63300000000000001</v>
      </c>
    </row>
    <row r="503" spans="1:12" ht="14.5" x14ac:dyDescent="0.35">
      <c r="A503" s="915">
        <v>42272</v>
      </c>
      <c r="B503" s="743">
        <v>20.316700000000001</v>
      </c>
      <c r="C503" s="743">
        <v>12.389200000000001</v>
      </c>
      <c r="D503" s="915">
        <v>42272</v>
      </c>
      <c r="E503" s="743">
        <v>11.5695</v>
      </c>
      <c r="F503" s="743">
        <v>6.6821000000000002</v>
      </c>
      <c r="G503" s="915">
        <v>42272</v>
      </c>
      <c r="H503" s="743">
        <v>2.5991</v>
      </c>
      <c r="I503" s="743">
        <v>0.89780000000000004</v>
      </c>
      <c r="J503" s="916">
        <v>-0.39</v>
      </c>
      <c r="K503" s="916">
        <v>-0.42199999999999999</v>
      </c>
      <c r="L503" s="916">
        <v>-0.65500000000000003</v>
      </c>
    </row>
    <row r="504" spans="1:12" ht="14.5" x14ac:dyDescent="0.35">
      <c r="A504" s="915">
        <v>42265</v>
      </c>
      <c r="B504" s="743">
        <v>20.793399999999998</v>
      </c>
      <c r="C504" s="743">
        <v>12.7897</v>
      </c>
      <c r="D504" s="915">
        <v>42265</v>
      </c>
      <c r="E504" s="743">
        <v>11.569599999999999</v>
      </c>
      <c r="F504" s="743">
        <v>6.6821000000000002</v>
      </c>
      <c r="G504" s="915">
        <v>42265</v>
      </c>
      <c r="H504" s="743">
        <v>2.6768000000000001</v>
      </c>
      <c r="I504" s="743">
        <v>0.91479999999999995</v>
      </c>
      <c r="J504" s="916">
        <v>-0.38500000000000001</v>
      </c>
      <c r="K504" s="916">
        <v>-0.42199999999999999</v>
      </c>
      <c r="L504" s="916">
        <v>-0.65800000000000003</v>
      </c>
    </row>
    <row r="505" spans="1:12" ht="14.5" x14ac:dyDescent="0.35">
      <c r="A505" s="915">
        <v>42258</v>
      </c>
      <c r="B505" s="743">
        <v>20.790299999999998</v>
      </c>
      <c r="C505" s="743">
        <v>12.3988</v>
      </c>
      <c r="D505" s="915">
        <v>42258</v>
      </c>
      <c r="E505" s="743">
        <v>11.569599999999999</v>
      </c>
      <c r="F505" s="743">
        <v>6.6821000000000002</v>
      </c>
      <c r="G505" s="915">
        <v>42258</v>
      </c>
      <c r="H505" s="743">
        <v>2.6764000000000001</v>
      </c>
      <c r="I505" s="743">
        <v>0.89390000000000003</v>
      </c>
      <c r="J505" s="916">
        <v>-0.40400000000000003</v>
      </c>
      <c r="K505" s="916">
        <v>-0.42199999999999999</v>
      </c>
      <c r="L505" s="916">
        <v>-0.66600000000000004</v>
      </c>
    </row>
    <row r="506" spans="1:12" ht="14.5" x14ac:dyDescent="0.35">
      <c r="A506" s="915">
        <v>42251</v>
      </c>
      <c r="B506" s="743">
        <v>20.124199999999998</v>
      </c>
      <c r="C506" s="743">
        <v>12.1151</v>
      </c>
      <c r="D506" s="915">
        <v>42251</v>
      </c>
      <c r="E506" s="743">
        <v>11.5693</v>
      </c>
      <c r="F506" s="743">
        <v>6.6821000000000002</v>
      </c>
      <c r="G506" s="915">
        <v>42251</v>
      </c>
      <c r="H506" s="743">
        <v>2.5874000000000001</v>
      </c>
      <c r="I506" s="743">
        <v>0.88149999999999995</v>
      </c>
      <c r="J506" s="916">
        <v>-0.39800000000000002</v>
      </c>
      <c r="K506" s="916">
        <v>-0.42199999999999999</v>
      </c>
      <c r="L506" s="916">
        <v>-0.65900000000000003</v>
      </c>
    </row>
    <row r="507" spans="1:12" ht="14.5" x14ac:dyDescent="0.35">
      <c r="A507" s="915">
        <v>42244</v>
      </c>
      <c r="B507" s="743">
        <v>20.8187</v>
      </c>
      <c r="C507" s="743">
        <v>12.295999999999999</v>
      </c>
      <c r="D507" s="915">
        <v>42244</v>
      </c>
      <c r="E507" s="743">
        <v>11.5693</v>
      </c>
      <c r="F507" s="743">
        <v>6.6821000000000002</v>
      </c>
      <c r="G507" s="915">
        <v>42244</v>
      </c>
      <c r="H507" s="743">
        <v>2.6802000000000001</v>
      </c>
      <c r="I507" s="743">
        <v>0.89080000000000004</v>
      </c>
      <c r="J507" s="916">
        <v>-0.40899999999999997</v>
      </c>
      <c r="K507" s="916">
        <v>-0.42199999999999999</v>
      </c>
      <c r="L507" s="916">
        <v>-0.66800000000000004</v>
      </c>
    </row>
    <row r="508" spans="1:12" ht="14.5" x14ac:dyDescent="0.35">
      <c r="A508" s="915">
        <v>42237</v>
      </c>
      <c r="B508" s="743">
        <v>20.1846</v>
      </c>
      <c r="C508" s="743">
        <v>12.0557</v>
      </c>
      <c r="D508" s="915">
        <v>42237</v>
      </c>
      <c r="E508" s="743">
        <v>11.568899999999999</v>
      </c>
      <c r="F508" s="743">
        <v>6.6821000000000002</v>
      </c>
      <c r="G508" s="915">
        <v>42237</v>
      </c>
      <c r="H508" s="743">
        <v>2.5954999999999999</v>
      </c>
      <c r="I508" s="743">
        <v>0.88029999999999997</v>
      </c>
      <c r="J508" s="916">
        <v>-0.40300000000000002</v>
      </c>
      <c r="K508" s="916">
        <v>-0.42199999999999999</v>
      </c>
      <c r="L508" s="916">
        <v>-0.66100000000000003</v>
      </c>
    </row>
    <row r="509" spans="1:12" ht="14.5" x14ac:dyDescent="0.35">
      <c r="A509" s="915">
        <v>42230</v>
      </c>
      <c r="B509" s="743">
        <v>21.7882</v>
      </c>
      <c r="C509" s="743">
        <v>12.273300000000001</v>
      </c>
      <c r="D509" s="915">
        <v>42230</v>
      </c>
      <c r="E509" s="743">
        <v>11.568899999999999</v>
      </c>
      <c r="F509" s="743">
        <v>6.7390999999999996</v>
      </c>
      <c r="G509" s="915">
        <v>42230</v>
      </c>
      <c r="H509" s="743">
        <v>2.8096999999999999</v>
      </c>
      <c r="I509" s="743">
        <v>0.89849999999999997</v>
      </c>
      <c r="J509" s="916">
        <v>-0.437</v>
      </c>
      <c r="K509" s="916">
        <v>-0.41699999999999998</v>
      </c>
      <c r="L509" s="916">
        <v>-0.68</v>
      </c>
    </row>
    <row r="510" spans="1:12" ht="14.5" x14ac:dyDescent="0.35">
      <c r="A510" s="915">
        <v>42223</v>
      </c>
      <c r="B510" s="743">
        <v>21.736999999999998</v>
      </c>
      <c r="C510" s="743">
        <v>12.382999999999999</v>
      </c>
      <c r="D510" s="915">
        <v>42223</v>
      </c>
      <c r="E510" s="743">
        <v>11.568899999999999</v>
      </c>
      <c r="F510" s="743">
        <v>6.7230999999999996</v>
      </c>
      <c r="G510" s="915">
        <v>42223</v>
      </c>
      <c r="H510" s="743">
        <v>2.8028</v>
      </c>
      <c r="I510" s="743">
        <v>0.90049999999999997</v>
      </c>
      <c r="J510" s="916">
        <v>-0.43</v>
      </c>
      <c r="K510" s="916">
        <v>-0.41899999999999998</v>
      </c>
      <c r="L510" s="916">
        <v>-0.67900000000000005</v>
      </c>
    </row>
    <row r="511" spans="1:12" ht="14.5" x14ac:dyDescent="0.35">
      <c r="A511" s="915">
        <v>42216</v>
      </c>
      <c r="B511" s="743">
        <v>22.068000000000001</v>
      </c>
      <c r="C511" s="743">
        <v>12.7561</v>
      </c>
      <c r="D511" s="915">
        <v>42216</v>
      </c>
      <c r="E511" s="743">
        <v>11.5687</v>
      </c>
      <c r="F511" s="743">
        <v>6.6835000000000004</v>
      </c>
      <c r="G511" s="915">
        <v>42216</v>
      </c>
      <c r="H511" s="743">
        <v>2.8428</v>
      </c>
      <c r="I511" s="743">
        <v>0.91490000000000005</v>
      </c>
      <c r="J511" s="916">
        <v>-0.42199999999999999</v>
      </c>
      <c r="K511" s="916">
        <v>-0.42199999999999999</v>
      </c>
      <c r="L511" s="916">
        <v>-0.67800000000000005</v>
      </c>
    </row>
    <row r="512" spans="1:12" ht="14.5" x14ac:dyDescent="0.35">
      <c r="A512" s="915">
        <v>42209</v>
      </c>
      <c r="B512" s="743">
        <v>21.916399999999999</v>
      </c>
      <c r="C512" s="743">
        <v>13.638</v>
      </c>
      <c r="D512" s="915">
        <v>42209</v>
      </c>
      <c r="E512" s="743">
        <v>11.5639</v>
      </c>
      <c r="F512" s="743">
        <v>7.2201000000000004</v>
      </c>
      <c r="G512" s="915">
        <v>42209</v>
      </c>
      <c r="H512" s="743">
        <v>2.8231999999999999</v>
      </c>
      <c r="I512" s="743">
        <v>0.90559999999999996</v>
      </c>
      <c r="J512" s="916">
        <v>-0.378</v>
      </c>
      <c r="K512" s="916">
        <v>-0.376</v>
      </c>
      <c r="L512" s="916">
        <v>-0.67900000000000005</v>
      </c>
    </row>
    <row r="513" spans="1:12" ht="14.5" x14ac:dyDescent="0.35">
      <c r="A513" s="915">
        <v>42202</v>
      </c>
      <c r="B513" s="743">
        <v>22.4175</v>
      </c>
      <c r="C513" s="743">
        <v>13.965</v>
      </c>
      <c r="D513" s="915">
        <v>42202</v>
      </c>
      <c r="E513" s="743">
        <v>11.5639</v>
      </c>
      <c r="F513" s="743">
        <v>7.2201000000000004</v>
      </c>
      <c r="G513" s="915">
        <v>42202</v>
      </c>
      <c r="H513" s="743">
        <v>2.9234</v>
      </c>
      <c r="I513" s="743">
        <v>0.91900000000000004</v>
      </c>
      <c r="J513" s="916">
        <v>-0.377</v>
      </c>
      <c r="K513" s="916">
        <v>-0.376</v>
      </c>
      <c r="L513" s="916">
        <v>-0.68600000000000005</v>
      </c>
    </row>
    <row r="514" spans="1:12" ht="14.5" x14ac:dyDescent="0.35">
      <c r="A514" s="915">
        <v>42195</v>
      </c>
      <c r="B514" s="743">
        <v>21.256399999999999</v>
      </c>
      <c r="C514" s="743">
        <v>13.809799999999999</v>
      </c>
      <c r="D514" s="915">
        <v>42195</v>
      </c>
      <c r="E514" s="743">
        <v>11.563800000000001</v>
      </c>
      <c r="F514" s="743">
        <v>7.2201000000000004</v>
      </c>
      <c r="G514" s="915">
        <v>42195</v>
      </c>
      <c r="H514" s="743">
        <v>2.7347000000000001</v>
      </c>
      <c r="I514" s="743">
        <v>0.91200000000000003</v>
      </c>
      <c r="J514" s="916">
        <v>-0.35</v>
      </c>
      <c r="K514" s="916">
        <v>-0.376</v>
      </c>
      <c r="L514" s="916">
        <v>-0.66700000000000004</v>
      </c>
    </row>
    <row r="515" spans="1:12" ht="14.5" x14ac:dyDescent="0.35">
      <c r="A515" s="915">
        <v>42188</v>
      </c>
      <c r="B515" s="743">
        <v>21.3201</v>
      </c>
      <c r="C515" s="743">
        <v>14.231999999999999</v>
      </c>
      <c r="D515" s="915">
        <v>42188</v>
      </c>
      <c r="E515" s="743">
        <v>11.563800000000001</v>
      </c>
      <c r="F515" s="743">
        <v>7.2201000000000004</v>
      </c>
      <c r="G515" s="915">
        <v>42188</v>
      </c>
      <c r="H515" s="743">
        <v>2.7486999999999999</v>
      </c>
      <c r="I515" s="743">
        <v>0.92930000000000001</v>
      </c>
      <c r="J515" s="916">
        <v>-0.33200000000000002</v>
      </c>
      <c r="K515" s="916">
        <v>-0.376</v>
      </c>
      <c r="L515" s="916">
        <v>-0.66200000000000003</v>
      </c>
    </row>
    <row r="516" spans="1:12" ht="14.5" x14ac:dyDescent="0.35">
      <c r="A516" s="915">
        <v>42181</v>
      </c>
      <c r="B516" s="743">
        <v>22.5289</v>
      </c>
      <c r="C516" s="743">
        <v>14.263299999999999</v>
      </c>
      <c r="D516" s="915">
        <v>42181</v>
      </c>
      <c r="E516" s="743">
        <v>11.7004</v>
      </c>
      <c r="F516" s="743">
        <v>7.2201000000000004</v>
      </c>
      <c r="G516" s="915">
        <v>42181</v>
      </c>
      <c r="H516" s="743">
        <v>2.9668999999999999</v>
      </c>
      <c r="I516" s="743">
        <v>0.93059999999999998</v>
      </c>
      <c r="J516" s="916">
        <v>-0.36699999999999999</v>
      </c>
      <c r="K516" s="916">
        <v>-0.38300000000000001</v>
      </c>
      <c r="L516" s="916">
        <v>-0.68600000000000005</v>
      </c>
    </row>
    <row r="517" spans="1:12" ht="14.5" x14ac:dyDescent="0.35">
      <c r="A517" s="915">
        <v>42174</v>
      </c>
      <c r="B517" s="743">
        <v>22.6753</v>
      </c>
      <c r="C517" s="743">
        <v>14.017300000000001</v>
      </c>
      <c r="D517" s="915">
        <v>42174</v>
      </c>
      <c r="E517" s="743">
        <v>11.7004</v>
      </c>
      <c r="F517" s="743">
        <v>7.2201000000000004</v>
      </c>
      <c r="G517" s="915">
        <v>42174</v>
      </c>
      <c r="H517" s="743">
        <v>2.9992999999999999</v>
      </c>
      <c r="I517" s="743">
        <v>0.92020000000000002</v>
      </c>
      <c r="J517" s="916">
        <v>-0.38200000000000001</v>
      </c>
      <c r="K517" s="916">
        <v>-0.38300000000000001</v>
      </c>
      <c r="L517" s="916">
        <v>-0.69299999999999995</v>
      </c>
    </row>
    <row r="518" spans="1:12" ht="14.5" x14ac:dyDescent="0.35">
      <c r="A518" s="915">
        <v>42167</v>
      </c>
      <c r="B518" s="743">
        <v>22.375699999999998</v>
      </c>
      <c r="C518" s="743">
        <v>14.135400000000001</v>
      </c>
      <c r="D518" s="915">
        <v>42167</v>
      </c>
      <c r="E518" s="743">
        <v>11.7004</v>
      </c>
      <c r="F518" s="743">
        <v>7.2201000000000004</v>
      </c>
      <c r="G518" s="915">
        <v>42167</v>
      </c>
      <c r="H518" s="743">
        <v>2.9582000000000002</v>
      </c>
      <c r="I518" s="743">
        <v>0.92510000000000003</v>
      </c>
      <c r="J518" s="916">
        <v>-0.36799999999999999</v>
      </c>
      <c r="K518" s="916">
        <v>-0.38300000000000001</v>
      </c>
      <c r="L518" s="916">
        <v>-0.68700000000000006</v>
      </c>
    </row>
    <row r="519" spans="1:12" ht="14.5" x14ac:dyDescent="0.35">
      <c r="A519" s="915">
        <v>42160</v>
      </c>
      <c r="B519" s="743">
        <v>22.493300000000001</v>
      </c>
      <c r="C519" s="743">
        <v>14.3668</v>
      </c>
      <c r="D519" s="915">
        <v>42160</v>
      </c>
      <c r="E519" s="743">
        <v>11.7004</v>
      </c>
      <c r="F519" s="743">
        <v>7.2201000000000004</v>
      </c>
      <c r="G519" s="915">
        <v>42160</v>
      </c>
      <c r="H519" s="743">
        <v>2.9742999999999999</v>
      </c>
      <c r="I519" s="743">
        <v>0.93410000000000004</v>
      </c>
      <c r="J519" s="916">
        <v>-0.36099999999999999</v>
      </c>
      <c r="K519" s="916">
        <v>-0.38300000000000001</v>
      </c>
      <c r="L519" s="916">
        <v>-0.68600000000000005</v>
      </c>
    </row>
    <row r="520" spans="1:12" ht="14.5" x14ac:dyDescent="0.35">
      <c r="A520" s="915">
        <v>42153</v>
      </c>
      <c r="B520" s="743">
        <v>22.6493</v>
      </c>
      <c r="C520" s="743">
        <v>14.6716</v>
      </c>
      <c r="D520" s="915">
        <v>42153</v>
      </c>
      <c r="E520" s="743">
        <v>11.7004</v>
      </c>
      <c r="F520" s="743">
        <v>7.2201000000000004</v>
      </c>
      <c r="G520" s="915">
        <v>42153</v>
      </c>
      <c r="H520" s="743">
        <v>2.9958</v>
      </c>
      <c r="I520" s="743">
        <v>0.9466</v>
      </c>
      <c r="J520" s="916">
        <v>-0.35199999999999998</v>
      </c>
      <c r="K520" s="916">
        <v>-0.38300000000000001</v>
      </c>
      <c r="L520" s="916">
        <v>-0.68400000000000005</v>
      </c>
    </row>
    <row r="521" spans="1:12" ht="14.5" x14ac:dyDescent="0.35">
      <c r="A521" s="915">
        <v>42146</v>
      </c>
      <c r="B521" s="743">
        <v>22.744299999999999</v>
      </c>
      <c r="C521" s="743">
        <v>15.007300000000001</v>
      </c>
      <c r="D521" s="915">
        <v>42146</v>
      </c>
      <c r="E521" s="743">
        <v>11.7004</v>
      </c>
      <c r="F521" s="743">
        <v>7.2201000000000004</v>
      </c>
      <c r="G521" s="915">
        <v>42146</v>
      </c>
      <c r="H521" s="743">
        <v>3.0087999999999999</v>
      </c>
      <c r="I521" s="743">
        <v>0.96040000000000003</v>
      </c>
      <c r="J521" s="916">
        <v>-0.34</v>
      </c>
      <c r="K521" s="916">
        <v>-0.38300000000000001</v>
      </c>
      <c r="L521" s="916">
        <v>-0.68100000000000005</v>
      </c>
    </row>
    <row r="522" spans="1:12" ht="14.5" x14ac:dyDescent="0.35">
      <c r="A522" s="915">
        <v>42139</v>
      </c>
      <c r="B522" s="743">
        <v>22.5458</v>
      </c>
      <c r="C522" s="743">
        <v>14.7508</v>
      </c>
      <c r="D522" s="915">
        <v>42139</v>
      </c>
      <c r="E522" s="743">
        <v>11.681900000000001</v>
      </c>
      <c r="F522" s="743">
        <v>7.2201000000000004</v>
      </c>
      <c r="G522" s="915">
        <v>42139</v>
      </c>
      <c r="H522" s="743">
        <v>2.9847999999999999</v>
      </c>
      <c r="I522" s="743">
        <v>0.94989999999999997</v>
      </c>
      <c r="J522" s="916">
        <v>-0.34599999999999997</v>
      </c>
      <c r="K522" s="916">
        <v>-0.38200000000000001</v>
      </c>
      <c r="L522" s="916">
        <v>-0.68200000000000005</v>
      </c>
    </row>
    <row r="523" spans="1:12" ht="14.5" x14ac:dyDescent="0.35">
      <c r="A523" s="915">
        <v>42132</v>
      </c>
      <c r="B523" s="743">
        <v>22.366800000000001</v>
      </c>
      <c r="C523" s="743">
        <v>14.5985</v>
      </c>
      <c r="D523" s="915">
        <v>42132</v>
      </c>
      <c r="E523" s="743">
        <v>11.681900000000001</v>
      </c>
      <c r="F523" s="743">
        <v>7.3063000000000002</v>
      </c>
      <c r="G523" s="915">
        <v>42132</v>
      </c>
      <c r="H523" s="743">
        <v>2.9603000000000002</v>
      </c>
      <c r="I523" s="743">
        <v>0.96250000000000002</v>
      </c>
      <c r="J523" s="916">
        <v>-0.34699999999999998</v>
      </c>
      <c r="K523" s="916">
        <v>-0.375</v>
      </c>
      <c r="L523" s="916">
        <v>-0.67500000000000004</v>
      </c>
    </row>
    <row r="524" spans="1:12" ht="14.5" x14ac:dyDescent="0.35">
      <c r="A524" s="915">
        <v>42125</v>
      </c>
      <c r="B524" s="743">
        <v>22.4696</v>
      </c>
      <c r="C524" s="743">
        <v>14.914400000000001</v>
      </c>
      <c r="D524" s="915">
        <v>42125</v>
      </c>
      <c r="E524" s="743">
        <v>11.681900000000001</v>
      </c>
      <c r="F524" s="743">
        <v>7.3025000000000002</v>
      </c>
      <c r="G524" s="915">
        <v>42125</v>
      </c>
      <c r="H524" s="743">
        <v>2.9744999999999999</v>
      </c>
      <c r="I524" s="743">
        <v>0.96530000000000005</v>
      </c>
      <c r="J524" s="916">
        <v>-0.33600000000000002</v>
      </c>
      <c r="K524" s="916">
        <v>-0.375</v>
      </c>
      <c r="L524" s="916">
        <v>-0.67500000000000004</v>
      </c>
    </row>
    <row r="525" spans="1:12" ht="14.5" x14ac:dyDescent="0.35">
      <c r="A525" s="915">
        <v>42118</v>
      </c>
      <c r="B525" s="743">
        <v>22.758900000000001</v>
      </c>
      <c r="C525" s="743">
        <v>15.478999999999999</v>
      </c>
      <c r="D525" s="915">
        <v>42118</v>
      </c>
      <c r="E525" s="743">
        <v>11.681900000000001</v>
      </c>
      <c r="F525" s="743">
        <v>6.9021999999999997</v>
      </c>
      <c r="G525" s="915">
        <v>42118</v>
      </c>
      <c r="H525" s="743">
        <v>3.0144000000000002</v>
      </c>
      <c r="I525" s="743">
        <v>0.96279999999999999</v>
      </c>
      <c r="J525" s="916">
        <v>-0.32</v>
      </c>
      <c r="K525" s="916">
        <v>-0.40899999999999997</v>
      </c>
      <c r="L525" s="916">
        <v>-0.68100000000000005</v>
      </c>
    </row>
    <row r="526" spans="1:12" ht="14.5" x14ac:dyDescent="0.35">
      <c r="A526" s="915">
        <v>42111</v>
      </c>
      <c r="B526" s="743">
        <v>21.8308</v>
      </c>
      <c r="C526" s="743">
        <v>15.305099999999999</v>
      </c>
      <c r="D526" s="915">
        <v>42111</v>
      </c>
      <c r="E526" s="743">
        <v>11.682499999999999</v>
      </c>
      <c r="F526" s="743">
        <v>6.9021999999999997</v>
      </c>
      <c r="G526" s="915">
        <v>42111</v>
      </c>
      <c r="H526" s="743">
        <v>2.8868</v>
      </c>
      <c r="I526" s="743">
        <v>0.9556</v>
      </c>
      <c r="J526" s="916">
        <v>-0.29899999999999999</v>
      </c>
      <c r="K526" s="916">
        <v>-0.40899999999999997</v>
      </c>
      <c r="L526" s="916">
        <v>-0.66900000000000004</v>
      </c>
    </row>
    <row r="527" spans="1:12" ht="14.5" x14ac:dyDescent="0.35">
      <c r="A527" s="915">
        <v>42104</v>
      </c>
      <c r="B527" s="743">
        <v>22.184100000000001</v>
      </c>
      <c r="C527" s="743">
        <v>14.9741</v>
      </c>
      <c r="D527" s="915">
        <v>42104</v>
      </c>
      <c r="E527" s="743">
        <v>11.682499999999999</v>
      </c>
      <c r="F527" s="743">
        <v>6.9021999999999997</v>
      </c>
      <c r="G527" s="915">
        <v>42104</v>
      </c>
      <c r="H527" s="743">
        <v>2.9352999999999998</v>
      </c>
      <c r="I527" s="743">
        <v>0.9425</v>
      </c>
      <c r="J527" s="916">
        <v>-0.32500000000000001</v>
      </c>
      <c r="K527" s="916">
        <v>-0.40899999999999997</v>
      </c>
      <c r="L527" s="916">
        <v>-0.67900000000000005</v>
      </c>
    </row>
    <row r="528" spans="1:12" ht="14.5" x14ac:dyDescent="0.35">
      <c r="A528" s="915">
        <v>42097</v>
      </c>
      <c r="B528" s="743">
        <v>21.652200000000001</v>
      </c>
      <c r="C528" s="743">
        <v>14.678800000000001</v>
      </c>
      <c r="D528" s="915">
        <v>42097</v>
      </c>
      <c r="E528" s="743">
        <v>11.682499999999999</v>
      </c>
      <c r="F528" s="743">
        <v>6.9021999999999997</v>
      </c>
      <c r="G528" s="915">
        <v>42097</v>
      </c>
      <c r="H528" s="743">
        <v>2.8580999999999999</v>
      </c>
      <c r="I528" s="743">
        <v>0.93059999999999998</v>
      </c>
      <c r="J528" s="916">
        <v>-0.32200000000000001</v>
      </c>
      <c r="K528" s="916">
        <v>-0.40899999999999997</v>
      </c>
      <c r="L528" s="916">
        <v>-0.67400000000000004</v>
      </c>
    </row>
    <row r="529" spans="1:12" ht="14.5" x14ac:dyDescent="0.35">
      <c r="A529" s="915">
        <v>42090</v>
      </c>
      <c r="B529" s="743">
        <v>23.504300000000001</v>
      </c>
      <c r="C529" s="743">
        <v>13.566000000000001</v>
      </c>
      <c r="D529" s="915">
        <v>42090</v>
      </c>
      <c r="E529" s="743">
        <v>11.8241</v>
      </c>
      <c r="F529" s="743">
        <v>6.8627000000000002</v>
      </c>
      <c r="G529" s="915">
        <v>42090</v>
      </c>
      <c r="H529" s="743">
        <v>3.1042000000000001</v>
      </c>
      <c r="I529" s="743">
        <v>0.9284</v>
      </c>
      <c r="J529" s="916">
        <v>-0.42299999999999999</v>
      </c>
      <c r="K529" s="916">
        <v>-0.42</v>
      </c>
      <c r="L529" s="916">
        <v>-0.70099999999999996</v>
      </c>
    </row>
    <row r="530" spans="1:12" ht="14.5" x14ac:dyDescent="0.35">
      <c r="A530" s="915">
        <v>42083</v>
      </c>
      <c r="B530" s="743">
        <v>24.186</v>
      </c>
      <c r="C530" s="743">
        <v>13.7631</v>
      </c>
      <c r="D530" s="915">
        <v>42083</v>
      </c>
      <c r="E530" s="743">
        <v>11.8324</v>
      </c>
      <c r="F530" s="743">
        <v>6.8642000000000003</v>
      </c>
      <c r="G530" s="915">
        <v>42083</v>
      </c>
      <c r="H530" s="743">
        <v>3.1577000000000002</v>
      </c>
      <c r="I530" s="743">
        <v>0.93659999999999999</v>
      </c>
      <c r="J530" s="916">
        <v>-0.43099999999999999</v>
      </c>
      <c r="K530" s="916">
        <v>-0.42</v>
      </c>
      <c r="L530" s="916">
        <v>-0.70299999999999996</v>
      </c>
    </row>
    <row r="531" spans="1:12" ht="14.5" x14ac:dyDescent="0.35">
      <c r="A531" s="915">
        <v>42076</v>
      </c>
      <c r="B531" s="743">
        <v>23.4069</v>
      </c>
      <c r="C531" s="743">
        <v>13.4565</v>
      </c>
      <c r="D531" s="915">
        <v>42076</v>
      </c>
      <c r="E531" s="743">
        <v>11.832599999999999</v>
      </c>
      <c r="F531" s="743">
        <v>6.7630999999999997</v>
      </c>
      <c r="G531" s="915">
        <v>42076</v>
      </c>
      <c r="H531" s="743">
        <v>3.052</v>
      </c>
      <c r="I531" s="743">
        <v>0.93020000000000003</v>
      </c>
      <c r="J531" s="916">
        <v>-0.42499999999999999</v>
      </c>
      <c r="K531" s="916">
        <v>-0.42799999999999999</v>
      </c>
      <c r="L531" s="916">
        <v>-0.69499999999999995</v>
      </c>
    </row>
    <row r="532" spans="1:12" ht="14.5" x14ac:dyDescent="0.35">
      <c r="A532" s="915">
        <v>42069</v>
      </c>
      <c r="B532" s="743">
        <v>23.8645</v>
      </c>
      <c r="C532" s="743">
        <v>12.424200000000001</v>
      </c>
      <c r="D532" s="915">
        <v>42069</v>
      </c>
      <c r="E532" s="743">
        <v>11.832700000000001</v>
      </c>
      <c r="F532" s="743">
        <v>7.2060000000000004</v>
      </c>
      <c r="G532" s="915">
        <v>42069</v>
      </c>
      <c r="H532" s="743">
        <v>3.1141000000000001</v>
      </c>
      <c r="I532" s="743">
        <v>0.86460000000000004</v>
      </c>
      <c r="J532" s="916">
        <v>-0.47899999999999998</v>
      </c>
      <c r="K532" s="916">
        <v>-0.39100000000000001</v>
      </c>
      <c r="L532" s="916">
        <v>-0.72199999999999998</v>
      </c>
    </row>
    <row r="533" spans="1:12" ht="14.5" x14ac:dyDescent="0.35">
      <c r="A533" s="915">
        <v>42062</v>
      </c>
      <c r="B533" s="743">
        <v>24.0898</v>
      </c>
      <c r="C533" s="743">
        <v>11.836399999999999</v>
      </c>
      <c r="D533" s="915">
        <v>42062</v>
      </c>
      <c r="E533" s="743">
        <v>11.8331</v>
      </c>
      <c r="F533" s="743">
        <v>6.8029999999999999</v>
      </c>
      <c r="G533" s="915">
        <v>42062</v>
      </c>
      <c r="H533" s="743">
        <v>3.1446999999999998</v>
      </c>
      <c r="I533" s="743">
        <v>0.80840000000000001</v>
      </c>
      <c r="J533" s="916">
        <v>-0.50900000000000001</v>
      </c>
      <c r="K533" s="916">
        <v>-0.42499999999999999</v>
      </c>
      <c r="L533" s="916">
        <v>-0.74299999999999999</v>
      </c>
    </row>
    <row r="534" spans="1:12" ht="14.5" x14ac:dyDescent="0.35">
      <c r="A534" s="915">
        <v>42055</v>
      </c>
      <c r="B534" s="743">
        <v>24.102900000000002</v>
      </c>
      <c r="C534" s="743">
        <v>11.748200000000001</v>
      </c>
      <c r="D534" s="915">
        <v>42055</v>
      </c>
      <c r="E534" s="743">
        <v>11.8332</v>
      </c>
      <c r="F534" s="743">
        <v>6.8624000000000001</v>
      </c>
      <c r="G534" s="915">
        <v>42055</v>
      </c>
      <c r="H534" s="743">
        <v>3.1465000000000001</v>
      </c>
      <c r="I534" s="743">
        <v>0.8115</v>
      </c>
      <c r="J534" s="916">
        <v>-0.51300000000000001</v>
      </c>
      <c r="K534" s="916">
        <v>-0.42</v>
      </c>
      <c r="L534" s="916">
        <v>-0.74199999999999999</v>
      </c>
    </row>
    <row r="535" spans="1:12" ht="14.5" x14ac:dyDescent="0.35">
      <c r="A535" s="915">
        <v>42048</v>
      </c>
      <c r="B535" s="743">
        <v>23.782699999999998</v>
      </c>
      <c r="C535" s="743">
        <v>11.720800000000001</v>
      </c>
      <c r="D535" s="915">
        <v>42048</v>
      </c>
      <c r="E535" s="743">
        <v>11.8332</v>
      </c>
      <c r="F535" s="743">
        <v>6.8624999999999998</v>
      </c>
      <c r="G535" s="915">
        <v>42048</v>
      </c>
      <c r="H535" s="743">
        <v>3.1031</v>
      </c>
      <c r="I535" s="743">
        <v>0.81020000000000003</v>
      </c>
      <c r="J535" s="916">
        <v>-0.50700000000000001</v>
      </c>
      <c r="K535" s="916">
        <v>-0.42</v>
      </c>
      <c r="L535" s="916">
        <v>-0.73899999999999999</v>
      </c>
    </row>
    <row r="536" spans="1:12" ht="14.5" x14ac:dyDescent="0.35">
      <c r="A536" s="915">
        <v>42041</v>
      </c>
      <c r="B536" s="743">
        <v>22.940100000000001</v>
      </c>
      <c r="C536" s="743">
        <v>11.6579</v>
      </c>
      <c r="D536" s="915">
        <v>42041</v>
      </c>
      <c r="E536" s="743">
        <v>11.8261</v>
      </c>
      <c r="F536" s="743">
        <v>6.9008000000000003</v>
      </c>
      <c r="G536" s="915">
        <v>42041</v>
      </c>
      <c r="H536" s="743">
        <v>2.9899</v>
      </c>
      <c r="I536" s="743">
        <v>0.81850000000000001</v>
      </c>
      <c r="J536" s="916">
        <v>-0.49199999999999999</v>
      </c>
      <c r="K536" s="916">
        <v>-0.41599999999999998</v>
      </c>
      <c r="L536" s="916">
        <v>-0.72599999999999998</v>
      </c>
    </row>
    <row r="537" spans="1:12" ht="14.5" x14ac:dyDescent="0.35">
      <c r="A537" s="915">
        <v>42034</v>
      </c>
      <c r="B537" s="743">
        <v>22.504799999999999</v>
      </c>
      <c r="C537" s="743">
        <v>14.2553</v>
      </c>
      <c r="D537" s="915">
        <v>42034</v>
      </c>
      <c r="E537" s="743">
        <v>11.827199999999999</v>
      </c>
      <c r="F537" s="743">
        <v>7.2432999999999996</v>
      </c>
      <c r="G537" s="915">
        <v>42034</v>
      </c>
      <c r="H537" s="743">
        <v>2.9323999999999999</v>
      </c>
      <c r="I537" s="743">
        <v>0.90700000000000003</v>
      </c>
      <c r="J537" s="916">
        <v>-0.36699999999999999</v>
      </c>
      <c r="K537" s="916">
        <v>-0.38800000000000001</v>
      </c>
      <c r="L537" s="916">
        <v>-0.69099999999999995</v>
      </c>
    </row>
    <row r="538" spans="1:12" ht="14.5" x14ac:dyDescent="0.35">
      <c r="A538" s="915">
        <v>42027</v>
      </c>
      <c r="B538" s="743">
        <v>23.208600000000001</v>
      </c>
      <c r="C538" s="743">
        <v>14.305300000000001</v>
      </c>
      <c r="D538" s="915">
        <v>42027</v>
      </c>
      <c r="E538" s="743">
        <v>11.8284</v>
      </c>
      <c r="F538" s="743">
        <v>7.2434000000000003</v>
      </c>
      <c r="G538" s="915">
        <v>42027</v>
      </c>
      <c r="H538" s="743">
        <v>3.0280999999999998</v>
      </c>
      <c r="I538" s="743">
        <v>0.90880000000000005</v>
      </c>
      <c r="J538" s="916">
        <v>-0.38400000000000001</v>
      </c>
      <c r="K538" s="916">
        <v>-0.38800000000000001</v>
      </c>
      <c r="L538" s="916">
        <v>-0.7</v>
      </c>
    </row>
    <row r="539" spans="1:12" ht="14.5" x14ac:dyDescent="0.35">
      <c r="A539" s="915">
        <v>42020</v>
      </c>
      <c r="B539" s="743">
        <v>22.4711</v>
      </c>
      <c r="C539" s="743">
        <v>13.829499999999999</v>
      </c>
      <c r="D539" s="915">
        <v>42020</v>
      </c>
      <c r="E539" s="743">
        <v>11.828900000000001</v>
      </c>
      <c r="F539" s="743">
        <v>7.2423999999999999</v>
      </c>
      <c r="G539" s="915">
        <v>42020</v>
      </c>
      <c r="H539" s="743">
        <v>2.9279000000000002</v>
      </c>
      <c r="I539" s="743">
        <v>0.88980000000000004</v>
      </c>
      <c r="J539" s="916">
        <v>-0.38500000000000001</v>
      </c>
      <c r="K539" s="916">
        <v>-0.38800000000000001</v>
      </c>
      <c r="L539" s="916">
        <v>-0.69599999999999995</v>
      </c>
    </row>
    <row r="540" spans="1:12" ht="14.5" x14ac:dyDescent="0.35">
      <c r="A540" s="915">
        <v>42013</v>
      </c>
      <c r="B540" s="743">
        <v>22.857199999999999</v>
      </c>
      <c r="C540" s="743">
        <v>14.0747</v>
      </c>
      <c r="D540" s="915">
        <v>42013</v>
      </c>
      <c r="E540" s="743">
        <v>11.8294</v>
      </c>
      <c r="F540" s="743">
        <v>7.2415000000000003</v>
      </c>
      <c r="G540" s="915">
        <v>42013</v>
      </c>
      <c r="H540" s="743">
        <v>2.9805000000000001</v>
      </c>
      <c r="I540" s="743">
        <v>0.90249999999999997</v>
      </c>
      <c r="J540" s="916">
        <v>-0.38400000000000001</v>
      </c>
      <c r="K540" s="916">
        <v>-0.38800000000000001</v>
      </c>
      <c r="L540" s="916">
        <v>-0.69699999999999995</v>
      </c>
    </row>
    <row r="541" spans="1:12" ht="14.5" x14ac:dyDescent="0.35">
      <c r="A541" s="915">
        <v>42006</v>
      </c>
      <c r="B541" s="743">
        <v>22.949200000000001</v>
      </c>
      <c r="C541" s="743">
        <v>14.0061</v>
      </c>
      <c r="D541" s="915">
        <v>42006</v>
      </c>
      <c r="E541" s="743">
        <v>11.829599999999999</v>
      </c>
      <c r="F541" s="743">
        <v>7.2404999999999999</v>
      </c>
      <c r="G541" s="915">
        <v>42006</v>
      </c>
      <c r="H541" s="743">
        <v>2.9929999999999999</v>
      </c>
      <c r="I541" s="743">
        <v>0.8962</v>
      </c>
      <c r="J541" s="916">
        <v>-0.39</v>
      </c>
      <c r="K541" s="916">
        <v>-0.38800000000000001</v>
      </c>
      <c r="L541" s="916">
        <v>-0.70099999999999996</v>
      </c>
    </row>
    <row r="542" spans="1:12" ht="14.5" x14ac:dyDescent="0.35">
      <c r="A542" s="915">
        <v>41999</v>
      </c>
      <c r="B542" s="743">
        <v>24.386399999999998</v>
      </c>
      <c r="C542" s="743">
        <v>14.303900000000001</v>
      </c>
      <c r="D542" s="915">
        <v>41999</v>
      </c>
      <c r="E542" s="743">
        <v>11.7879</v>
      </c>
      <c r="F542" s="743">
        <v>7.2366999999999999</v>
      </c>
      <c r="G542" s="915">
        <v>41999</v>
      </c>
      <c r="H542" s="743">
        <v>3.1202999999999999</v>
      </c>
      <c r="I542" s="743">
        <v>0.91139999999999999</v>
      </c>
      <c r="J542" s="916">
        <v>-0.41299999999999998</v>
      </c>
      <c r="K542" s="916">
        <v>-0.38600000000000001</v>
      </c>
      <c r="L542" s="916">
        <v>-0.70799999999999996</v>
      </c>
    </row>
    <row r="543" spans="1:12" ht="14.5" x14ac:dyDescent="0.35">
      <c r="A543" s="915">
        <v>41992</v>
      </c>
      <c r="B543" s="743">
        <v>24.203700000000001</v>
      </c>
      <c r="C543" s="743">
        <v>14.1952</v>
      </c>
      <c r="D543" s="915">
        <v>41992</v>
      </c>
      <c r="E543" s="743">
        <v>11.7879</v>
      </c>
      <c r="F543" s="743">
        <v>7.2367999999999997</v>
      </c>
      <c r="G543" s="915">
        <v>41992</v>
      </c>
      <c r="H543" s="743">
        <v>3.0299</v>
      </c>
      <c r="I543" s="743">
        <v>0.90300000000000002</v>
      </c>
      <c r="J543" s="916">
        <v>-0.41399999999999998</v>
      </c>
      <c r="K543" s="916">
        <v>-0.38600000000000001</v>
      </c>
      <c r="L543" s="916">
        <v>-0.70199999999999996</v>
      </c>
    </row>
    <row r="544" spans="1:12" ht="14.5" x14ac:dyDescent="0.35">
      <c r="A544" s="915">
        <v>41985</v>
      </c>
      <c r="B544" s="743">
        <v>23.736999999999998</v>
      </c>
      <c r="C544" s="743">
        <v>14.108499999999999</v>
      </c>
      <c r="D544" s="915">
        <v>41985</v>
      </c>
      <c r="E544" s="743">
        <v>11.787599999999999</v>
      </c>
      <c r="F544" s="743">
        <v>7.2363</v>
      </c>
      <c r="G544" s="915">
        <v>41985</v>
      </c>
      <c r="H544" s="743">
        <v>2.9691000000000001</v>
      </c>
      <c r="I544" s="743">
        <v>0.89959999999999996</v>
      </c>
      <c r="J544" s="916">
        <v>-0.40600000000000003</v>
      </c>
      <c r="K544" s="916">
        <v>-0.38600000000000001</v>
      </c>
      <c r="L544" s="916">
        <v>-0.69699999999999995</v>
      </c>
    </row>
    <row r="545" spans="1:12" ht="14.5" x14ac:dyDescent="0.35">
      <c r="A545" s="915">
        <v>41978</v>
      </c>
      <c r="B545" s="743">
        <v>24.371500000000001</v>
      </c>
      <c r="C545" s="743">
        <v>14.555</v>
      </c>
      <c r="D545" s="915">
        <v>41978</v>
      </c>
      <c r="E545" s="743">
        <v>11.787599999999999</v>
      </c>
      <c r="F545" s="743">
        <v>7.2370999999999999</v>
      </c>
      <c r="G545" s="915">
        <v>41978</v>
      </c>
      <c r="H545" s="743">
        <v>3.0522</v>
      </c>
      <c r="I545" s="743">
        <v>0.92130000000000001</v>
      </c>
      <c r="J545" s="916">
        <v>-0.40300000000000002</v>
      </c>
      <c r="K545" s="916">
        <v>-0.38600000000000001</v>
      </c>
      <c r="L545" s="916">
        <v>-0.69799999999999995</v>
      </c>
    </row>
    <row r="546" spans="1:12" ht="14.5" x14ac:dyDescent="0.35">
      <c r="A546" s="915">
        <v>41971</v>
      </c>
      <c r="B546" s="743">
        <v>24.519200000000001</v>
      </c>
      <c r="C546" s="743">
        <v>14.520099999999999</v>
      </c>
      <c r="D546" s="915">
        <v>41971</v>
      </c>
      <c r="E546" s="743">
        <v>11.7875</v>
      </c>
      <c r="F546" s="743">
        <v>7.2385000000000002</v>
      </c>
      <c r="G546" s="915">
        <v>41971</v>
      </c>
      <c r="H546" s="743">
        <v>3.0716000000000001</v>
      </c>
      <c r="I546" s="743">
        <v>0.92</v>
      </c>
      <c r="J546" s="916">
        <v>-0.40799999999999997</v>
      </c>
      <c r="K546" s="916">
        <v>-0.38600000000000001</v>
      </c>
      <c r="L546" s="916">
        <v>-0.7</v>
      </c>
    </row>
    <row r="547" spans="1:12" ht="14.5" x14ac:dyDescent="0.35">
      <c r="A547" s="915">
        <v>41964</v>
      </c>
      <c r="B547" s="743">
        <v>24.0304</v>
      </c>
      <c r="C547" s="743">
        <v>14.2646</v>
      </c>
      <c r="D547" s="915">
        <v>41964</v>
      </c>
      <c r="E547" s="743">
        <v>11.7875</v>
      </c>
      <c r="F547" s="743">
        <v>7.2039999999999997</v>
      </c>
      <c r="G547" s="915">
        <v>41964</v>
      </c>
      <c r="H547" s="743">
        <v>3.0093999999999999</v>
      </c>
      <c r="I547" s="743">
        <v>0.90959999999999996</v>
      </c>
      <c r="J547" s="916">
        <v>-0.40600000000000003</v>
      </c>
      <c r="K547" s="916">
        <v>-0.38900000000000001</v>
      </c>
      <c r="L547" s="916">
        <v>-0.69799999999999995</v>
      </c>
    </row>
    <row r="548" spans="1:12" ht="14.5" x14ac:dyDescent="0.35">
      <c r="A548" s="915">
        <v>41957</v>
      </c>
      <c r="B548" s="743">
        <v>23.881499999999999</v>
      </c>
      <c r="C548" s="743">
        <v>14.1737</v>
      </c>
      <c r="D548" s="915">
        <v>41957</v>
      </c>
      <c r="E548" s="743">
        <v>11.7874</v>
      </c>
      <c r="F548" s="743">
        <v>7.2068000000000003</v>
      </c>
      <c r="G548" s="915">
        <v>41957</v>
      </c>
      <c r="H548" s="743">
        <v>2.9897999999999998</v>
      </c>
      <c r="I548" s="743">
        <v>0.90180000000000005</v>
      </c>
      <c r="J548" s="916">
        <v>-0.40600000000000003</v>
      </c>
      <c r="K548" s="916">
        <v>-0.38900000000000001</v>
      </c>
      <c r="L548" s="916">
        <v>-0.69799999999999995</v>
      </c>
    </row>
    <row r="549" spans="1:12" ht="14.5" x14ac:dyDescent="0.35">
      <c r="A549" s="915">
        <v>41950</v>
      </c>
      <c r="B549" s="743">
        <v>23.516200000000001</v>
      </c>
      <c r="C549" s="743">
        <v>13.8508</v>
      </c>
      <c r="D549" s="915">
        <v>41950</v>
      </c>
      <c r="E549" s="743">
        <v>11.7179</v>
      </c>
      <c r="F549" s="743">
        <v>7.6371000000000002</v>
      </c>
      <c r="G549" s="915">
        <v>41950</v>
      </c>
      <c r="H549" s="743">
        <v>2.9420999999999999</v>
      </c>
      <c r="I549" s="743">
        <v>0.9103</v>
      </c>
      <c r="J549" s="916">
        <v>-0.41099999999999998</v>
      </c>
      <c r="K549" s="916">
        <v>-0.34799999999999998</v>
      </c>
      <c r="L549" s="916">
        <v>-0.69099999999999995</v>
      </c>
    </row>
    <row r="550" spans="1:12" ht="14.5" x14ac:dyDescent="0.35">
      <c r="A550" s="915">
        <v>41943</v>
      </c>
      <c r="B550" s="743">
        <v>23.503399999999999</v>
      </c>
      <c r="C550" s="743">
        <v>13.009</v>
      </c>
      <c r="D550" s="915">
        <v>41943</v>
      </c>
      <c r="E550" s="743">
        <v>11.7179</v>
      </c>
      <c r="F550" s="743">
        <v>7.0643000000000002</v>
      </c>
      <c r="G550" s="915">
        <v>41943</v>
      </c>
      <c r="H550" s="743">
        <v>2.9430999999999998</v>
      </c>
      <c r="I550" s="743">
        <v>0.90690000000000004</v>
      </c>
      <c r="J550" s="916">
        <v>-0.44700000000000001</v>
      </c>
      <c r="K550" s="916">
        <v>-0.39700000000000002</v>
      </c>
      <c r="L550" s="916">
        <v>-0.69199999999999995</v>
      </c>
    </row>
    <row r="551" spans="1:12" ht="14.5" x14ac:dyDescent="0.35">
      <c r="A551" s="915">
        <v>41936</v>
      </c>
      <c r="B551" s="743">
        <v>22.846900000000002</v>
      </c>
      <c r="C551" s="743">
        <v>12.569699999999999</v>
      </c>
      <c r="D551" s="915">
        <v>41936</v>
      </c>
      <c r="E551" s="743">
        <v>11.7173</v>
      </c>
      <c r="F551" s="743">
        <v>7.0631000000000004</v>
      </c>
      <c r="G551" s="915">
        <v>41936</v>
      </c>
      <c r="H551" s="743">
        <v>2.8567999999999998</v>
      </c>
      <c r="I551" s="743">
        <v>0.88800000000000001</v>
      </c>
      <c r="J551" s="916">
        <v>-0.45</v>
      </c>
      <c r="K551" s="916">
        <v>-0.39700000000000002</v>
      </c>
      <c r="L551" s="916">
        <v>-0.68899999999999995</v>
      </c>
    </row>
    <row r="552" spans="1:12" ht="14.5" x14ac:dyDescent="0.35">
      <c r="A552" s="915">
        <v>41929</v>
      </c>
      <c r="B552" s="743">
        <v>21.566500000000001</v>
      </c>
      <c r="C552" s="743">
        <v>12.4213</v>
      </c>
      <c r="D552" s="915">
        <v>41929</v>
      </c>
      <c r="E552" s="743">
        <v>11.7173</v>
      </c>
      <c r="F552" s="743">
        <v>7.0631000000000004</v>
      </c>
      <c r="G552" s="915">
        <v>41929</v>
      </c>
      <c r="H552" s="743">
        <v>2.6890999999999998</v>
      </c>
      <c r="I552" s="743">
        <v>0.88149999999999995</v>
      </c>
      <c r="J552" s="916">
        <v>-0.42399999999999999</v>
      </c>
      <c r="K552" s="916">
        <v>-0.39700000000000002</v>
      </c>
      <c r="L552" s="916">
        <v>-0.67200000000000004</v>
      </c>
    </row>
    <row r="553" spans="1:12" ht="14.5" x14ac:dyDescent="0.35">
      <c r="A553" s="915">
        <v>41922</v>
      </c>
      <c r="B553" s="743">
        <v>21.8795</v>
      </c>
      <c r="C553" s="743">
        <v>12.684900000000001</v>
      </c>
      <c r="D553" s="915">
        <v>41922</v>
      </c>
      <c r="E553" s="743">
        <v>11.7178</v>
      </c>
      <c r="F553" s="743">
        <v>7.0631000000000004</v>
      </c>
      <c r="G553" s="915">
        <v>41922</v>
      </c>
      <c r="H553" s="743">
        <v>2.7191000000000001</v>
      </c>
      <c r="I553" s="743">
        <v>0.89280000000000004</v>
      </c>
      <c r="J553" s="916">
        <v>-0.42</v>
      </c>
      <c r="K553" s="916">
        <v>-0.39700000000000002</v>
      </c>
      <c r="L553" s="916">
        <v>-0.67200000000000004</v>
      </c>
    </row>
    <row r="554" spans="1:12" ht="14.5" x14ac:dyDescent="0.35">
      <c r="A554" s="915">
        <v>41915</v>
      </c>
      <c r="B554" s="743">
        <v>22.763400000000001</v>
      </c>
      <c r="C554" s="743">
        <v>12.940300000000001</v>
      </c>
      <c r="D554" s="915">
        <v>41915</v>
      </c>
      <c r="E554" s="743">
        <v>11.7178</v>
      </c>
      <c r="F554" s="743">
        <v>7.0632999999999999</v>
      </c>
      <c r="G554" s="915">
        <v>41915</v>
      </c>
      <c r="H554" s="743">
        <v>2.8347000000000002</v>
      </c>
      <c r="I554" s="743">
        <v>0.90380000000000005</v>
      </c>
      <c r="J554" s="916">
        <v>-0.432</v>
      </c>
      <c r="K554" s="916">
        <v>-0.39700000000000002</v>
      </c>
      <c r="L554" s="916">
        <v>-0.68100000000000005</v>
      </c>
    </row>
    <row r="555" spans="1:12" ht="14.5" x14ac:dyDescent="0.35">
      <c r="A555" s="915">
        <v>41908</v>
      </c>
      <c r="B555" s="743">
        <v>23.9557</v>
      </c>
      <c r="C555" s="743">
        <v>13.39</v>
      </c>
      <c r="D555" s="915">
        <v>41908</v>
      </c>
      <c r="E555" s="743">
        <v>11.480399999999999</v>
      </c>
      <c r="F555" s="743">
        <v>7.0587</v>
      </c>
      <c r="G555" s="915">
        <v>41908</v>
      </c>
      <c r="H555" s="743">
        <v>2.9268000000000001</v>
      </c>
      <c r="I555" s="743">
        <v>0.92220000000000002</v>
      </c>
      <c r="J555" s="916">
        <v>-0.441</v>
      </c>
      <c r="K555" s="916">
        <v>-0.38500000000000001</v>
      </c>
      <c r="L555" s="916">
        <v>-0.68500000000000005</v>
      </c>
    </row>
    <row r="556" spans="1:12" ht="14.5" x14ac:dyDescent="0.35">
      <c r="A556" s="915">
        <v>41901</v>
      </c>
      <c r="B556" s="743">
        <v>24.229800000000001</v>
      </c>
      <c r="C556" s="743">
        <v>13.611000000000001</v>
      </c>
      <c r="D556" s="915">
        <v>41901</v>
      </c>
      <c r="E556" s="743">
        <v>11.480399999999999</v>
      </c>
      <c r="F556" s="743">
        <v>7.0587</v>
      </c>
      <c r="G556" s="915">
        <v>41901</v>
      </c>
      <c r="H556" s="743">
        <v>2.9721000000000002</v>
      </c>
      <c r="I556" s="743">
        <v>0.93169999999999997</v>
      </c>
      <c r="J556" s="916">
        <v>-0.438</v>
      </c>
      <c r="K556" s="916">
        <v>-0.38500000000000001</v>
      </c>
      <c r="L556" s="916">
        <v>-0.68700000000000006</v>
      </c>
    </row>
    <row r="557" spans="1:12" ht="14.5" x14ac:dyDescent="0.35">
      <c r="A557" s="915">
        <v>41894</v>
      </c>
      <c r="B557" s="743">
        <v>24.0474</v>
      </c>
      <c r="C557" s="743">
        <v>13.585699999999999</v>
      </c>
      <c r="D557" s="915">
        <v>41894</v>
      </c>
      <c r="E557" s="743">
        <v>11.479900000000001</v>
      </c>
      <c r="F557" s="743">
        <v>7.0587999999999997</v>
      </c>
      <c r="G557" s="915">
        <v>41894</v>
      </c>
      <c r="H557" s="743">
        <v>2.9485999999999999</v>
      </c>
      <c r="I557" s="743">
        <v>0.93059999999999998</v>
      </c>
      <c r="J557" s="916">
        <v>-0.435</v>
      </c>
      <c r="K557" s="916">
        <v>-0.38500000000000001</v>
      </c>
      <c r="L557" s="916">
        <v>-0.68400000000000005</v>
      </c>
    </row>
    <row r="558" spans="1:12" ht="14.5" x14ac:dyDescent="0.35">
      <c r="A558" s="915">
        <v>41887</v>
      </c>
      <c r="B558" s="743">
        <v>24.169699999999999</v>
      </c>
      <c r="C558" s="743">
        <v>13.6174</v>
      </c>
      <c r="D558" s="915">
        <v>41887</v>
      </c>
      <c r="E558" s="743">
        <v>11.479100000000001</v>
      </c>
      <c r="F558" s="743">
        <v>7.0587999999999997</v>
      </c>
      <c r="G558" s="915">
        <v>41887</v>
      </c>
      <c r="H558" s="743">
        <v>2.9643999999999999</v>
      </c>
      <c r="I558" s="743">
        <v>0.93200000000000005</v>
      </c>
      <c r="J558" s="916">
        <v>-0.437</v>
      </c>
      <c r="K558" s="916">
        <v>-0.38500000000000001</v>
      </c>
      <c r="L558" s="916">
        <v>-0.68600000000000005</v>
      </c>
    </row>
    <row r="559" spans="1:12" ht="14.5" x14ac:dyDescent="0.35">
      <c r="A559" s="915">
        <v>41880</v>
      </c>
      <c r="B559" s="743">
        <v>24.126200000000001</v>
      </c>
      <c r="C559" s="743">
        <v>13.793799999999999</v>
      </c>
      <c r="D559" s="915">
        <v>41880</v>
      </c>
      <c r="E559" s="743">
        <v>11.479200000000001</v>
      </c>
      <c r="F559" s="743">
        <v>7.0586000000000002</v>
      </c>
      <c r="G559" s="915">
        <v>41880</v>
      </c>
      <c r="H559" s="743">
        <v>2.9588000000000001</v>
      </c>
      <c r="I559" s="743">
        <v>0.93959999999999999</v>
      </c>
      <c r="J559" s="916">
        <v>-0.42799999999999999</v>
      </c>
      <c r="K559" s="916">
        <v>-0.38500000000000001</v>
      </c>
      <c r="L559" s="916">
        <v>-0.68200000000000005</v>
      </c>
    </row>
    <row r="560" spans="1:12" ht="14.5" x14ac:dyDescent="0.35">
      <c r="A560" s="915">
        <v>41873</v>
      </c>
      <c r="B560" s="743">
        <v>23.95</v>
      </c>
      <c r="C560" s="743">
        <v>13.7111</v>
      </c>
      <c r="D560" s="915">
        <v>41873</v>
      </c>
      <c r="E560" s="743">
        <v>11.478899999999999</v>
      </c>
      <c r="F560" s="743">
        <v>7.0453999999999999</v>
      </c>
      <c r="G560" s="915">
        <v>41873</v>
      </c>
      <c r="H560" s="743">
        <v>2.9361000000000002</v>
      </c>
      <c r="I560" s="743">
        <v>0.93540000000000001</v>
      </c>
      <c r="J560" s="916">
        <v>-0.42799999999999999</v>
      </c>
      <c r="K560" s="916">
        <v>-0.38600000000000001</v>
      </c>
      <c r="L560" s="916">
        <v>-0.68100000000000005</v>
      </c>
    </row>
    <row r="561" spans="1:12" ht="14.5" x14ac:dyDescent="0.35">
      <c r="A561" s="915">
        <v>41866</v>
      </c>
      <c r="B561" s="743">
        <v>23.564499999999999</v>
      </c>
      <c r="C561" s="743">
        <v>13.817500000000001</v>
      </c>
      <c r="D561" s="915">
        <v>41866</v>
      </c>
      <c r="E561" s="743">
        <v>11.478999999999999</v>
      </c>
      <c r="F561" s="743">
        <v>7.0457999999999998</v>
      </c>
      <c r="G561" s="915">
        <v>41866</v>
      </c>
      <c r="H561" s="743">
        <v>2.8864999999999998</v>
      </c>
      <c r="I561" s="743">
        <v>0.93940000000000001</v>
      </c>
      <c r="J561" s="916">
        <v>-0.41399999999999998</v>
      </c>
      <c r="K561" s="916">
        <v>-0.38600000000000001</v>
      </c>
      <c r="L561" s="916">
        <v>-0.67500000000000004</v>
      </c>
    </row>
    <row r="562" spans="1:12" ht="14.5" x14ac:dyDescent="0.35">
      <c r="A562" s="915">
        <v>41859</v>
      </c>
      <c r="B562" s="743">
        <v>22.976900000000001</v>
      </c>
      <c r="C562" s="743">
        <v>13.526300000000001</v>
      </c>
      <c r="D562" s="915">
        <v>41859</v>
      </c>
      <c r="E562" s="743">
        <v>11.478899999999999</v>
      </c>
      <c r="F562" s="743">
        <v>6.9188999999999998</v>
      </c>
      <c r="G562" s="915">
        <v>41859</v>
      </c>
      <c r="H562" s="743">
        <v>2.8109000000000002</v>
      </c>
      <c r="I562" s="743">
        <v>0.93130000000000002</v>
      </c>
      <c r="J562" s="916">
        <v>-0.41099999999999998</v>
      </c>
      <c r="K562" s="916">
        <v>-0.39700000000000002</v>
      </c>
      <c r="L562" s="916">
        <v>-0.66900000000000004</v>
      </c>
    </row>
    <row r="563" spans="1:12" ht="14.5" x14ac:dyDescent="0.35">
      <c r="A563" s="915">
        <v>41852</v>
      </c>
      <c r="B563" s="743">
        <v>22.927199999999999</v>
      </c>
      <c r="C563" s="743">
        <v>13.874599999999999</v>
      </c>
      <c r="D563" s="915">
        <v>41852</v>
      </c>
      <c r="E563" s="743">
        <v>11.4779</v>
      </c>
      <c r="F563" s="743">
        <v>6.92</v>
      </c>
      <c r="G563" s="915">
        <v>41852</v>
      </c>
      <c r="H563" s="743">
        <v>2.8045</v>
      </c>
      <c r="I563" s="743">
        <v>0.94389999999999996</v>
      </c>
      <c r="J563" s="916">
        <v>-0.39500000000000002</v>
      </c>
      <c r="K563" s="916">
        <v>-0.39700000000000002</v>
      </c>
      <c r="L563" s="916">
        <v>-0.66300000000000003</v>
      </c>
    </row>
    <row r="564" spans="1:12" ht="14.5" x14ac:dyDescent="0.35">
      <c r="A564" s="915">
        <v>41845</v>
      </c>
      <c r="B564" s="743">
        <v>23.432400000000001</v>
      </c>
      <c r="C564" s="743">
        <v>13.6043</v>
      </c>
      <c r="D564" s="915">
        <v>41845</v>
      </c>
      <c r="E564" s="743">
        <v>11.4777</v>
      </c>
      <c r="F564" s="743">
        <v>6.9210000000000003</v>
      </c>
      <c r="G564" s="915">
        <v>41845</v>
      </c>
      <c r="H564" s="743">
        <v>2.8694999999999999</v>
      </c>
      <c r="I564" s="743">
        <v>0.93210000000000004</v>
      </c>
      <c r="J564" s="916">
        <v>-0.41899999999999998</v>
      </c>
      <c r="K564" s="916">
        <v>-0.39700000000000002</v>
      </c>
      <c r="L564" s="916">
        <v>-0.67500000000000004</v>
      </c>
    </row>
    <row r="565" spans="1:12" ht="14.5" x14ac:dyDescent="0.35">
      <c r="A565" s="915">
        <v>41838</v>
      </c>
      <c r="B565" s="743">
        <v>23.283100000000001</v>
      </c>
      <c r="C565" s="743">
        <v>13.5105</v>
      </c>
      <c r="D565" s="915">
        <v>41838</v>
      </c>
      <c r="E565" s="743">
        <v>11.479200000000001</v>
      </c>
      <c r="F565" s="743">
        <v>6.9210000000000003</v>
      </c>
      <c r="G565" s="915">
        <v>41838</v>
      </c>
      <c r="H565" s="743">
        <v>2.8502999999999998</v>
      </c>
      <c r="I565" s="743">
        <v>0.92800000000000005</v>
      </c>
      <c r="J565" s="916">
        <v>-0.42</v>
      </c>
      <c r="K565" s="916">
        <v>-0.39700000000000002</v>
      </c>
      <c r="L565" s="916">
        <v>-0.67400000000000004</v>
      </c>
    </row>
    <row r="566" spans="1:12" ht="14.5" x14ac:dyDescent="0.35">
      <c r="A566" s="915">
        <v>41831</v>
      </c>
      <c r="B566" s="743">
        <v>23.074400000000001</v>
      </c>
      <c r="C566" s="743">
        <v>13.2361</v>
      </c>
      <c r="D566" s="915">
        <v>41831</v>
      </c>
      <c r="E566" s="743">
        <v>11.479200000000001</v>
      </c>
      <c r="F566" s="743">
        <v>6.92</v>
      </c>
      <c r="G566" s="915">
        <v>41831</v>
      </c>
      <c r="H566" s="743">
        <v>2.8235000000000001</v>
      </c>
      <c r="I566" s="743">
        <v>0.91339999999999999</v>
      </c>
      <c r="J566" s="916">
        <v>-0.42599999999999999</v>
      </c>
      <c r="K566" s="916">
        <v>-0.39700000000000002</v>
      </c>
      <c r="L566" s="916">
        <v>-0.67700000000000005</v>
      </c>
    </row>
    <row r="567" spans="1:12" ht="14.5" x14ac:dyDescent="0.35">
      <c r="A567" s="915">
        <v>41824</v>
      </c>
      <c r="B567" s="743">
        <v>23.183299999999999</v>
      </c>
      <c r="C567" s="743">
        <v>13.452500000000001</v>
      </c>
      <c r="D567" s="915">
        <v>41824</v>
      </c>
      <c r="E567" s="743">
        <v>11.479200000000001</v>
      </c>
      <c r="F567" s="743">
        <v>6.9196999999999997</v>
      </c>
      <c r="G567" s="915">
        <v>41824</v>
      </c>
      <c r="H567" s="743">
        <v>2.8374999999999999</v>
      </c>
      <c r="I567" s="743">
        <v>0.92259999999999998</v>
      </c>
      <c r="J567" s="916">
        <v>-0.42</v>
      </c>
      <c r="K567" s="916">
        <v>-0.39700000000000002</v>
      </c>
      <c r="L567" s="916">
        <v>-0.67500000000000004</v>
      </c>
    </row>
    <row r="568" spans="1:12" ht="14.5" x14ac:dyDescent="0.35">
      <c r="A568" s="915">
        <v>41817</v>
      </c>
      <c r="B568" s="743">
        <v>22.987200000000001</v>
      </c>
      <c r="C568" s="743">
        <v>13.3889</v>
      </c>
      <c r="D568" s="915">
        <v>41817</v>
      </c>
      <c r="E568" s="743">
        <v>11.8714</v>
      </c>
      <c r="F568" s="743">
        <v>6.9263000000000003</v>
      </c>
      <c r="G568" s="915">
        <v>41817</v>
      </c>
      <c r="H568" s="743">
        <v>2.8174000000000001</v>
      </c>
      <c r="I568" s="743">
        <v>0.92069999999999996</v>
      </c>
      <c r="J568" s="916">
        <v>-0.41799999999999998</v>
      </c>
      <c r="K568" s="916">
        <v>-0.41699999999999998</v>
      </c>
      <c r="L568" s="916">
        <v>-0.67300000000000004</v>
      </c>
    </row>
    <row r="569" spans="1:12" ht="14.5" x14ac:dyDescent="0.35">
      <c r="A569" s="915">
        <v>41810</v>
      </c>
      <c r="B569" s="743">
        <v>22.737300000000001</v>
      </c>
      <c r="C569" s="743">
        <v>13.200799999999999</v>
      </c>
      <c r="D569" s="915">
        <v>41810</v>
      </c>
      <c r="E569" s="743">
        <v>11.8714</v>
      </c>
      <c r="F569" s="743">
        <v>6.9252000000000002</v>
      </c>
      <c r="G569" s="915">
        <v>41810</v>
      </c>
      <c r="H569" s="743">
        <v>2.7824</v>
      </c>
      <c r="I569" s="743">
        <v>0.91139999999999999</v>
      </c>
      <c r="J569" s="916">
        <v>-0.41899999999999998</v>
      </c>
      <c r="K569" s="916">
        <v>-0.41699999999999998</v>
      </c>
      <c r="L569" s="916">
        <v>-0.67200000000000004</v>
      </c>
    </row>
    <row r="570" spans="1:12" ht="14.5" x14ac:dyDescent="0.35">
      <c r="A570" s="915">
        <v>41803</v>
      </c>
      <c r="B570" s="743">
        <v>22.575399999999998</v>
      </c>
      <c r="C570" s="743">
        <v>13.391500000000001</v>
      </c>
      <c r="D570" s="915">
        <v>41803</v>
      </c>
      <c r="E570" s="743">
        <v>11.8714</v>
      </c>
      <c r="F570" s="743">
        <v>6.9252000000000002</v>
      </c>
      <c r="G570" s="915">
        <v>41803</v>
      </c>
      <c r="H570" s="743">
        <v>2.7614999999999998</v>
      </c>
      <c r="I570" s="743">
        <v>0.92190000000000005</v>
      </c>
      <c r="J570" s="916">
        <v>-0.40699999999999997</v>
      </c>
      <c r="K570" s="916">
        <v>-0.41699999999999998</v>
      </c>
      <c r="L570" s="916">
        <v>-0.66600000000000004</v>
      </c>
    </row>
    <row r="571" spans="1:12" ht="14.5" x14ac:dyDescent="0.35">
      <c r="A571" s="915">
        <v>41796</v>
      </c>
      <c r="B571" s="743">
        <v>22.689</v>
      </c>
      <c r="C571" s="743">
        <v>13.5078</v>
      </c>
      <c r="D571" s="915">
        <v>41796</v>
      </c>
      <c r="E571" s="743">
        <v>11.8714</v>
      </c>
      <c r="F571" s="743">
        <v>6.9253999999999998</v>
      </c>
      <c r="G571" s="915">
        <v>41796</v>
      </c>
      <c r="H571" s="743">
        <v>2.7761</v>
      </c>
      <c r="I571" s="743">
        <v>0.91890000000000005</v>
      </c>
      <c r="J571" s="916">
        <v>-0.40500000000000003</v>
      </c>
      <c r="K571" s="916">
        <v>-0.41699999999999998</v>
      </c>
      <c r="L571" s="916">
        <v>-0.66900000000000004</v>
      </c>
    </row>
    <row r="572" spans="1:12" ht="14.5" x14ac:dyDescent="0.35">
      <c r="A572" s="915">
        <v>41789</v>
      </c>
      <c r="B572" s="743">
        <v>22.328199999999999</v>
      </c>
      <c r="C572" s="743">
        <v>13.450900000000001</v>
      </c>
      <c r="D572" s="915">
        <v>41789</v>
      </c>
      <c r="E572" s="743">
        <v>11.7765</v>
      </c>
      <c r="F572" s="743">
        <v>6.9252000000000002</v>
      </c>
      <c r="G572" s="915">
        <v>41789</v>
      </c>
      <c r="H572" s="743">
        <v>2.7315999999999998</v>
      </c>
      <c r="I572" s="743">
        <v>0.91639999999999999</v>
      </c>
      <c r="J572" s="916">
        <v>-0.39800000000000002</v>
      </c>
      <c r="K572" s="916">
        <v>-0.41199999999999998</v>
      </c>
      <c r="L572" s="916">
        <v>-0.66500000000000004</v>
      </c>
    </row>
    <row r="573" spans="1:12" ht="14.5" x14ac:dyDescent="0.35">
      <c r="A573" s="915">
        <v>41782</v>
      </c>
      <c r="B573" s="743">
        <v>21.9727</v>
      </c>
      <c r="C573" s="743">
        <v>13.6401</v>
      </c>
      <c r="D573" s="915">
        <v>41782</v>
      </c>
      <c r="E573" s="743">
        <v>11.7765</v>
      </c>
      <c r="F573" s="743">
        <v>6.9191000000000003</v>
      </c>
      <c r="G573" s="915">
        <v>41782</v>
      </c>
      <c r="H573" s="743">
        <v>2.6858</v>
      </c>
      <c r="I573" s="743">
        <v>0.92390000000000005</v>
      </c>
      <c r="J573" s="916">
        <v>-0.379</v>
      </c>
      <c r="K573" s="916">
        <v>-0.41199999999999998</v>
      </c>
      <c r="L573" s="916">
        <v>-0.65600000000000003</v>
      </c>
    </row>
    <row r="574" spans="1:12" ht="14.5" x14ac:dyDescent="0.35">
      <c r="A574" s="915">
        <v>41775</v>
      </c>
      <c r="B574" s="743">
        <v>21.367000000000001</v>
      </c>
      <c r="C574" s="743">
        <v>13.624000000000001</v>
      </c>
      <c r="D574" s="915">
        <v>41775</v>
      </c>
      <c r="E574" s="743">
        <v>11.7765</v>
      </c>
      <c r="F574" s="743">
        <v>6.9184000000000001</v>
      </c>
      <c r="G574" s="915">
        <v>41775</v>
      </c>
      <c r="H574" s="743">
        <v>2.6147</v>
      </c>
      <c r="I574" s="743">
        <v>0.92320000000000002</v>
      </c>
      <c r="J574" s="916">
        <v>-0.36199999999999999</v>
      </c>
      <c r="K574" s="916">
        <v>-0.41299999999999998</v>
      </c>
      <c r="L574" s="916">
        <v>-0.64700000000000002</v>
      </c>
    </row>
    <row r="575" spans="1:12" ht="14.5" x14ac:dyDescent="0.35">
      <c r="A575" s="915">
        <v>41768</v>
      </c>
      <c r="B575" s="743">
        <v>21.1388</v>
      </c>
      <c r="C575" s="743">
        <v>12.7357</v>
      </c>
      <c r="D575" s="915">
        <v>41768</v>
      </c>
      <c r="E575" s="743">
        <v>11.7295</v>
      </c>
      <c r="F575" s="743">
        <v>6.8411</v>
      </c>
      <c r="G575" s="915">
        <v>41768</v>
      </c>
      <c r="H575" s="743">
        <v>2.5912000000000002</v>
      </c>
      <c r="I575" s="743">
        <v>0.89300000000000002</v>
      </c>
      <c r="J575" s="916">
        <v>-0.39800000000000002</v>
      </c>
      <c r="K575" s="916">
        <v>-0.41699999999999998</v>
      </c>
      <c r="L575" s="916">
        <v>-0.65500000000000003</v>
      </c>
    </row>
    <row r="576" spans="1:12" ht="14.5" x14ac:dyDescent="0.35">
      <c r="A576" s="915">
        <v>41761</v>
      </c>
      <c r="B576" s="743">
        <v>21.328800000000001</v>
      </c>
      <c r="C576" s="743">
        <v>13.178900000000001</v>
      </c>
      <c r="D576" s="915">
        <v>41761</v>
      </c>
      <c r="E576" s="743">
        <v>11.7295</v>
      </c>
      <c r="F576" s="743">
        <v>6.8856000000000002</v>
      </c>
      <c r="G576" s="915">
        <v>41761</v>
      </c>
      <c r="H576" s="743">
        <v>2.6158000000000001</v>
      </c>
      <c r="I576" s="743">
        <v>0.89149999999999996</v>
      </c>
      <c r="J576" s="916">
        <v>-0.38200000000000001</v>
      </c>
      <c r="K576" s="916">
        <v>-0.41299999999999998</v>
      </c>
      <c r="L576" s="916">
        <v>-0.65900000000000003</v>
      </c>
    </row>
    <row r="577" spans="1:12" ht="14.5" x14ac:dyDescent="0.35">
      <c r="A577" s="915">
        <v>41754</v>
      </c>
      <c r="B577" s="743">
        <v>21.0059</v>
      </c>
      <c r="C577" s="743">
        <v>13.315799999999999</v>
      </c>
      <c r="D577" s="915">
        <v>41754</v>
      </c>
      <c r="E577" s="743">
        <v>11.7296</v>
      </c>
      <c r="F577" s="743">
        <v>6.8856000000000002</v>
      </c>
      <c r="G577" s="915">
        <v>41754</v>
      </c>
      <c r="H577" s="743">
        <v>2.5737999999999999</v>
      </c>
      <c r="I577" s="743">
        <v>0.89739999999999998</v>
      </c>
      <c r="J577" s="916">
        <v>-0.36599999999999999</v>
      </c>
      <c r="K577" s="916">
        <v>-0.41299999999999998</v>
      </c>
      <c r="L577" s="916">
        <v>-0.65100000000000002</v>
      </c>
    </row>
    <row r="578" spans="1:12" ht="14.5" x14ac:dyDescent="0.35">
      <c r="A578" s="915">
        <v>41747</v>
      </c>
      <c r="B578" s="743">
        <v>21.014399999999998</v>
      </c>
      <c r="C578" s="743">
        <v>13.5236</v>
      </c>
      <c r="D578" s="915">
        <v>41747</v>
      </c>
      <c r="E578" s="743">
        <v>11.7296</v>
      </c>
      <c r="F578" s="743">
        <v>6.8856000000000002</v>
      </c>
      <c r="G578" s="915">
        <v>41747</v>
      </c>
      <c r="H578" s="743">
        <v>2.5749</v>
      </c>
      <c r="I578" s="743">
        <v>0.90639999999999998</v>
      </c>
      <c r="J578" s="916">
        <v>-0.35599999999999998</v>
      </c>
      <c r="K578" s="916">
        <v>-0.41299999999999998</v>
      </c>
      <c r="L578" s="916">
        <v>-0.64800000000000002</v>
      </c>
    </row>
    <row r="579" spans="1:12" ht="14.5" x14ac:dyDescent="0.35">
      <c r="A579" s="915">
        <v>41740</v>
      </c>
      <c r="B579" s="743">
        <v>20.493099999999998</v>
      </c>
      <c r="C579" s="743">
        <v>13.4747</v>
      </c>
      <c r="D579" s="915">
        <v>41740</v>
      </c>
      <c r="E579" s="743">
        <v>11.7296</v>
      </c>
      <c r="F579" s="743">
        <v>6.8856000000000002</v>
      </c>
      <c r="G579" s="915">
        <v>41740</v>
      </c>
      <c r="H579" s="743">
        <v>2.5072999999999999</v>
      </c>
      <c r="I579" s="743">
        <v>0.90429999999999999</v>
      </c>
      <c r="J579" s="916">
        <v>-0.34200000000000003</v>
      </c>
      <c r="K579" s="916">
        <v>-0.41299999999999998</v>
      </c>
      <c r="L579" s="916">
        <v>-0.63900000000000001</v>
      </c>
    </row>
    <row r="580" spans="1:12" ht="14.5" x14ac:dyDescent="0.35">
      <c r="A580" s="915">
        <v>41733</v>
      </c>
      <c r="B580" s="743">
        <v>21.043299999999999</v>
      </c>
      <c r="C580" s="743">
        <v>13.410399999999999</v>
      </c>
      <c r="D580" s="915">
        <v>41733</v>
      </c>
      <c r="E580" s="743">
        <v>11.7296</v>
      </c>
      <c r="F580" s="743">
        <v>6.8856000000000002</v>
      </c>
      <c r="G580" s="915">
        <v>41733</v>
      </c>
      <c r="H580" s="743">
        <v>2.5785999999999998</v>
      </c>
      <c r="I580" s="743">
        <v>0.90149999999999997</v>
      </c>
      <c r="J580" s="916">
        <v>-0.36299999999999999</v>
      </c>
      <c r="K580" s="916">
        <v>-0.41299999999999998</v>
      </c>
      <c r="L580" s="916">
        <v>-0.65</v>
      </c>
    </row>
    <row r="581" spans="1:12" ht="14.5" x14ac:dyDescent="0.35">
      <c r="A581" s="915">
        <v>41726</v>
      </c>
      <c r="B581" s="743">
        <v>21.8888</v>
      </c>
      <c r="C581" s="743">
        <v>12.0883</v>
      </c>
      <c r="D581" s="915">
        <v>41726</v>
      </c>
      <c r="E581" s="743">
        <v>10.7765</v>
      </c>
      <c r="F581" s="743">
        <v>6.7117000000000004</v>
      </c>
      <c r="G581" s="915">
        <v>41726</v>
      </c>
      <c r="H581" s="743">
        <v>2.5364</v>
      </c>
      <c r="I581" s="743">
        <v>0.89639999999999997</v>
      </c>
      <c r="J581" s="916">
        <v>-0.44800000000000001</v>
      </c>
      <c r="K581" s="916">
        <v>-0.377</v>
      </c>
      <c r="L581" s="916">
        <v>-0.64700000000000002</v>
      </c>
    </row>
    <row r="582" spans="1:12" ht="14.5" x14ac:dyDescent="0.35">
      <c r="A582" s="915">
        <v>41719</v>
      </c>
      <c r="B582" s="743">
        <v>22.3888</v>
      </c>
      <c r="C582" s="743">
        <v>11.763400000000001</v>
      </c>
      <c r="D582" s="915">
        <v>41719</v>
      </c>
      <c r="E582" s="743">
        <v>10.781599999999999</v>
      </c>
      <c r="F582" s="743">
        <v>6.7081</v>
      </c>
      <c r="G582" s="915">
        <v>41719</v>
      </c>
      <c r="H582" s="743">
        <v>2.5996000000000001</v>
      </c>
      <c r="I582" s="743">
        <v>0.88029999999999997</v>
      </c>
      <c r="J582" s="916">
        <v>-0.47499999999999998</v>
      </c>
      <c r="K582" s="916">
        <v>-0.378</v>
      </c>
      <c r="L582" s="916">
        <v>-0.66100000000000003</v>
      </c>
    </row>
    <row r="583" spans="1:12" ht="14.5" x14ac:dyDescent="0.35">
      <c r="A583" s="915">
        <v>41712</v>
      </c>
      <c r="B583" s="743">
        <v>22.234400000000001</v>
      </c>
      <c r="C583" s="743">
        <v>11.7141</v>
      </c>
      <c r="D583" s="915">
        <v>41712</v>
      </c>
      <c r="E583" s="743">
        <v>10.781599999999999</v>
      </c>
      <c r="F583" s="743">
        <v>6.7041000000000004</v>
      </c>
      <c r="G583" s="915">
        <v>41712</v>
      </c>
      <c r="H583" s="743">
        <v>2.5806</v>
      </c>
      <c r="I583" s="743">
        <v>0.87649999999999995</v>
      </c>
      <c r="J583" s="916">
        <v>-0.47299999999999998</v>
      </c>
      <c r="K583" s="916">
        <v>-0.378</v>
      </c>
      <c r="L583" s="916">
        <v>-0.66</v>
      </c>
    </row>
    <row r="584" spans="1:12" ht="14.5" x14ac:dyDescent="0.35">
      <c r="A584" s="915">
        <v>41705</v>
      </c>
      <c r="B584" s="743">
        <v>22.697299999999998</v>
      </c>
      <c r="C584" s="743">
        <v>11.9222</v>
      </c>
      <c r="D584" s="915">
        <v>41705</v>
      </c>
      <c r="E584" s="743">
        <v>10.781599999999999</v>
      </c>
      <c r="F584" s="743">
        <v>6.7205000000000004</v>
      </c>
      <c r="G584" s="915">
        <v>41705</v>
      </c>
      <c r="H584" s="743">
        <v>2.6375999999999999</v>
      </c>
      <c r="I584" s="743">
        <v>0.81710000000000005</v>
      </c>
      <c r="J584" s="916">
        <v>-0.47499999999999998</v>
      </c>
      <c r="K584" s="916">
        <v>-0.377</v>
      </c>
      <c r="L584" s="916">
        <v>-0.69</v>
      </c>
    </row>
    <row r="585" spans="1:12" ht="14.5" x14ac:dyDescent="0.35">
      <c r="A585" s="915">
        <v>41698</v>
      </c>
      <c r="B585" s="743">
        <v>22.6525</v>
      </c>
      <c r="C585" s="743">
        <v>11.925800000000001</v>
      </c>
      <c r="D585" s="915">
        <v>41698</v>
      </c>
      <c r="E585" s="743">
        <v>10.781599999999999</v>
      </c>
      <c r="F585" s="743">
        <v>6.4625000000000004</v>
      </c>
      <c r="G585" s="915">
        <v>41698</v>
      </c>
      <c r="H585" s="743">
        <v>2.6383999999999999</v>
      </c>
      <c r="I585" s="743">
        <v>0.78879999999999995</v>
      </c>
      <c r="J585" s="916">
        <v>-0.47399999999999998</v>
      </c>
      <c r="K585" s="916">
        <v>-0.40100000000000002</v>
      </c>
      <c r="L585" s="916">
        <v>-0.70099999999999996</v>
      </c>
    </row>
    <row r="586" spans="1:12" ht="14.5" x14ac:dyDescent="0.35">
      <c r="A586" s="915">
        <v>41691</v>
      </c>
      <c r="B586" s="743">
        <v>22.447199999999999</v>
      </c>
      <c r="C586" s="743">
        <v>11.754200000000001</v>
      </c>
      <c r="D586" s="915">
        <v>41691</v>
      </c>
      <c r="E586" s="743">
        <v>10.777699999999999</v>
      </c>
      <c r="F586" s="743">
        <v>6.4626999999999999</v>
      </c>
      <c r="G586" s="915">
        <v>41691</v>
      </c>
      <c r="H586" s="743">
        <v>2.6246</v>
      </c>
      <c r="I586" s="743">
        <v>0.78469999999999995</v>
      </c>
      <c r="J586" s="916">
        <v>-0.47599999999999998</v>
      </c>
      <c r="K586" s="916">
        <v>-0.4</v>
      </c>
      <c r="L586" s="916">
        <v>-0.70099999999999996</v>
      </c>
    </row>
    <row r="587" spans="1:12" ht="14.5" x14ac:dyDescent="0.35">
      <c r="A587" s="915">
        <v>41684</v>
      </c>
      <c r="B587" s="743">
        <v>22.455100000000002</v>
      </c>
      <c r="C587" s="743">
        <v>11.6144</v>
      </c>
      <c r="D587" s="915">
        <v>41684</v>
      </c>
      <c r="E587" s="743">
        <v>10.7775</v>
      </c>
      <c r="F587" s="743">
        <v>6.4622000000000002</v>
      </c>
      <c r="G587" s="915">
        <v>41684</v>
      </c>
      <c r="H587" s="743">
        <v>2.6255999999999999</v>
      </c>
      <c r="I587" s="743">
        <v>0.77849999999999997</v>
      </c>
      <c r="J587" s="916">
        <v>-0.48299999999999998</v>
      </c>
      <c r="K587" s="916">
        <v>-0.4</v>
      </c>
      <c r="L587" s="916">
        <v>-0.70299999999999996</v>
      </c>
    </row>
    <row r="588" spans="1:12" ht="14.5" x14ac:dyDescent="0.35">
      <c r="A588" s="915">
        <v>41677</v>
      </c>
      <c r="B588" s="743">
        <v>21.830100000000002</v>
      </c>
      <c r="C588" s="743">
        <v>11.4642</v>
      </c>
      <c r="D588" s="915">
        <v>41677</v>
      </c>
      <c r="E588" s="743">
        <v>10.7776</v>
      </c>
      <c r="F588" s="743">
        <v>6.4645000000000001</v>
      </c>
      <c r="G588" s="915">
        <v>41677</v>
      </c>
      <c r="H588" s="743">
        <v>2.548</v>
      </c>
      <c r="I588" s="743">
        <v>0.77200000000000002</v>
      </c>
      <c r="J588" s="916">
        <v>-0.47499999999999998</v>
      </c>
      <c r="K588" s="916">
        <v>-0.4</v>
      </c>
      <c r="L588" s="916">
        <v>-0.69699999999999995</v>
      </c>
    </row>
    <row r="589" spans="1:12" ht="14.5" x14ac:dyDescent="0.35">
      <c r="A589" s="915">
        <v>41670</v>
      </c>
      <c r="B589" s="743">
        <v>21.585000000000001</v>
      </c>
      <c r="C589" s="743">
        <v>12.5724</v>
      </c>
      <c r="D589" s="915">
        <v>41670</v>
      </c>
      <c r="E589" s="743">
        <v>10.777699999999999</v>
      </c>
      <c r="F589" s="743">
        <v>6.7785000000000002</v>
      </c>
      <c r="G589" s="915">
        <v>41670</v>
      </c>
      <c r="H589" s="743">
        <v>2.5177</v>
      </c>
      <c r="I589" s="743">
        <v>0.90869999999999995</v>
      </c>
      <c r="J589" s="916">
        <v>-0.41799999999999998</v>
      </c>
      <c r="K589" s="916">
        <v>-0.371</v>
      </c>
      <c r="L589" s="916">
        <v>-0.63900000000000001</v>
      </c>
    </row>
    <row r="590" spans="1:12" ht="14.5" x14ac:dyDescent="0.35">
      <c r="A590" s="915">
        <v>41663</v>
      </c>
      <c r="B590" s="743">
        <v>21.704899999999999</v>
      </c>
      <c r="C590" s="743">
        <v>12.5784</v>
      </c>
      <c r="D590" s="915">
        <v>41663</v>
      </c>
      <c r="E590" s="743">
        <v>10.7776</v>
      </c>
      <c r="F590" s="743">
        <v>6.7785000000000002</v>
      </c>
      <c r="G590" s="915">
        <v>41663</v>
      </c>
      <c r="H590" s="743">
        <v>2.5325000000000002</v>
      </c>
      <c r="I590" s="743">
        <v>0.90900000000000003</v>
      </c>
      <c r="J590" s="916">
        <v>-0.42</v>
      </c>
      <c r="K590" s="916">
        <v>-0.371</v>
      </c>
      <c r="L590" s="916">
        <v>-0.64100000000000001</v>
      </c>
    </row>
    <row r="591" spans="1:12" ht="14.5" x14ac:dyDescent="0.35">
      <c r="A591" s="915">
        <v>41656</v>
      </c>
      <c r="B591" s="743">
        <v>22.009899999999998</v>
      </c>
      <c r="C591" s="743">
        <v>12.6043</v>
      </c>
      <c r="D591" s="915">
        <v>41656</v>
      </c>
      <c r="E591" s="743">
        <v>10.7776</v>
      </c>
      <c r="F591" s="743">
        <v>6.7784000000000004</v>
      </c>
      <c r="G591" s="915">
        <v>41656</v>
      </c>
      <c r="H591" s="743">
        <v>2.5703999999999998</v>
      </c>
      <c r="I591" s="743">
        <v>0.90859999999999996</v>
      </c>
      <c r="J591" s="916">
        <v>-0.42699999999999999</v>
      </c>
      <c r="K591" s="916">
        <v>-0.371</v>
      </c>
      <c r="L591" s="916">
        <v>-0.64700000000000002</v>
      </c>
    </row>
    <row r="592" spans="1:12" ht="14.5" x14ac:dyDescent="0.35">
      <c r="A592" s="915">
        <v>41649</v>
      </c>
      <c r="B592" s="743">
        <v>21.849499999999999</v>
      </c>
      <c r="C592" s="743">
        <v>12.557499999999999</v>
      </c>
      <c r="D592" s="915">
        <v>41649</v>
      </c>
      <c r="E592" s="743">
        <v>10.7774</v>
      </c>
      <c r="F592" s="743">
        <v>6.7782999999999998</v>
      </c>
      <c r="G592" s="915">
        <v>41649</v>
      </c>
      <c r="H592" s="743">
        <v>2.5505</v>
      </c>
      <c r="I592" s="743">
        <v>0.90649999999999997</v>
      </c>
      <c r="J592" s="916">
        <v>-0.42499999999999999</v>
      </c>
      <c r="K592" s="916">
        <v>-0.371</v>
      </c>
      <c r="L592" s="916">
        <v>-0.64500000000000002</v>
      </c>
    </row>
    <row r="593" spans="1:12" ht="14.5" x14ac:dyDescent="0.35">
      <c r="A593" s="915">
        <v>41642</v>
      </c>
      <c r="B593" s="743">
        <v>21.687999999999999</v>
      </c>
      <c r="C593" s="743">
        <v>12.6851</v>
      </c>
      <c r="D593" s="915">
        <v>41642</v>
      </c>
      <c r="E593" s="743">
        <v>10.7774</v>
      </c>
      <c r="F593" s="743">
        <v>6.7782</v>
      </c>
      <c r="G593" s="915">
        <v>41642</v>
      </c>
      <c r="H593" s="743">
        <v>2.5304000000000002</v>
      </c>
      <c r="I593" s="743">
        <v>0.91220000000000001</v>
      </c>
      <c r="J593" s="916">
        <v>-0.41499999999999998</v>
      </c>
      <c r="K593" s="916">
        <v>-0.371</v>
      </c>
      <c r="L593" s="916">
        <v>-0.64</v>
      </c>
    </row>
    <row r="594" spans="1:12" ht="14.5" x14ac:dyDescent="0.35">
      <c r="A594" s="915">
        <v>41635</v>
      </c>
      <c r="B594" s="743">
        <v>21.576599999999999</v>
      </c>
      <c r="C594" s="743">
        <v>13.136699999999999</v>
      </c>
      <c r="D594" s="915">
        <v>41635</v>
      </c>
      <c r="E594" s="743">
        <v>9.6513000000000009</v>
      </c>
      <c r="F594" s="743">
        <v>6.7900999999999998</v>
      </c>
      <c r="G594" s="915">
        <v>41635</v>
      </c>
      <c r="H594" s="743">
        <v>2.5226999999999999</v>
      </c>
      <c r="I594" s="743">
        <v>0.93379999999999996</v>
      </c>
      <c r="J594" s="916">
        <v>-0.39100000000000001</v>
      </c>
      <c r="K594" s="916">
        <v>-0.29599999999999999</v>
      </c>
      <c r="L594" s="916">
        <v>-0.63</v>
      </c>
    </row>
    <row r="595" spans="1:12" ht="14.5" x14ac:dyDescent="0.35">
      <c r="A595" s="915">
        <v>41628</v>
      </c>
      <c r="B595" s="743">
        <v>21.318000000000001</v>
      </c>
      <c r="C595" s="743">
        <v>13.043799999999999</v>
      </c>
      <c r="D595" s="915">
        <v>41628</v>
      </c>
      <c r="E595" s="743">
        <v>9.6513000000000009</v>
      </c>
      <c r="F595" s="743">
        <v>6.7897999999999996</v>
      </c>
      <c r="G595" s="915">
        <v>41628</v>
      </c>
      <c r="H595" s="743">
        <v>2.4838</v>
      </c>
      <c r="I595" s="743">
        <v>0.92959999999999998</v>
      </c>
      <c r="J595" s="916">
        <v>-0.38800000000000001</v>
      </c>
      <c r="K595" s="916">
        <v>-0.29599999999999999</v>
      </c>
      <c r="L595" s="916">
        <v>-0.626</v>
      </c>
    </row>
    <row r="596" spans="1:12" ht="14.5" x14ac:dyDescent="0.35">
      <c r="A596" s="915">
        <v>41621</v>
      </c>
      <c r="B596" s="743">
        <v>20.866499999999998</v>
      </c>
      <c r="C596" s="743">
        <v>12.869</v>
      </c>
      <c r="D596" s="915">
        <v>41621</v>
      </c>
      <c r="E596" s="743">
        <v>9.6513000000000009</v>
      </c>
      <c r="F596" s="743">
        <v>6.7904999999999998</v>
      </c>
      <c r="G596" s="915">
        <v>41621</v>
      </c>
      <c r="H596" s="743">
        <v>2.4276</v>
      </c>
      <c r="I596" s="743">
        <v>0.92159999999999997</v>
      </c>
      <c r="J596" s="916">
        <v>-0.38300000000000001</v>
      </c>
      <c r="K596" s="916">
        <v>-0.29599999999999999</v>
      </c>
      <c r="L596" s="916">
        <v>-0.62</v>
      </c>
    </row>
    <row r="597" spans="1:12" ht="14.5" x14ac:dyDescent="0.35">
      <c r="A597" s="915">
        <v>41614</v>
      </c>
      <c r="B597" s="743">
        <v>21.1554</v>
      </c>
      <c r="C597" s="743">
        <v>13.004</v>
      </c>
      <c r="D597" s="915">
        <v>41614</v>
      </c>
      <c r="E597" s="743">
        <v>9.6513000000000009</v>
      </c>
      <c r="F597" s="743">
        <v>6.7907999999999999</v>
      </c>
      <c r="G597" s="915">
        <v>41614</v>
      </c>
      <c r="H597" s="743">
        <v>2.4636999999999998</v>
      </c>
      <c r="I597" s="743">
        <v>0.92759999999999998</v>
      </c>
      <c r="J597" s="916">
        <v>-0.38500000000000001</v>
      </c>
      <c r="K597" s="916">
        <v>-0.29599999999999999</v>
      </c>
      <c r="L597" s="916">
        <v>-0.623</v>
      </c>
    </row>
    <row r="598" spans="1:12" ht="14.5" x14ac:dyDescent="0.35">
      <c r="A598" s="915">
        <v>41607</v>
      </c>
      <c r="B598" s="743">
        <v>21.0562</v>
      </c>
      <c r="C598" s="743">
        <v>13.447699999999999</v>
      </c>
      <c r="D598" s="915">
        <v>41607</v>
      </c>
      <c r="E598" s="743">
        <v>9.6513000000000009</v>
      </c>
      <c r="F598" s="743">
        <v>6.7907999999999999</v>
      </c>
      <c r="G598" s="915">
        <v>41607</v>
      </c>
      <c r="H598" s="743">
        <v>2.4512999999999998</v>
      </c>
      <c r="I598" s="743">
        <v>0.9476</v>
      </c>
      <c r="J598" s="916">
        <v>-0.36099999999999999</v>
      </c>
      <c r="K598" s="916">
        <v>-0.29599999999999999</v>
      </c>
      <c r="L598" s="916">
        <v>-0.61299999999999999</v>
      </c>
    </row>
    <row r="599" spans="1:12" ht="14.5" x14ac:dyDescent="0.35">
      <c r="A599" s="915">
        <v>41600</v>
      </c>
      <c r="B599" s="743">
        <v>20.658899999999999</v>
      </c>
      <c r="C599" s="743">
        <v>13.1409</v>
      </c>
      <c r="D599" s="915">
        <v>41600</v>
      </c>
      <c r="E599" s="743">
        <v>9.6513000000000009</v>
      </c>
      <c r="F599" s="743">
        <v>6.7742000000000004</v>
      </c>
      <c r="G599" s="915">
        <v>41600</v>
      </c>
      <c r="H599" s="743">
        <v>2.4016999999999999</v>
      </c>
      <c r="I599" s="743">
        <v>0.93230000000000002</v>
      </c>
      <c r="J599" s="916">
        <v>-0.36399999999999999</v>
      </c>
      <c r="K599" s="916">
        <v>-0.29799999999999999</v>
      </c>
      <c r="L599" s="916">
        <v>-0.61199999999999999</v>
      </c>
    </row>
    <row r="600" spans="1:12" ht="14.5" x14ac:dyDescent="0.35">
      <c r="A600" s="915">
        <v>41593</v>
      </c>
      <c r="B600" s="743">
        <v>20.662299999999998</v>
      </c>
      <c r="C600" s="743">
        <v>13.165800000000001</v>
      </c>
      <c r="D600" s="915">
        <v>41593</v>
      </c>
      <c r="E600" s="743">
        <v>9.6513000000000009</v>
      </c>
      <c r="F600" s="743">
        <v>6.774</v>
      </c>
      <c r="G600" s="915">
        <v>41593</v>
      </c>
      <c r="H600" s="743">
        <v>2.3946999999999998</v>
      </c>
      <c r="I600" s="743">
        <v>0.93340000000000001</v>
      </c>
      <c r="J600" s="916">
        <v>-0.36299999999999999</v>
      </c>
      <c r="K600" s="916">
        <v>-0.29799999999999999</v>
      </c>
      <c r="L600" s="916">
        <v>-0.61</v>
      </c>
    </row>
    <row r="601" spans="1:12" ht="14.5" x14ac:dyDescent="0.35">
      <c r="A601" s="915">
        <v>41586</v>
      </c>
      <c r="B601" s="743">
        <v>20.241299999999999</v>
      </c>
      <c r="C601" s="743">
        <v>12.7437</v>
      </c>
      <c r="D601" s="915">
        <v>41586</v>
      </c>
      <c r="E601" s="743">
        <v>9.6405999999999992</v>
      </c>
      <c r="F601" s="743">
        <v>7.3430999999999997</v>
      </c>
      <c r="G601" s="915">
        <v>41586</v>
      </c>
      <c r="H601" s="743">
        <v>2.3512</v>
      </c>
      <c r="I601" s="743">
        <v>0.94320000000000004</v>
      </c>
      <c r="J601" s="916">
        <v>-0.37</v>
      </c>
      <c r="K601" s="916">
        <v>-0.23799999999999999</v>
      </c>
      <c r="L601" s="916">
        <v>-0.59899999999999998</v>
      </c>
    </row>
    <row r="602" spans="1:12" ht="14.5" x14ac:dyDescent="0.35">
      <c r="A602" s="915">
        <v>41579</v>
      </c>
      <c r="B602" s="743">
        <v>20.318999999999999</v>
      </c>
      <c r="C602" s="743">
        <v>13.1294</v>
      </c>
      <c r="D602" s="915">
        <v>41579</v>
      </c>
      <c r="E602" s="743">
        <v>9.6409000000000002</v>
      </c>
      <c r="F602" s="743">
        <v>7.3334999999999999</v>
      </c>
      <c r="G602" s="915">
        <v>41579</v>
      </c>
      <c r="H602" s="743">
        <v>2.3609</v>
      </c>
      <c r="I602" s="743">
        <v>0.96030000000000004</v>
      </c>
      <c r="J602" s="916">
        <v>-0.35399999999999998</v>
      </c>
      <c r="K602" s="916">
        <v>-0.23899999999999999</v>
      </c>
      <c r="L602" s="916">
        <v>-0.59299999999999997</v>
      </c>
    </row>
    <row r="603" spans="1:12" ht="14.5" x14ac:dyDescent="0.35">
      <c r="A603" s="915">
        <v>41572</v>
      </c>
      <c r="B603" s="743">
        <v>20.3401</v>
      </c>
      <c r="C603" s="743">
        <v>13.407500000000001</v>
      </c>
      <c r="D603" s="915">
        <v>41572</v>
      </c>
      <c r="E603" s="743">
        <v>9.6407000000000007</v>
      </c>
      <c r="F603" s="743">
        <v>6.5391000000000004</v>
      </c>
      <c r="G603" s="915">
        <v>41572</v>
      </c>
      <c r="H603" s="743">
        <v>2.3694000000000002</v>
      </c>
      <c r="I603" s="743">
        <v>0.96579999999999999</v>
      </c>
      <c r="J603" s="916">
        <v>-0.34100000000000003</v>
      </c>
      <c r="K603" s="916">
        <v>-0.32200000000000001</v>
      </c>
      <c r="L603" s="916">
        <v>-0.59199999999999997</v>
      </c>
    </row>
    <row r="604" spans="1:12" ht="14.5" x14ac:dyDescent="0.35">
      <c r="A604" s="915">
        <v>41565</v>
      </c>
      <c r="B604" s="743">
        <v>20.1601</v>
      </c>
      <c r="C604" s="743">
        <v>13.6214</v>
      </c>
      <c r="D604" s="915">
        <v>41565</v>
      </c>
      <c r="E604" s="743">
        <v>9.6407000000000007</v>
      </c>
      <c r="F604" s="743">
        <v>6.5391000000000004</v>
      </c>
      <c r="G604" s="915">
        <v>41565</v>
      </c>
      <c r="H604" s="743">
        <v>2.3468</v>
      </c>
      <c r="I604" s="743">
        <v>0.97529999999999994</v>
      </c>
      <c r="J604" s="916">
        <v>-0.32400000000000001</v>
      </c>
      <c r="K604" s="916">
        <v>-0.32200000000000001</v>
      </c>
      <c r="L604" s="916">
        <v>-0.58399999999999996</v>
      </c>
    </row>
    <row r="605" spans="1:12" ht="14.5" x14ac:dyDescent="0.35">
      <c r="A605" s="915">
        <v>41558</v>
      </c>
      <c r="B605" s="743">
        <v>19.438300000000002</v>
      </c>
      <c r="C605" s="743">
        <v>13.3673</v>
      </c>
      <c r="D605" s="915">
        <v>41558</v>
      </c>
      <c r="E605" s="743">
        <v>9.6509999999999998</v>
      </c>
      <c r="F605" s="743">
        <v>6.5393999999999997</v>
      </c>
      <c r="G605" s="915">
        <v>41558</v>
      </c>
      <c r="H605" s="743">
        <v>2.2563</v>
      </c>
      <c r="I605" s="743">
        <v>0.96389999999999998</v>
      </c>
      <c r="J605" s="916">
        <v>-0.312</v>
      </c>
      <c r="K605" s="916">
        <v>-0.32200000000000001</v>
      </c>
      <c r="L605" s="916">
        <v>-0.57299999999999995</v>
      </c>
    </row>
    <row r="606" spans="1:12" ht="14.5" x14ac:dyDescent="0.35">
      <c r="A606" s="915">
        <v>41551</v>
      </c>
      <c r="B606" s="743">
        <v>19.4909</v>
      </c>
      <c r="C606" s="743">
        <v>13.116300000000001</v>
      </c>
      <c r="D606" s="915">
        <v>41551</v>
      </c>
      <c r="E606" s="743">
        <v>9.6509999999999998</v>
      </c>
      <c r="F606" s="743">
        <v>6.5393999999999997</v>
      </c>
      <c r="G606" s="915">
        <v>41551</v>
      </c>
      <c r="H606" s="743">
        <v>2.2629000000000001</v>
      </c>
      <c r="I606" s="743">
        <v>0.95269999999999999</v>
      </c>
      <c r="J606" s="916">
        <v>-0.32700000000000001</v>
      </c>
      <c r="K606" s="916">
        <v>-0.32200000000000001</v>
      </c>
      <c r="L606" s="916">
        <v>-0.57899999999999996</v>
      </c>
    </row>
    <row r="607" spans="1:12" ht="14.5" x14ac:dyDescent="0.35">
      <c r="A607" s="915">
        <v>41544</v>
      </c>
      <c r="B607" s="743">
        <v>19.4359</v>
      </c>
      <c r="C607" s="743">
        <v>13.1646</v>
      </c>
      <c r="D607" s="915">
        <v>41544</v>
      </c>
      <c r="E607" s="743">
        <v>9.6601999999999997</v>
      </c>
      <c r="F607" s="743">
        <v>6.5425000000000004</v>
      </c>
      <c r="G607" s="915">
        <v>41544</v>
      </c>
      <c r="H607" s="743">
        <v>2.2545999999999999</v>
      </c>
      <c r="I607" s="743">
        <v>0.95350000000000001</v>
      </c>
      <c r="J607" s="916">
        <v>-0.32300000000000001</v>
      </c>
      <c r="K607" s="916">
        <v>-0.32300000000000001</v>
      </c>
      <c r="L607" s="916">
        <v>-0.57699999999999996</v>
      </c>
    </row>
    <row r="608" spans="1:12" ht="14.5" x14ac:dyDescent="0.35">
      <c r="A608" s="915">
        <v>41537</v>
      </c>
      <c r="B608" s="743">
        <v>19.4023</v>
      </c>
      <c r="C608" s="743">
        <v>13.1738</v>
      </c>
      <c r="D608" s="915">
        <v>41537</v>
      </c>
      <c r="E608" s="743">
        <v>9.6602999999999994</v>
      </c>
      <c r="F608" s="743">
        <v>6.5609000000000002</v>
      </c>
      <c r="G608" s="915">
        <v>41537</v>
      </c>
      <c r="H608" s="743">
        <v>2.2568000000000001</v>
      </c>
      <c r="I608" s="743">
        <v>0.95520000000000005</v>
      </c>
      <c r="J608" s="916">
        <v>-0.32100000000000001</v>
      </c>
      <c r="K608" s="916">
        <v>-0.32100000000000001</v>
      </c>
      <c r="L608" s="916">
        <v>-0.57699999999999996</v>
      </c>
    </row>
    <row r="609" spans="1:12" ht="14.5" x14ac:dyDescent="0.35">
      <c r="A609" s="915">
        <v>41530</v>
      </c>
      <c r="B609" s="743">
        <v>18.951000000000001</v>
      </c>
      <c r="C609" s="743">
        <v>13.0794</v>
      </c>
      <c r="D609" s="915">
        <v>41530</v>
      </c>
      <c r="E609" s="743">
        <v>9.4849999999999994</v>
      </c>
      <c r="F609" s="743">
        <v>6.5609000000000002</v>
      </c>
      <c r="G609" s="915">
        <v>41530</v>
      </c>
      <c r="H609" s="743">
        <v>2.2292999999999998</v>
      </c>
      <c r="I609" s="743">
        <v>0.95069999999999999</v>
      </c>
      <c r="J609" s="916">
        <v>-0.31</v>
      </c>
      <c r="K609" s="916">
        <v>-0.308</v>
      </c>
      <c r="L609" s="916">
        <v>-0.57399999999999995</v>
      </c>
    </row>
    <row r="610" spans="1:12" ht="14.5" x14ac:dyDescent="0.35">
      <c r="A610" s="915">
        <v>41523</v>
      </c>
      <c r="B610" s="743">
        <v>18.683299999999999</v>
      </c>
      <c r="C610" s="743">
        <v>12.806100000000001</v>
      </c>
      <c r="D610" s="915">
        <v>41523</v>
      </c>
      <c r="E610" s="743">
        <v>9.4849999999999994</v>
      </c>
      <c r="F610" s="743">
        <v>6.5609000000000002</v>
      </c>
      <c r="G610" s="915">
        <v>41523</v>
      </c>
      <c r="H610" s="743">
        <v>2.1951999999999998</v>
      </c>
      <c r="I610" s="743">
        <v>0.93840000000000001</v>
      </c>
      <c r="J610" s="916">
        <v>-0.315</v>
      </c>
      <c r="K610" s="916">
        <v>-0.308</v>
      </c>
      <c r="L610" s="916">
        <v>-0.57299999999999995</v>
      </c>
    </row>
    <row r="611" spans="1:12" ht="14.5" x14ac:dyDescent="0.35">
      <c r="A611" s="915">
        <v>41516</v>
      </c>
      <c r="B611" s="743">
        <v>18.328099999999999</v>
      </c>
      <c r="C611" s="743">
        <v>12.6371</v>
      </c>
      <c r="D611" s="915">
        <v>41516</v>
      </c>
      <c r="E611" s="743">
        <v>9.4849999999999994</v>
      </c>
      <c r="F611" s="743">
        <v>6.5609000000000002</v>
      </c>
      <c r="G611" s="915">
        <v>41516</v>
      </c>
      <c r="H611" s="743">
        <v>2.1501000000000001</v>
      </c>
      <c r="I611" s="743">
        <v>0.93089999999999995</v>
      </c>
      <c r="J611" s="916">
        <v>-0.311</v>
      </c>
      <c r="K611" s="916">
        <v>-0.308</v>
      </c>
      <c r="L611" s="916">
        <v>-0.56699999999999995</v>
      </c>
    </row>
    <row r="612" spans="1:12" ht="14.5" x14ac:dyDescent="0.35">
      <c r="A612" s="915">
        <v>41509</v>
      </c>
      <c r="B612" s="743">
        <v>18.629000000000001</v>
      </c>
      <c r="C612" s="743">
        <v>12.2026</v>
      </c>
      <c r="D612" s="915">
        <v>41509</v>
      </c>
      <c r="E612" s="743">
        <v>9.4849999999999994</v>
      </c>
      <c r="F612" s="743">
        <v>6.5633999999999997</v>
      </c>
      <c r="G612" s="915">
        <v>41509</v>
      </c>
      <c r="H612" s="743">
        <v>2.1882999999999999</v>
      </c>
      <c r="I612" s="743">
        <v>0.91010000000000002</v>
      </c>
      <c r="J612" s="916">
        <v>-0.34499999999999997</v>
      </c>
      <c r="K612" s="916">
        <v>-0.308</v>
      </c>
      <c r="L612" s="916">
        <v>-0.58399999999999996</v>
      </c>
    </row>
    <row r="613" spans="1:12" ht="14.5" x14ac:dyDescent="0.35">
      <c r="A613" s="915">
        <v>41502</v>
      </c>
      <c r="B613" s="743">
        <v>18.328700000000001</v>
      </c>
      <c r="C613" s="743">
        <v>12.4763</v>
      </c>
      <c r="D613" s="915">
        <v>41502</v>
      </c>
      <c r="E613" s="743">
        <v>9.4850999999999992</v>
      </c>
      <c r="F613" s="743">
        <v>6.5633999999999997</v>
      </c>
      <c r="G613" s="915">
        <v>41502</v>
      </c>
      <c r="H613" s="743">
        <v>2.1503999999999999</v>
      </c>
      <c r="I613" s="743">
        <v>0.92230000000000001</v>
      </c>
      <c r="J613" s="916">
        <v>-0.31900000000000001</v>
      </c>
      <c r="K613" s="916">
        <v>-0.308</v>
      </c>
      <c r="L613" s="916">
        <v>-0.57099999999999995</v>
      </c>
    </row>
    <row r="614" spans="1:12" ht="14.5" x14ac:dyDescent="0.35">
      <c r="A614" s="915">
        <v>41495</v>
      </c>
      <c r="B614" s="743">
        <v>18.594999999999999</v>
      </c>
      <c r="C614" s="743">
        <v>11.903</v>
      </c>
      <c r="D614" s="915">
        <v>41495</v>
      </c>
      <c r="E614" s="743">
        <v>9.5309000000000008</v>
      </c>
      <c r="F614" s="743">
        <v>6.7373000000000003</v>
      </c>
      <c r="G614" s="915">
        <v>41495</v>
      </c>
      <c r="H614" s="743">
        <v>2.1842999999999999</v>
      </c>
      <c r="I614" s="743">
        <v>0.9022</v>
      </c>
      <c r="J614" s="916">
        <v>-0.36</v>
      </c>
      <c r="K614" s="916">
        <v>-0.29299999999999998</v>
      </c>
      <c r="L614" s="916">
        <v>-0.58699999999999997</v>
      </c>
    </row>
    <row r="615" spans="1:12" ht="14.5" x14ac:dyDescent="0.35">
      <c r="A615" s="915">
        <v>41488</v>
      </c>
      <c r="B615" s="743">
        <v>18.7438</v>
      </c>
      <c r="C615" s="743">
        <v>12.5648</v>
      </c>
      <c r="D615" s="915">
        <v>41488</v>
      </c>
      <c r="E615" s="743">
        <v>9.5307999999999993</v>
      </c>
      <c r="F615" s="743">
        <v>7.0191999999999997</v>
      </c>
      <c r="G615" s="915">
        <v>41488</v>
      </c>
      <c r="H615" s="743">
        <v>2.2031999999999998</v>
      </c>
      <c r="I615" s="743">
        <v>0.93459999999999999</v>
      </c>
      <c r="J615" s="916">
        <v>-0.33</v>
      </c>
      <c r="K615" s="916">
        <v>-0.26400000000000001</v>
      </c>
      <c r="L615" s="916">
        <v>-0.57599999999999996</v>
      </c>
    </row>
    <row r="616" spans="1:12" ht="14.5" x14ac:dyDescent="0.35">
      <c r="A616" s="915">
        <v>41481</v>
      </c>
      <c r="B616" s="743">
        <v>18.342500000000001</v>
      </c>
      <c r="C616" s="743">
        <v>12.4983</v>
      </c>
      <c r="D616" s="915">
        <v>41481</v>
      </c>
      <c r="E616" s="743">
        <v>9.5306999999999995</v>
      </c>
      <c r="F616" s="743">
        <v>7.0191999999999997</v>
      </c>
      <c r="G616" s="915">
        <v>41481</v>
      </c>
      <c r="H616" s="743">
        <v>2.1522000000000001</v>
      </c>
      <c r="I616" s="743">
        <v>0.93159999999999998</v>
      </c>
      <c r="J616" s="916">
        <v>-0.31900000000000001</v>
      </c>
      <c r="K616" s="916">
        <v>-0.26400000000000001</v>
      </c>
      <c r="L616" s="916">
        <v>-0.56699999999999995</v>
      </c>
    </row>
    <row r="617" spans="1:12" ht="14.5" x14ac:dyDescent="0.35">
      <c r="A617" s="915">
        <v>41474</v>
      </c>
      <c r="B617" s="743">
        <v>18.155899999999999</v>
      </c>
      <c r="C617" s="743">
        <v>12.2028</v>
      </c>
      <c r="D617" s="915">
        <v>41474</v>
      </c>
      <c r="E617" s="743">
        <v>9.5309000000000008</v>
      </c>
      <c r="F617" s="743">
        <v>7.0191999999999997</v>
      </c>
      <c r="G617" s="915">
        <v>41474</v>
      </c>
      <c r="H617" s="743">
        <v>2.1242000000000001</v>
      </c>
      <c r="I617" s="743">
        <v>0.91830000000000001</v>
      </c>
      <c r="J617" s="916">
        <v>-0.32800000000000001</v>
      </c>
      <c r="K617" s="916">
        <v>-0.26400000000000001</v>
      </c>
      <c r="L617" s="916">
        <v>-0.56799999999999995</v>
      </c>
    </row>
    <row r="618" spans="1:12" ht="14.5" x14ac:dyDescent="0.35">
      <c r="A618" s="915">
        <v>41467</v>
      </c>
      <c r="B618" s="743">
        <v>18.359500000000001</v>
      </c>
      <c r="C618" s="743">
        <v>12.2529</v>
      </c>
      <c r="D618" s="915">
        <v>41467</v>
      </c>
      <c r="E618" s="743">
        <v>9.5309000000000008</v>
      </c>
      <c r="F618" s="743">
        <v>7.0191999999999997</v>
      </c>
      <c r="G618" s="915">
        <v>41467</v>
      </c>
      <c r="H618" s="743">
        <v>2.2389000000000001</v>
      </c>
      <c r="I618" s="743">
        <v>0.92049999999999998</v>
      </c>
      <c r="J618" s="916">
        <v>-0.33300000000000002</v>
      </c>
      <c r="K618" s="916">
        <v>-0.26400000000000001</v>
      </c>
      <c r="L618" s="916">
        <v>-0.58899999999999997</v>
      </c>
    </row>
    <row r="619" spans="1:12" ht="14.5" x14ac:dyDescent="0.35">
      <c r="A619" s="915">
        <v>41460</v>
      </c>
      <c r="B619" s="743">
        <v>17.668700000000001</v>
      </c>
      <c r="C619" s="743">
        <v>11.9633</v>
      </c>
      <c r="D619" s="915">
        <v>41460</v>
      </c>
      <c r="E619" s="743">
        <v>9.5309000000000008</v>
      </c>
      <c r="F619" s="743">
        <v>7.0187999999999997</v>
      </c>
      <c r="G619" s="915">
        <v>41460</v>
      </c>
      <c r="H619" s="743">
        <v>2.1478999999999999</v>
      </c>
      <c r="I619" s="743">
        <v>0.90749999999999997</v>
      </c>
      <c r="J619" s="916">
        <v>-0.32300000000000001</v>
      </c>
      <c r="K619" s="916">
        <v>-0.26400000000000001</v>
      </c>
      <c r="L619" s="916">
        <v>-0.57699999999999996</v>
      </c>
    </row>
    <row r="620" spans="1:12" ht="14.5" x14ac:dyDescent="0.35">
      <c r="A620" s="915">
        <v>41453</v>
      </c>
      <c r="B620" s="743">
        <v>17.349</v>
      </c>
      <c r="C620" s="743">
        <v>12.597099999999999</v>
      </c>
      <c r="D620" s="915">
        <v>41453</v>
      </c>
      <c r="E620" s="743">
        <v>9.5367999999999995</v>
      </c>
      <c r="F620" s="743">
        <v>7.0407000000000002</v>
      </c>
      <c r="G620" s="915">
        <v>41453</v>
      </c>
      <c r="H620" s="743">
        <v>2.1061000000000001</v>
      </c>
      <c r="I620" s="743">
        <v>0.91879999999999995</v>
      </c>
      <c r="J620" s="916">
        <v>-0.27400000000000002</v>
      </c>
      <c r="K620" s="916">
        <v>-0.26200000000000001</v>
      </c>
      <c r="L620" s="916">
        <v>-0.56399999999999995</v>
      </c>
    </row>
    <row r="621" spans="1:12" ht="14.5" x14ac:dyDescent="0.35">
      <c r="A621" s="915">
        <v>41446</v>
      </c>
      <c r="B621" s="743">
        <v>17.160299999999999</v>
      </c>
      <c r="C621" s="743">
        <v>12.2836</v>
      </c>
      <c r="D621" s="915">
        <v>41446</v>
      </c>
      <c r="E621" s="743">
        <v>9.5365000000000002</v>
      </c>
      <c r="F621" s="743">
        <v>7.0407000000000002</v>
      </c>
      <c r="G621" s="915">
        <v>41446</v>
      </c>
      <c r="H621" s="743">
        <v>2.0813000000000001</v>
      </c>
      <c r="I621" s="743">
        <v>0.90500000000000003</v>
      </c>
      <c r="J621" s="916">
        <v>-0.28399999999999997</v>
      </c>
      <c r="K621" s="916">
        <v>-0.26200000000000001</v>
      </c>
      <c r="L621" s="916">
        <v>-0.56499999999999995</v>
      </c>
    </row>
    <row r="622" spans="1:12" ht="14.5" x14ac:dyDescent="0.35">
      <c r="A622" s="915">
        <v>41439</v>
      </c>
      <c r="B622" s="743">
        <v>17.649999999999999</v>
      </c>
      <c r="C622" s="743">
        <v>12.732699999999999</v>
      </c>
      <c r="D622" s="915">
        <v>41439</v>
      </c>
      <c r="E622" s="743">
        <v>9.0055999999999994</v>
      </c>
      <c r="F622" s="743">
        <v>6.9785000000000004</v>
      </c>
      <c r="G622" s="915">
        <v>41439</v>
      </c>
      <c r="H622" s="743">
        <v>2.2311999999999999</v>
      </c>
      <c r="I622" s="743">
        <v>0.91439999999999999</v>
      </c>
      <c r="J622" s="916">
        <v>-0.27900000000000003</v>
      </c>
      <c r="K622" s="916">
        <v>-0.22500000000000001</v>
      </c>
      <c r="L622" s="916">
        <v>-0.59</v>
      </c>
    </row>
    <row r="623" spans="1:12" ht="14.5" x14ac:dyDescent="0.35">
      <c r="A623" s="915">
        <v>41432</v>
      </c>
      <c r="B623" s="743">
        <v>17.931799999999999</v>
      </c>
      <c r="C623" s="743">
        <v>13.0588</v>
      </c>
      <c r="D623" s="915">
        <v>41432</v>
      </c>
      <c r="E623" s="743">
        <v>9.0055999999999994</v>
      </c>
      <c r="F623" s="743">
        <v>6.9922000000000004</v>
      </c>
      <c r="G623" s="915">
        <v>41432</v>
      </c>
      <c r="H623" s="743">
        <v>2.2698999999999998</v>
      </c>
      <c r="I623" s="743">
        <v>0.9274</v>
      </c>
      <c r="J623" s="916">
        <v>-0.27200000000000002</v>
      </c>
      <c r="K623" s="916">
        <v>-0.224</v>
      </c>
      <c r="L623" s="916">
        <v>-0.59099999999999997</v>
      </c>
    </row>
    <row r="624" spans="1:12" ht="14.5" x14ac:dyDescent="0.35">
      <c r="A624" s="915">
        <v>41425</v>
      </c>
      <c r="B624" s="743">
        <v>17.878299999999999</v>
      </c>
      <c r="C624" s="743">
        <v>13.585599999999999</v>
      </c>
      <c r="D624" s="915">
        <v>41425</v>
      </c>
      <c r="E624" s="743">
        <v>9.0002999999999993</v>
      </c>
      <c r="F624" s="743">
        <v>6.9797000000000002</v>
      </c>
      <c r="G624" s="915">
        <v>41425</v>
      </c>
      <c r="H624" s="743">
        <v>2.2608000000000001</v>
      </c>
      <c r="I624" s="743">
        <v>0.94699999999999995</v>
      </c>
      <c r="J624" s="916">
        <v>-0.24</v>
      </c>
      <c r="K624" s="916">
        <v>-0.22500000000000001</v>
      </c>
      <c r="L624" s="916">
        <v>-0.58099999999999996</v>
      </c>
    </row>
    <row r="625" spans="1:12" ht="14.5" x14ac:dyDescent="0.35">
      <c r="A625" s="915">
        <v>41418</v>
      </c>
      <c r="B625" s="743">
        <v>17.933800000000002</v>
      </c>
      <c r="C625" s="743">
        <v>13.3589</v>
      </c>
      <c r="D625" s="915">
        <v>41418</v>
      </c>
      <c r="E625" s="743">
        <v>9.0002999999999993</v>
      </c>
      <c r="F625" s="743">
        <v>7.0537999999999998</v>
      </c>
      <c r="G625" s="915">
        <v>41418</v>
      </c>
      <c r="H625" s="743">
        <v>2.2685</v>
      </c>
      <c r="I625" s="743">
        <v>0.94979999999999998</v>
      </c>
      <c r="J625" s="916">
        <v>-0.255</v>
      </c>
      <c r="K625" s="916">
        <v>-0.216</v>
      </c>
      <c r="L625" s="916">
        <v>-0.58099999999999996</v>
      </c>
    </row>
    <row r="626" spans="1:12" ht="14.5" x14ac:dyDescent="0.35">
      <c r="A626" s="915">
        <v>41411</v>
      </c>
      <c r="B626" s="743">
        <v>18.167999999999999</v>
      </c>
      <c r="C626" s="743">
        <v>13.4406</v>
      </c>
      <c r="D626" s="915">
        <v>41411</v>
      </c>
      <c r="E626" s="743">
        <v>9.0006000000000004</v>
      </c>
      <c r="F626" s="743">
        <v>6.9984000000000002</v>
      </c>
      <c r="G626" s="915">
        <v>41411</v>
      </c>
      <c r="H626" s="743">
        <v>2.2997999999999998</v>
      </c>
      <c r="I626" s="743">
        <v>0.94440000000000002</v>
      </c>
      <c r="J626" s="916">
        <v>-0.26</v>
      </c>
      <c r="K626" s="916">
        <v>-0.222</v>
      </c>
      <c r="L626" s="916">
        <v>-0.58899999999999997</v>
      </c>
    </row>
    <row r="627" spans="1:12" ht="14.5" x14ac:dyDescent="0.35">
      <c r="A627" s="915">
        <v>41404</v>
      </c>
      <c r="B627" s="743">
        <v>17.880500000000001</v>
      </c>
      <c r="C627" s="743">
        <v>12.853</v>
      </c>
      <c r="D627" s="915">
        <v>41404</v>
      </c>
      <c r="E627" s="743">
        <v>9.0002999999999993</v>
      </c>
      <c r="F627" s="743">
        <v>6.8761999999999999</v>
      </c>
      <c r="G627" s="915">
        <v>41404</v>
      </c>
      <c r="H627" s="743">
        <v>2.2604000000000002</v>
      </c>
      <c r="I627" s="743">
        <v>0.91500000000000004</v>
      </c>
      <c r="J627" s="916">
        <v>-0.28100000000000003</v>
      </c>
      <c r="K627" s="916">
        <v>-0.23599999999999999</v>
      </c>
      <c r="L627" s="916">
        <v>-0.59499999999999997</v>
      </c>
    </row>
    <row r="628" spans="1:12" ht="14.5" x14ac:dyDescent="0.35">
      <c r="A628" s="915">
        <v>41397</v>
      </c>
      <c r="B628" s="743">
        <v>17.661999999999999</v>
      </c>
      <c r="C628" s="743">
        <v>12.91</v>
      </c>
      <c r="D628" s="915">
        <v>41397</v>
      </c>
      <c r="E628" s="743">
        <v>9.0000999999999998</v>
      </c>
      <c r="F628" s="743">
        <v>6.8726000000000003</v>
      </c>
      <c r="G628" s="915">
        <v>41397</v>
      </c>
      <c r="H628" s="743">
        <v>2.2303999999999999</v>
      </c>
      <c r="I628" s="743">
        <v>0.92130000000000001</v>
      </c>
      <c r="J628" s="916">
        <v>-0.26900000000000002</v>
      </c>
      <c r="K628" s="916">
        <v>-0.23599999999999999</v>
      </c>
      <c r="L628" s="916">
        <v>-0.58699999999999997</v>
      </c>
    </row>
    <row r="629" spans="1:12" ht="14.5" x14ac:dyDescent="0.35">
      <c r="A629" s="915">
        <v>41390</v>
      </c>
      <c r="B629" s="743">
        <v>17.038</v>
      </c>
      <c r="C629" s="743">
        <v>12.545199999999999</v>
      </c>
      <c r="D629" s="915">
        <v>41390</v>
      </c>
      <c r="E629" s="743">
        <v>9.0000999999999998</v>
      </c>
      <c r="F629" s="743">
        <v>6.8705999999999996</v>
      </c>
      <c r="G629" s="915">
        <v>41390</v>
      </c>
      <c r="H629" s="743">
        <v>2.1448</v>
      </c>
      <c r="I629" s="743">
        <v>0.92989999999999995</v>
      </c>
      <c r="J629" s="916">
        <v>-0.26400000000000001</v>
      </c>
      <c r="K629" s="916">
        <v>-0.23699999999999999</v>
      </c>
      <c r="L629" s="916">
        <v>-0.56599999999999995</v>
      </c>
    </row>
    <row r="630" spans="1:12" ht="14.5" x14ac:dyDescent="0.35">
      <c r="A630" s="915">
        <v>41383</v>
      </c>
      <c r="B630" s="743">
        <v>16.677600000000002</v>
      </c>
      <c r="C630" s="743">
        <v>12.353199999999999</v>
      </c>
      <c r="D630" s="915">
        <v>41383</v>
      </c>
      <c r="E630" s="743">
        <v>9.0016999999999996</v>
      </c>
      <c r="F630" s="743">
        <v>6.8705999999999996</v>
      </c>
      <c r="G630" s="915">
        <v>41383</v>
      </c>
      <c r="H630" s="743">
        <v>2.0954000000000002</v>
      </c>
      <c r="I630" s="743">
        <v>0.92010000000000003</v>
      </c>
      <c r="J630" s="916">
        <v>-0.25900000000000001</v>
      </c>
      <c r="K630" s="916">
        <v>-0.23699999999999999</v>
      </c>
      <c r="L630" s="916">
        <v>-0.56100000000000005</v>
      </c>
    </row>
    <row r="631" spans="1:12" ht="14.5" x14ac:dyDescent="0.35">
      <c r="A631" s="915">
        <v>41376</v>
      </c>
      <c r="B631" s="743">
        <v>17.133600000000001</v>
      </c>
      <c r="C631" s="743">
        <v>12.512499999999999</v>
      </c>
      <c r="D631" s="915">
        <v>41376</v>
      </c>
      <c r="E631" s="743">
        <v>9.0018999999999991</v>
      </c>
      <c r="F631" s="743">
        <v>6.8705999999999996</v>
      </c>
      <c r="G631" s="915">
        <v>41376</v>
      </c>
      <c r="H631" s="743">
        <v>2.1579000000000002</v>
      </c>
      <c r="I631" s="743">
        <v>0.9274</v>
      </c>
      <c r="J631" s="916">
        <v>-0.27</v>
      </c>
      <c r="K631" s="916">
        <v>-0.23699999999999999</v>
      </c>
      <c r="L631" s="916">
        <v>-0.56999999999999995</v>
      </c>
    </row>
    <row r="632" spans="1:12" ht="14.5" x14ac:dyDescent="0.35">
      <c r="A632" s="915">
        <v>41369</v>
      </c>
      <c r="B632" s="743">
        <v>16.625399999999999</v>
      </c>
      <c r="C632" s="743">
        <v>12.551299999999999</v>
      </c>
      <c r="D632" s="915">
        <v>41369</v>
      </c>
      <c r="E632" s="743">
        <v>9.0018999999999991</v>
      </c>
      <c r="F632" s="743">
        <v>6.8705999999999996</v>
      </c>
      <c r="G632" s="915">
        <v>41369</v>
      </c>
      <c r="H632" s="743">
        <v>2.0882000000000001</v>
      </c>
      <c r="I632" s="743">
        <v>0.92920000000000003</v>
      </c>
      <c r="J632" s="916">
        <v>-0.245</v>
      </c>
      <c r="K632" s="916">
        <v>-0.23699999999999999</v>
      </c>
      <c r="L632" s="916">
        <v>-0.55500000000000005</v>
      </c>
    </row>
    <row r="633" spans="1:12" ht="14.5" x14ac:dyDescent="0.35">
      <c r="A633" s="915">
        <v>41362</v>
      </c>
      <c r="B633" s="743">
        <v>16.782800000000002</v>
      </c>
      <c r="C633" s="743">
        <v>13.0717</v>
      </c>
      <c r="D633" s="915">
        <v>41362</v>
      </c>
      <c r="E633" s="743">
        <v>9.5295000000000005</v>
      </c>
      <c r="F633" s="743">
        <v>6.8705999999999996</v>
      </c>
      <c r="G633" s="915">
        <v>41362</v>
      </c>
      <c r="H633" s="743">
        <v>2.1457999999999999</v>
      </c>
      <c r="I633" s="743">
        <v>0.95309999999999995</v>
      </c>
      <c r="J633" s="916">
        <v>-0.221</v>
      </c>
      <c r="K633" s="916">
        <v>-0.27900000000000003</v>
      </c>
      <c r="L633" s="916">
        <v>-0.55600000000000005</v>
      </c>
    </row>
    <row r="634" spans="1:12" ht="14.5" x14ac:dyDescent="0.35">
      <c r="A634" s="915">
        <v>41355</v>
      </c>
      <c r="B634" s="743">
        <v>16.676300000000001</v>
      </c>
      <c r="C634" s="743">
        <v>12.664300000000001</v>
      </c>
      <c r="D634" s="915">
        <v>41355</v>
      </c>
      <c r="E634" s="743">
        <v>9.5312000000000001</v>
      </c>
      <c r="F634" s="743">
        <v>6.8705999999999996</v>
      </c>
      <c r="G634" s="915">
        <v>41355</v>
      </c>
      <c r="H634" s="743">
        <v>2.1311</v>
      </c>
      <c r="I634" s="743">
        <v>0.93430000000000002</v>
      </c>
      <c r="J634" s="916">
        <v>-0.24099999999999999</v>
      </c>
      <c r="K634" s="916">
        <v>-0.27900000000000003</v>
      </c>
      <c r="L634" s="916">
        <v>-0.56200000000000006</v>
      </c>
    </row>
    <row r="635" spans="1:12" ht="14.5" x14ac:dyDescent="0.35">
      <c r="A635" s="915">
        <v>41348</v>
      </c>
      <c r="B635" s="743">
        <v>16.667999999999999</v>
      </c>
      <c r="C635" s="743">
        <v>12.8522</v>
      </c>
      <c r="D635" s="915">
        <v>41348</v>
      </c>
      <c r="E635" s="743">
        <v>9.5312000000000001</v>
      </c>
      <c r="F635" s="743">
        <v>6.9794999999999998</v>
      </c>
      <c r="G635" s="915">
        <v>41348</v>
      </c>
      <c r="H635" s="743">
        <v>2.1158999999999999</v>
      </c>
      <c r="I635" s="743">
        <v>0.87560000000000004</v>
      </c>
      <c r="J635" s="916">
        <v>-0.22900000000000001</v>
      </c>
      <c r="K635" s="916">
        <v>-0.26800000000000002</v>
      </c>
      <c r="L635" s="916">
        <v>-0.58599999999999997</v>
      </c>
    </row>
    <row r="636" spans="1:12" ht="14.5" x14ac:dyDescent="0.35">
      <c r="A636" s="915">
        <v>41341</v>
      </c>
      <c r="B636" s="743">
        <v>16.695900000000002</v>
      </c>
      <c r="C636" s="743">
        <v>12.7103</v>
      </c>
      <c r="D636" s="915">
        <v>41341</v>
      </c>
      <c r="E636" s="743">
        <v>9.5312000000000001</v>
      </c>
      <c r="F636" s="743">
        <v>6.5507</v>
      </c>
      <c r="G636" s="915">
        <v>41341</v>
      </c>
      <c r="H636" s="743">
        <v>2.1198000000000001</v>
      </c>
      <c r="I636" s="743">
        <v>0.84950000000000003</v>
      </c>
      <c r="J636" s="916">
        <v>-0.23899999999999999</v>
      </c>
      <c r="K636" s="916">
        <v>-0.313</v>
      </c>
      <c r="L636" s="916">
        <v>-0.59899999999999998</v>
      </c>
    </row>
    <row r="637" spans="1:12" ht="14.5" x14ac:dyDescent="0.35">
      <c r="A637" s="915">
        <v>41334</v>
      </c>
      <c r="B637" s="743">
        <v>16.360399999999998</v>
      </c>
      <c r="C637" s="743">
        <v>11.5847</v>
      </c>
      <c r="D637" s="915">
        <v>41334</v>
      </c>
      <c r="E637" s="743">
        <v>9.5312000000000001</v>
      </c>
      <c r="F637" s="743">
        <v>6.4409999999999998</v>
      </c>
      <c r="G637" s="915">
        <v>41334</v>
      </c>
      <c r="H637" s="743">
        <v>2.0737000000000001</v>
      </c>
      <c r="I637" s="743">
        <v>0.85850000000000004</v>
      </c>
      <c r="J637" s="916">
        <v>-0.29199999999999998</v>
      </c>
      <c r="K637" s="916">
        <v>-0.32400000000000001</v>
      </c>
      <c r="L637" s="916">
        <v>-0.58599999999999997</v>
      </c>
    </row>
    <row r="638" spans="1:12" ht="14.5" x14ac:dyDescent="0.35">
      <c r="A638" s="915">
        <v>41327</v>
      </c>
      <c r="B638" s="743">
        <v>16.297999999999998</v>
      </c>
      <c r="C638" s="743">
        <v>11.5442</v>
      </c>
      <c r="D638" s="915">
        <v>41327</v>
      </c>
      <c r="E638" s="743">
        <v>9.5311000000000003</v>
      </c>
      <c r="F638" s="743">
        <v>6.4572000000000003</v>
      </c>
      <c r="G638" s="915">
        <v>41327</v>
      </c>
      <c r="H638" s="743">
        <v>2.0651000000000002</v>
      </c>
      <c r="I638" s="743">
        <v>0.85760000000000003</v>
      </c>
      <c r="J638" s="916">
        <v>-0.29199999999999998</v>
      </c>
      <c r="K638" s="916">
        <v>-0.32300000000000001</v>
      </c>
      <c r="L638" s="916">
        <v>-0.58499999999999996</v>
      </c>
    </row>
    <row r="639" spans="1:12" ht="14.5" x14ac:dyDescent="0.35">
      <c r="A639" s="915">
        <v>41320</v>
      </c>
      <c r="B639" s="743">
        <v>16.461099999999998</v>
      </c>
      <c r="C639" s="743">
        <v>11.2591</v>
      </c>
      <c r="D639" s="915">
        <v>41320</v>
      </c>
      <c r="E639" s="743">
        <v>9.5311000000000003</v>
      </c>
      <c r="F639" s="743">
        <v>6.6401000000000003</v>
      </c>
      <c r="G639" s="915">
        <v>41320</v>
      </c>
      <c r="H639" s="743">
        <v>2.0874999999999999</v>
      </c>
      <c r="I639" s="743">
        <v>0.79959999999999998</v>
      </c>
      <c r="J639" s="916">
        <v>-0.316</v>
      </c>
      <c r="K639" s="916">
        <v>-0.30299999999999999</v>
      </c>
      <c r="L639" s="916">
        <v>-0.61699999999999999</v>
      </c>
    </row>
    <row r="640" spans="1:12" ht="14.5" x14ac:dyDescent="0.35">
      <c r="A640" s="915">
        <v>41313</v>
      </c>
      <c r="B640" s="743">
        <v>16.526</v>
      </c>
      <c r="C640" s="743">
        <v>11.034000000000001</v>
      </c>
      <c r="D640" s="915">
        <v>41313</v>
      </c>
      <c r="E640" s="743">
        <v>9.5311000000000003</v>
      </c>
      <c r="F640" s="743">
        <v>6.6185999999999998</v>
      </c>
      <c r="G640" s="915">
        <v>41313</v>
      </c>
      <c r="H640" s="743">
        <v>2.0819999999999999</v>
      </c>
      <c r="I640" s="743">
        <v>0.78910000000000002</v>
      </c>
      <c r="J640" s="916">
        <v>-0.33200000000000002</v>
      </c>
      <c r="K640" s="916">
        <v>-0.30599999999999999</v>
      </c>
      <c r="L640" s="916">
        <v>-0.621</v>
      </c>
    </row>
    <row r="641" spans="1:12" ht="14.5" x14ac:dyDescent="0.35">
      <c r="A641" s="915">
        <v>41306</v>
      </c>
      <c r="B641" s="743">
        <v>16.456900000000001</v>
      </c>
      <c r="C641" s="743">
        <v>13.129099999999999</v>
      </c>
      <c r="D641" s="915">
        <v>41306</v>
      </c>
      <c r="E641" s="743">
        <v>9.5295000000000005</v>
      </c>
      <c r="F641" s="743">
        <v>7.0917000000000003</v>
      </c>
      <c r="G641" s="915">
        <v>41306</v>
      </c>
      <c r="H641" s="743">
        <v>2.0726</v>
      </c>
      <c r="I641" s="743">
        <v>0.97909999999999997</v>
      </c>
      <c r="J641" s="916">
        <v>-0.20200000000000001</v>
      </c>
      <c r="K641" s="916">
        <v>-0.25600000000000001</v>
      </c>
      <c r="L641" s="916">
        <v>-0.52800000000000002</v>
      </c>
    </row>
    <row r="642" spans="1:12" ht="14.5" x14ac:dyDescent="0.35">
      <c r="A642" s="915">
        <v>41299</v>
      </c>
      <c r="B642" s="743">
        <v>16.294799999999999</v>
      </c>
      <c r="C642" s="743">
        <v>13.039400000000001</v>
      </c>
      <c r="D642" s="915">
        <v>41299</v>
      </c>
      <c r="E642" s="743">
        <v>9.5295000000000005</v>
      </c>
      <c r="F642" s="743">
        <v>7.0917000000000003</v>
      </c>
      <c r="G642" s="915">
        <v>41299</v>
      </c>
      <c r="H642" s="743">
        <v>2.0503999999999998</v>
      </c>
      <c r="I642" s="743">
        <v>0.97499999999999998</v>
      </c>
      <c r="J642" s="916">
        <v>-0.2</v>
      </c>
      <c r="K642" s="916">
        <v>-0.25600000000000001</v>
      </c>
      <c r="L642" s="916">
        <v>-0.52400000000000002</v>
      </c>
    </row>
    <row r="643" spans="1:12" ht="14.5" x14ac:dyDescent="0.35">
      <c r="A643" s="915">
        <v>41292</v>
      </c>
      <c r="B643" s="743">
        <v>16.333500000000001</v>
      </c>
      <c r="C643" s="743">
        <v>13.3324</v>
      </c>
      <c r="D643" s="915">
        <v>41292</v>
      </c>
      <c r="E643" s="743">
        <v>9.5294000000000008</v>
      </c>
      <c r="F643" s="743">
        <v>7.0918000000000001</v>
      </c>
      <c r="G643" s="915">
        <v>41292</v>
      </c>
      <c r="H643" s="743">
        <v>2.0556999999999999</v>
      </c>
      <c r="I643" s="743">
        <v>0.98799999999999999</v>
      </c>
      <c r="J643" s="916">
        <v>-0.184</v>
      </c>
      <c r="K643" s="916">
        <v>-0.25600000000000001</v>
      </c>
      <c r="L643" s="916">
        <v>-0.51900000000000002</v>
      </c>
    </row>
    <row r="644" spans="1:12" ht="14.5" x14ac:dyDescent="0.35">
      <c r="A644" s="915">
        <v>41285</v>
      </c>
      <c r="B644" s="743">
        <v>16.363399999999999</v>
      </c>
      <c r="C644" s="743">
        <v>13.401400000000001</v>
      </c>
      <c r="D644" s="915">
        <v>41285</v>
      </c>
      <c r="E644" s="743">
        <v>9.5295000000000005</v>
      </c>
      <c r="F644" s="743">
        <v>7.0922000000000001</v>
      </c>
      <c r="G644" s="915">
        <v>41285</v>
      </c>
      <c r="H644" s="743">
        <v>2.0684</v>
      </c>
      <c r="I644" s="743">
        <v>0.99080000000000001</v>
      </c>
      <c r="J644" s="916">
        <v>-0.18099999999999999</v>
      </c>
      <c r="K644" s="916">
        <v>-0.25600000000000001</v>
      </c>
      <c r="L644" s="916">
        <v>-0.52100000000000002</v>
      </c>
    </row>
    <row r="645" spans="1:12" ht="14.5" x14ac:dyDescent="0.35">
      <c r="A645" s="915">
        <v>41278</v>
      </c>
      <c r="B645" s="743">
        <v>16.221900000000002</v>
      </c>
      <c r="C645" s="743">
        <v>13.5588</v>
      </c>
      <c r="D645" s="915">
        <v>41278</v>
      </c>
      <c r="E645" s="743">
        <v>9.5295000000000005</v>
      </c>
      <c r="F645" s="743">
        <v>7.0922000000000001</v>
      </c>
      <c r="G645" s="915">
        <v>41278</v>
      </c>
      <c r="H645" s="743">
        <v>2.0489999999999999</v>
      </c>
      <c r="I645" s="743">
        <v>0.99770000000000003</v>
      </c>
      <c r="J645" s="916">
        <v>-0.16400000000000001</v>
      </c>
      <c r="K645" s="916">
        <v>-0.25600000000000001</v>
      </c>
      <c r="L645" s="916">
        <v>-0.51300000000000001</v>
      </c>
    </row>
    <row r="646" spans="1:12" ht="14.5" x14ac:dyDescent="0.35">
      <c r="A646" s="915">
        <v>41271</v>
      </c>
      <c r="B646" s="743">
        <v>15.547499999999999</v>
      </c>
      <c r="C646" s="743">
        <v>13.394</v>
      </c>
      <c r="D646" s="915">
        <v>41271</v>
      </c>
      <c r="E646" s="743">
        <v>8.8842999999999996</v>
      </c>
      <c r="F646" s="743">
        <v>7.1471</v>
      </c>
      <c r="G646" s="915">
        <v>41271</v>
      </c>
      <c r="H646" s="743">
        <v>2.0743999999999998</v>
      </c>
      <c r="I646" s="743">
        <v>0.99719999999999998</v>
      </c>
      <c r="J646" s="916">
        <v>-0.13900000000000001</v>
      </c>
      <c r="K646" s="916">
        <v>-0.19600000000000001</v>
      </c>
      <c r="L646" s="916">
        <v>-0.51900000000000002</v>
      </c>
    </row>
    <row r="647" spans="1:12" ht="14.5" x14ac:dyDescent="0.35">
      <c r="A647" s="915">
        <v>41264</v>
      </c>
      <c r="B647" s="743">
        <v>15.8954</v>
      </c>
      <c r="C647" s="743">
        <v>13.291399999999999</v>
      </c>
      <c r="D647" s="915">
        <v>41264</v>
      </c>
      <c r="E647" s="743">
        <v>8.8842999999999996</v>
      </c>
      <c r="F647" s="743">
        <v>7.1471</v>
      </c>
      <c r="G647" s="915">
        <v>41264</v>
      </c>
      <c r="H647" s="743">
        <v>2.0836000000000001</v>
      </c>
      <c r="I647" s="743">
        <v>0.99250000000000005</v>
      </c>
      <c r="J647" s="916">
        <v>-0.16400000000000001</v>
      </c>
      <c r="K647" s="916">
        <v>-0.19600000000000001</v>
      </c>
      <c r="L647" s="916">
        <v>-0.52400000000000002</v>
      </c>
    </row>
    <row r="648" spans="1:12" ht="14.5" x14ac:dyDescent="0.35">
      <c r="A648" s="915">
        <v>41257</v>
      </c>
      <c r="B648" s="743">
        <v>15.677199999999999</v>
      </c>
      <c r="C648" s="743">
        <v>13.431699999999999</v>
      </c>
      <c r="D648" s="915">
        <v>41257</v>
      </c>
      <c r="E648" s="743">
        <v>8.8842999999999996</v>
      </c>
      <c r="F648" s="743">
        <v>7.1473000000000004</v>
      </c>
      <c r="G648" s="915">
        <v>41257</v>
      </c>
      <c r="H648" s="743">
        <v>2.0524</v>
      </c>
      <c r="I648" s="743">
        <v>0.99890000000000001</v>
      </c>
      <c r="J648" s="916">
        <v>-0.14299999999999999</v>
      </c>
      <c r="K648" s="916">
        <v>-0.19600000000000001</v>
      </c>
      <c r="L648" s="916">
        <v>-0.51300000000000001</v>
      </c>
    </row>
    <row r="649" spans="1:12" ht="14.5" x14ac:dyDescent="0.35">
      <c r="A649" s="915">
        <v>41250</v>
      </c>
      <c r="B649" s="743">
        <v>15.7514</v>
      </c>
      <c r="C649" s="743">
        <v>13.138199999999999</v>
      </c>
      <c r="D649" s="915">
        <v>41250</v>
      </c>
      <c r="E649" s="743">
        <v>8.8842999999999996</v>
      </c>
      <c r="F649" s="743">
        <v>7.1475</v>
      </c>
      <c r="G649" s="915">
        <v>41250</v>
      </c>
      <c r="H649" s="743">
        <v>2.0428000000000002</v>
      </c>
      <c r="I649" s="743">
        <v>0.98570000000000002</v>
      </c>
      <c r="J649" s="916">
        <v>-0.16600000000000001</v>
      </c>
      <c r="K649" s="916">
        <v>-0.19500000000000001</v>
      </c>
      <c r="L649" s="916">
        <v>-0.51700000000000002</v>
      </c>
    </row>
    <row r="650" spans="1:12" ht="14.5" x14ac:dyDescent="0.35">
      <c r="A650" s="915">
        <v>41243</v>
      </c>
      <c r="B650" s="743">
        <v>15.9742</v>
      </c>
      <c r="C650" s="743">
        <v>12.891999999999999</v>
      </c>
      <c r="D650" s="915">
        <v>41243</v>
      </c>
      <c r="E650" s="743">
        <v>8.8842999999999996</v>
      </c>
      <c r="F650" s="743">
        <v>7.1477000000000004</v>
      </c>
      <c r="G650" s="915">
        <v>41243</v>
      </c>
      <c r="H650" s="743">
        <v>2.077</v>
      </c>
      <c r="I650" s="743">
        <v>0.97450000000000003</v>
      </c>
      <c r="J650" s="916">
        <v>-0.193</v>
      </c>
      <c r="K650" s="916">
        <v>-0.19500000000000001</v>
      </c>
      <c r="L650" s="916">
        <v>-0.53100000000000003</v>
      </c>
    </row>
    <row r="651" spans="1:12" ht="14.5" x14ac:dyDescent="0.35">
      <c r="A651" s="915">
        <v>41236</v>
      </c>
      <c r="B651" s="743">
        <v>15.745799999999999</v>
      </c>
      <c r="C651" s="743">
        <v>12.430199999999999</v>
      </c>
      <c r="D651" s="915">
        <v>41236</v>
      </c>
      <c r="E651" s="743">
        <v>8.8842999999999996</v>
      </c>
      <c r="F651" s="743">
        <v>7.7515000000000001</v>
      </c>
      <c r="G651" s="915">
        <v>41236</v>
      </c>
      <c r="H651" s="743">
        <v>2.0447000000000002</v>
      </c>
      <c r="I651" s="743">
        <v>0.9819</v>
      </c>
      <c r="J651" s="916">
        <v>-0.21099999999999999</v>
      </c>
      <c r="K651" s="916">
        <v>-0.128</v>
      </c>
      <c r="L651" s="916">
        <v>-0.52</v>
      </c>
    </row>
    <row r="652" spans="1:12" ht="14.5" x14ac:dyDescent="0.35">
      <c r="A652" s="915">
        <v>41229</v>
      </c>
      <c r="B652" s="743">
        <v>15.1168</v>
      </c>
      <c r="C652" s="743">
        <v>11.996600000000001</v>
      </c>
      <c r="D652" s="915">
        <v>41229</v>
      </c>
      <c r="E652" s="743">
        <v>8.8843999999999994</v>
      </c>
      <c r="F652" s="743">
        <v>8.0512999999999995</v>
      </c>
      <c r="G652" s="915">
        <v>41229</v>
      </c>
      <c r="H652" s="743">
        <v>1.9555</v>
      </c>
      <c r="I652" s="743">
        <v>0.95779999999999998</v>
      </c>
      <c r="J652" s="916">
        <v>-0.20599999999999999</v>
      </c>
      <c r="K652" s="916">
        <v>-9.4E-2</v>
      </c>
      <c r="L652" s="916">
        <v>-0.51</v>
      </c>
    </row>
    <row r="653" spans="1:12" ht="14.5" x14ac:dyDescent="0.35">
      <c r="A653" s="915">
        <v>41222</v>
      </c>
      <c r="B653" s="743">
        <v>15.4162</v>
      </c>
      <c r="C653" s="743">
        <v>14.4133</v>
      </c>
      <c r="D653" s="915">
        <v>41222</v>
      </c>
      <c r="E653" s="743">
        <v>8.8575999999999997</v>
      </c>
      <c r="F653" s="743">
        <v>6.9610000000000003</v>
      </c>
      <c r="G653" s="915">
        <v>41222</v>
      </c>
      <c r="H653" s="743">
        <v>1.9947999999999999</v>
      </c>
      <c r="I653" s="743">
        <v>0.97640000000000005</v>
      </c>
      <c r="J653" s="916">
        <v>-6.5000000000000002E-2</v>
      </c>
      <c r="K653" s="916">
        <v>-0.214</v>
      </c>
      <c r="L653" s="916">
        <v>-0.51100000000000001</v>
      </c>
    </row>
    <row r="654" spans="1:12" ht="14.5" x14ac:dyDescent="0.35">
      <c r="A654" s="915">
        <v>41215</v>
      </c>
      <c r="B654" s="743">
        <v>15.847200000000001</v>
      </c>
      <c r="C654" s="743">
        <v>14.547000000000001</v>
      </c>
      <c r="D654" s="915">
        <v>41215</v>
      </c>
      <c r="E654" s="743">
        <v>8.8577999999999992</v>
      </c>
      <c r="F654" s="743">
        <v>6.9607000000000001</v>
      </c>
      <c r="G654" s="915">
        <v>41215</v>
      </c>
      <c r="H654" s="743">
        <v>2.0566</v>
      </c>
      <c r="I654" s="743">
        <v>0.98180000000000001</v>
      </c>
      <c r="J654" s="916">
        <v>-8.2000000000000003E-2</v>
      </c>
      <c r="K654" s="916">
        <v>-0.214</v>
      </c>
      <c r="L654" s="916">
        <v>-0.52300000000000002</v>
      </c>
    </row>
    <row r="655" spans="1:12" ht="14.5" x14ac:dyDescent="0.35">
      <c r="A655" s="915">
        <v>41208</v>
      </c>
      <c r="B655" s="743">
        <v>15.9041</v>
      </c>
      <c r="C655" s="743">
        <v>14.316599999999999</v>
      </c>
      <c r="D655" s="915">
        <v>41208</v>
      </c>
      <c r="E655" s="743">
        <v>8.8576999999999995</v>
      </c>
      <c r="F655" s="743">
        <v>6.9607999999999999</v>
      </c>
      <c r="G655" s="915">
        <v>41208</v>
      </c>
      <c r="H655" s="743">
        <v>2.0651000000000002</v>
      </c>
      <c r="I655" s="743">
        <v>0.97270000000000001</v>
      </c>
      <c r="J655" s="916">
        <v>-0.1</v>
      </c>
      <c r="K655" s="916">
        <v>-0.214</v>
      </c>
      <c r="L655" s="916">
        <v>-0.52900000000000003</v>
      </c>
    </row>
    <row r="656" spans="1:12" ht="14.5" x14ac:dyDescent="0.35">
      <c r="A656" s="915">
        <v>41201</v>
      </c>
      <c r="B656" s="743">
        <v>15.9795</v>
      </c>
      <c r="C656" s="743">
        <v>14.7536</v>
      </c>
      <c r="D656" s="915">
        <v>41201</v>
      </c>
      <c r="E656" s="743">
        <v>8.8575999999999997</v>
      </c>
      <c r="F656" s="743">
        <v>6.9611999999999998</v>
      </c>
      <c r="G656" s="915">
        <v>41201</v>
      </c>
      <c r="H656" s="743">
        <v>2.0756000000000001</v>
      </c>
      <c r="I656" s="743">
        <v>0.99039999999999995</v>
      </c>
      <c r="J656" s="916">
        <v>-7.6999999999999999E-2</v>
      </c>
      <c r="K656" s="916">
        <v>-0.214</v>
      </c>
      <c r="L656" s="916">
        <v>-0.52300000000000002</v>
      </c>
    </row>
    <row r="657" spans="1:12" ht="14.5" x14ac:dyDescent="0.35">
      <c r="A657" s="915">
        <v>41194</v>
      </c>
      <c r="B657" s="743">
        <v>16.231300000000001</v>
      </c>
      <c r="C657" s="743">
        <v>14.5905</v>
      </c>
      <c r="D657" s="915">
        <v>41194</v>
      </c>
      <c r="E657" s="743">
        <v>8.8574999999999999</v>
      </c>
      <c r="F657" s="743">
        <v>6.9611000000000001</v>
      </c>
      <c r="G657" s="915">
        <v>41194</v>
      </c>
      <c r="H657" s="743">
        <v>2.1111</v>
      </c>
      <c r="I657" s="743">
        <v>0.98470000000000002</v>
      </c>
      <c r="J657" s="916">
        <v>-0.10100000000000001</v>
      </c>
      <c r="K657" s="916">
        <v>-0.214</v>
      </c>
      <c r="L657" s="916">
        <v>-0.53400000000000003</v>
      </c>
    </row>
    <row r="658" spans="1:12" ht="14.5" x14ac:dyDescent="0.35">
      <c r="A658" s="915">
        <v>41187</v>
      </c>
      <c r="B658" s="743">
        <v>16.779699999999998</v>
      </c>
      <c r="C658" s="743">
        <v>15.1671</v>
      </c>
      <c r="D658" s="915">
        <v>41187</v>
      </c>
      <c r="E658" s="743">
        <v>8.8581000000000003</v>
      </c>
      <c r="F658" s="743">
        <v>6.9611999999999998</v>
      </c>
      <c r="G658" s="915">
        <v>41187</v>
      </c>
      <c r="H658" s="743">
        <v>2.1894999999999998</v>
      </c>
      <c r="I658" s="743">
        <v>1.0081</v>
      </c>
      <c r="J658" s="916">
        <v>-9.6000000000000002E-2</v>
      </c>
      <c r="K658" s="916">
        <v>-0.214</v>
      </c>
      <c r="L658" s="916">
        <v>-0.54</v>
      </c>
    </row>
    <row r="659" spans="1:12" ht="14.5" x14ac:dyDescent="0.35">
      <c r="A659" s="915">
        <v>41180</v>
      </c>
      <c r="B659" s="743">
        <v>16.724799999999998</v>
      </c>
      <c r="C659" s="743">
        <v>15.127800000000001</v>
      </c>
      <c r="D659" s="915">
        <v>41180</v>
      </c>
      <c r="E659" s="743">
        <v>8.8704999999999998</v>
      </c>
      <c r="F659" s="743">
        <v>7.0153999999999996</v>
      </c>
      <c r="G659" s="915">
        <v>41180</v>
      </c>
      <c r="H659" s="743">
        <v>2.2010000000000001</v>
      </c>
      <c r="I659" s="743">
        <v>1.0175000000000001</v>
      </c>
      <c r="J659" s="916">
        <v>-9.5000000000000001E-2</v>
      </c>
      <c r="K659" s="916">
        <v>-0.20899999999999999</v>
      </c>
      <c r="L659" s="916">
        <v>-0.53800000000000003</v>
      </c>
    </row>
    <row r="660" spans="1:12" ht="14.5" x14ac:dyDescent="0.35">
      <c r="A660" s="915">
        <v>41173</v>
      </c>
      <c r="B660" s="743">
        <v>17.098099999999999</v>
      </c>
      <c r="C660" s="743">
        <v>15.1793</v>
      </c>
      <c r="D660" s="915">
        <v>41173</v>
      </c>
      <c r="E660" s="743">
        <v>8.8704999999999998</v>
      </c>
      <c r="F660" s="743">
        <v>7.0155000000000003</v>
      </c>
      <c r="G660" s="915">
        <v>41173</v>
      </c>
      <c r="H660" s="743">
        <v>2.2608999999999999</v>
      </c>
      <c r="I660" s="743">
        <v>1.0195000000000001</v>
      </c>
      <c r="J660" s="916">
        <v>-0.112</v>
      </c>
      <c r="K660" s="916">
        <v>-0.20899999999999999</v>
      </c>
      <c r="L660" s="916">
        <v>-0.54900000000000004</v>
      </c>
    </row>
    <row r="661" spans="1:12" ht="14.5" x14ac:dyDescent="0.35">
      <c r="A661" s="915">
        <v>41166</v>
      </c>
      <c r="B661" s="743">
        <v>17.059799999999999</v>
      </c>
      <c r="C661" s="743">
        <v>15.2972</v>
      </c>
      <c r="D661" s="915">
        <v>41166</v>
      </c>
      <c r="E661" s="743">
        <v>8.8704000000000001</v>
      </c>
      <c r="F661" s="743">
        <v>7.0155000000000003</v>
      </c>
      <c r="G661" s="915">
        <v>41166</v>
      </c>
      <c r="H661" s="743">
        <v>2.2553999999999998</v>
      </c>
      <c r="I661" s="743">
        <v>1.0244</v>
      </c>
      <c r="J661" s="916">
        <v>-0.10299999999999999</v>
      </c>
      <c r="K661" s="916">
        <v>-0.20899999999999999</v>
      </c>
      <c r="L661" s="916">
        <v>-0.54600000000000004</v>
      </c>
    </row>
    <row r="662" spans="1:12" ht="14.5" x14ac:dyDescent="0.35">
      <c r="A662" s="915">
        <v>41159</v>
      </c>
      <c r="B662" s="743">
        <v>16.879200000000001</v>
      </c>
      <c r="C662" s="743">
        <v>14.6549</v>
      </c>
      <c r="D662" s="915">
        <v>41159</v>
      </c>
      <c r="E662" s="743">
        <v>8.8704000000000001</v>
      </c>
      <c r="F662" s="743">
        <v>7.0156000000000001</v>
      </c>
      <c r="G662" s="915">
        <v>41159</v>
      </c>
      <c r="H662" s="743">
        <v>2.2298</v>
      </c>
      <c r="I662" s="743">
        <v>0.99829999999999997</v>
      </c>
      <c r="J662" s="916">
        <v>-0.13200000000000001</v>
      </c>
      <c r="K662" s="916">
        <v>-0.20899999999999999</v>
      </c>
      <c r="L662" s="916">
        <v>-0.55200000000000005</v>
      </c>
    </row>
    <row r="663" spans="1:12" ht="14.5" x14ac:dyDescent="0.35">
      <c r="A663" s="915">
        <v>41152</v>
      </c>
      <c r="B663" s="743">
        <v>16.563400000000001</v>
      </c>
      <c r="C663" s="743">
        <v>14.448</v>
      </c>
      <c r="D663" s="915">
        <v>41152</v>
      </c>
      <c r="E663" s="743">
        <v>8.8704000000000001</v>
      </c>
      <c r="F663" s="743">
        <v>7.0155000000000003</v>
      </c>
      <c r="G663" s="915">
        <v>41152</v>
      </c>
      <c r="H663" s="743">
        <v>2.1844999999999999</v>
      </c>
      <c r="I663" s="743">
        <v>0.98980000000000001</v>
      </c>
      <c r="J663" s="916">
        <v>-0.128</v>
      </c>
      <c r="K663" s="916">
        <v>-0.20899999999999999</v>
      </c>
      <c r="L663" s="916">
        <v>-0.54700000000000004</v>
      </c>
    </row>
    <row r="664" spans="1:12" ht="14.5" x14ac:dyDescent="0.35">
      <c r="A664" s="915">
        <v>41145</v>
      </c>
      <c r="B664" s="743">
        <v>16.5977</v>
      </c>
      <c r="C664" s="743">
        <v>14.2906</v>
      </c>
      <c r="D664" s="915">
        <v>41145</v>
      </c>
      <c r="E664" s="743">
        <v>8.8702000000000005</v>
      </c>
      <c r="F664" s="743">
        <v>7.2583000000000002</v>
      </c>
      <c r="G664" s="915">
        <v>41145</v>
      </c>
      <c r="H664" s="743">
        <v>2.1903000000000001</v>
      </c>
      <c r="I664" s="743">
        <v>0.99099999999999999</v>
      </c>
      <c r="J664" s="916">
        <v>-0.13900000000000001</v>
      </c>
      <c r="K664" s="916">
        <v>-0.182</v>
      </c>
      <c r="L664" s="916">
        <v>-0.54800000000000004</v>
      </c>
    </row>
    <row r="665" spans="1:12" ht="14.5" x14ac:dyDescent="0.35">
      <c r="A665" s="915">
        <v>41138</v>
      </c>
      <c r="B665" s="743">
        <v>16.597200000000001</v>
      </c>
      <c r="C665" s="743">
        <v>14.521699999999999</v>
      </c>
      <c r="D665" s="915">
        <v>41138</v>
      </c>
      <c r="E665" s="743">
        <v>8.8438999999999997</v>
      </c>
      <c r="F665" s="743">
        <v>7.2195</v>
      </c>
      <c r="G665" s="915">
        <v>41138</v>
      </c>
      <c r="H665" s="743">
        <v>2.1884000000000001</v>
      </c>
      <c r="I665" s="743">
        <v>1.0001</v>
      </c>
      <c r="J665" s="916">
        <v>-0.125</v>
      </c>
      <c r="K665" s="916">
        <v>-0.184</v>
      </c>
      <c r="L665" s="916">
        <v>-0.54300000000000004</v>
      </c>
    </row>
    <row r="666" spans="1:12" ht="14.5" x14ac:dyDescent="0.35">
      <c r="A666" s="915">
        <v>41131</v>
      </c>
      <c r="B666" s="743">
        <v>16.090900000000001</v>
      </c>
      <c r="C666" s="743">
        <v>13.529400000000001</v>
      </c>
      <c r="D666" s="915">
        <v>41131</v>
      </c>
      <c r="E666" s="743">
        <v>8.8389000000000006</v>
      </c>
      <c r="F666" s="743">
        <v>7.2390999999999996</v>
      </c>
      <c r="G666" s="915">
        <v>41131</v>
      </c>
      <c r="H666" s="743">
        <v>2.1516000000000002</v>
      </c>
      <c r="I666" s="743">
        <v>1.0155000000000001</v>
      </c>
      <c r="J666" s="916">
        <v>-0.159</v>
      </c>
      <c r="K666" s="916">
        <v>-0.18099999999999999</v>
      </c>
      <c r="L666" s="916">
        <v>-0.52800000000000002</v>
      </c>
    </row>
    <row r="667" spans="1:12" ht="14.5" x14ac:dyDescent="0.35">
      <c r="A667" s="915">
        <v>41124</v>
      </c>
      <c r="B667" s="743">
        <v>15.957100000000001</v>
      </c>
      <c r="C667" s="743">
        <v>12.787699999999999</v>
      </c>
      <c r="D667" s="915">
        <v>41124</v>
      </c>
      <c r="E667" s="743">
        <v>9.1967999999999996</v>
      </c>
      <c r="F667" s="743">
        <v>7.2392000000000003</v>
      </c>
      <c r="G667" s="915">
        <v>41124</v>
      </c>
      <c r="H667" s="743">
        <v>2.1656</v>
      </c>
      <c r="I667" s="743">
        <v>0.98119999999999996</v>
      </c>
      <c r="J667" s="916">
        <v>-0.19900000000000001</v>
      </c>
      <c r="K667" s="916">
        <v>-0.21299999999999999</v>
      </c>
      <c r="L667" s="916">
        <v>-0.54700000000000004</v>
      </c>
    </row>
    <row r="668" spans="1:12" ht="14.5" x14ac:dyDescent="0.35">
      <c r="A668" s="915">
        <v>41117</v>
      </c>
      <c r="B668" s="743">
        <v>15.7844</v>
      </c>
      <c r="C668" s="743">
        <v>12.651300000000001</v>
      </c>
      <c r="D668" s="915">
        <v>41117</v>
      </c>
      <c r="E668" s="743">
        <v>9.1967999999999996</v>
      </c>
      <c r="F668" s="743">
        <v>7.2393000000000001</v>
      </c>
      <c r="G668" s="915">
        <v>41117</v>
      </c>
      <c r="H668" s="743">
        <v>2.14</v>
      </c>
      <c r="I668" s="743">
        <v>0.97489999999999999</v>
      </c>
      <c r="J668" s="916">
        <v>-0.19800000000000001</v>
      </c>
      <c r="K668" s="916">
        <v>-0.21299999999999999</v>
      </c>
      <c r="L668" s="916">
        <v>-0.54400000000000004</v>
      </c>
    </row>
    <row r="669" spans="1:12" ht="14.5" x14ac:dyDescent="0.35">
      <c r="A669" s="915">
        <v>41110</v>
      </c>
      <c r="B669" s="743">
        <v>15.611499999999999</v>
      </c>
      <c r="C669" s="743">
        <v>12.5291</v>
      </c>
      <c r="D669" s="915">
        <v>41110</v>
      </c>
      <c r="E669" s="743">
        <v>9.1968999999999994</v>
      </c>
      <c r="F669" s="743">
        <v>7.24</v>
      </c>
      <c r="G669" s="915">
        <v>41110</v>
      </c>
      <c r="H669" s="743">
        <v>2.0605000000000002</v>
      </c>
      <c r="I669" s="743">
        <v>0.96930000000000005</v>
      </c>
      <c r="J669" s="916">
        <v>-0.19700000000000001</v>
      </c>
      <c r="K669" s="916">
        <v>-0.21299999999999999</v>
      </c>
      <c r="L669" s="916">
        <v>-0.53</v>
      </c>
    </row>
    <row r="670" spans="1:12" ht="14.5" x14ac:dyDescent="0.35">
      <c r="A670" s="915">
        <v>41103</v>
      </c>
      <c r="B670" s="743">
        <v>15.414300000000001</v>
      </c>
      <c r="C670" s="743">
        <v>12.4474</v>
      </c>
      <c r="D670" s="915">
        <v>41103</v>
      </c>
      <c r="E670" s="743">
        <v>9.1967999999999996</v>
      </c>
      <c r="F670" s="743">
        <v>7.2398999999999996</v>
      </c>
      <c r="G670" s="915">
        <v>41103</v>
      </c>
      <c r="H670" s="743">
        <v>2.0318999999999998</v>
      </c>
      <c r="I670" s="743">
        <v>0.96560000000000001</v>
      </c>
      <c r="J670" s="916">
        <v>-0.192</v>
      </c>
      <c r="K670" s="916">
        <v>-0.21299999999999999</v>
      </c>
      <c r="L670" s="916">
        <v>-0.52500000000000002</v>
      </c>
    </row>
    <row r="671" spans="1:12" ht="14.5" x14ac:dyDescent="0.35">
      <c r="A671" s="915">
        <v>41096</v>
      </c>
      <c r="B671" s="743">
        <v>15.577199999999999</v>
      </c>
      <c r="C671" s="743">
        <v>12.777699999999999</v>
      </c>
      <c r="D671" s="915">
        <v>41096</v>
      </c>
      <c r="E671" s="743">
        <v>9.1968999999999994</v>
      </c>
      <c r="F671" s="743">
        <v>7.2398999999999996</v>
      </c>
      <c r="G671" s="915">
        <v>41096</v>
      </c>
      <c r="H671" s="743">
        <v>2.0554999999999999</v>
      </c>
      <c r="I671" s="743">
        <v>0.98070000000000002</v>
      </c>
      <c r="J671" s="916">
        <v>-0.18</v>
      </c>
      <c r="K671" s="916">
        <v>-0.21299999999999999</v>
      </c>
      <c r="L671" s="916">
        <v>-0.52300000000000002</v>
      </c>
    </row>
    <row r="672" spans="1:12" ht="14.5" x14ac:dyDescent="0.35">
      <c r="A672" s="915">
        <v>41089</v>
      </c>
      <c r="B672" s="743">
        <v>15.5977</v>
      </c>
      <c r="C672" s="743">
        <v>12.7233</v>
      </c>
      <c r="D672" s="915">
        <v>41089</v>
      </c>
      <c r="E672" s="743">
        <v>9.2079000000000004</v>
      </c>
      <c r="F672" s="743">
        <v>7.2984</v>
      </c>
      <c r="G672" s="915">
        <v>41089</v>
      </c>
      <c r="H672" s="743">
        <v>2.0585</v>
      </c>
      <c r="I672" s="743">
        <v>0.98680000000000001</v>
      </c>
      <c r="J672" s="916">
        <v>-0.184</v>
      </c>
      <c r="K672" s="916">
        <v>-0.20699999999999999</v>
      </c>
      <c r="L672" s="916">
        <v>-0.52100000000000002</v>
      </c>
    </row>
    <row r="673" spans="1:12" ht="14.5" x14ac:dyDescent="0.35">
      <c r="A673" s="915">
        <v>41082</v>
      </c>
      <c r="B673" s="743">
        <v>15.4177</v>
      </c>
      <c r="C673" s="743">
        <v>12.684200000000001</v>
      </c>
      <c r="D673" s="915">
        <v>41082</v>
      </c>
      <c r="E673" s="743">
        <v>9.2079000000000004</v>
      </c>
      <c r="F673" s="743">
        <v>7.2983000000000002</v>
      </c>
      <c r="G673" s="915">
        <v>41082</v>
      </c>
      <c r="H673" s="743">
        <v>2.0324</v>
      </c>
      <c r="I673" s="743">
        <v>0.98499999999999999</v>
      </c>
      <c r="J673" s="916">
        <v>-0.17699999999999999</v>
      </c>
      <c r="K673" s="916">
        <v>-0.20699999999999999</v>
      </c>
      <c r="L673" s="916">
        <v>-0.51500000000000001</v>
      </c>
    </row>
    <row r="674" spans="1:12" ht="14.5" x14ac:dyDescent="0.35">
      <c r="A674" s="915">
        <v>41075</v>
      </c>
      <c r="B674" s="743">
        <v>15.3324</v>
      </c>
      <c r="C674" s="743">
        <v>12.823499999999999</v>
      </c>
      <c r="D674" s="915">
        <v>41075</v>
      </c>
      <c r="E674" s="743">
        <v>9.2079000000000004</v>
      </c>
      <c r="F674" s="743">
        <v>7.2979000000000003</v>
      </c>
      <c r="G674" s="915">
        <v>41075</v>
      </c>
      <c r="H674" s="743">
        <v>2.0207999999999999</v>
      </c>
      <c r="I674" s="743">
        <v>0.99139999999999995</v>
      </c>
      <c r="J674" s="916">
        <v>-0.16400000000000001</v>
      </c>
      <c r="K674" s="916">
        <v>-0.20699999999999999</v>
      </c>
      <c r="L674" s="916">
        <v>-0.50900000000000001</v>
      </c>
    </row>
    <row r="675" spans="1:12" ht="14.5" x14ac:dyDescent="0.35">
      <c r="A675" s="915">
        <v>41068</v>
      </c>
      <c r="B675" s="743">
        <v>15.2607</v>
      </c>
      <c r="C675" s="743">
        <v>12.694900000000001</v>
      </c>
      <c r="D675" s="915">
        <v>41068</v>
      </c>
      <c r="E675" s="743">
        <v>9.2078000000000007</v>
      </c>
      <c r="F675" s="743">
        <v>7.2965999999999998</v>
      </c>
      <c r="G675" s="915">
        <v>41068</v>
      </c>
      <c r="H675" s="743">
        <v>2.0104000000000002</v>
      </c>
      <c r="I675" s="743">
        <v>0.98570000000000002</v>
      </c>
      <c r="J675" s="916">
        <v>-0.16800000000000001</v>
      </c>
      <c r="K675" s="916">
        <v>-0.20799999999999999</v>
      </c>
      <c r="L675" s="916">
        <v>-0.51</v>
      </c>
    </row>
    <row r="676" spans="1:12" ht="14.5" x14ac:dyDescent="0.35">
      <c r="A676" s="915">
        <v>41061</v>
      </c>
      <c r="B676" s="743">
        <v>14.662100000000001</v>
      </c>
      <c r="C676" s="743">
        <v>12.6546</v>
      </c>
      <c r="D676" s="915">
        <v>41061</v>
      </c>
      <c r="E676" s="743">
        <v>9.2049000000000003</v>
      </c>
      <c r="F676" s="743">
        <v>7.2965999999999998</v>
      </c>
      <c r="G676" s="915">
        <v>41061</v>
      </c>
      <c r="H676" s="743">
        <v>1.9235</v>
      </c>
      <c r="I676" s="743">
        <v>0.98380000000000001</v>
      </c>
      <c r="J676" s="916">
        <v>-0.13700000000000001</v>
      </c>
      <c r="K676" s="916">
        <v>-0.20699999999999999</v>
      </c>
      <c r="L676" s="916">
        <v>-0.48899999999999999</v>
      </c>
    </row>
    <row r="677" spans="1:12" ht="14.5" x14ac:dyDescent="0.35">
      <c r="A677" s="915">
        <v>41054</v>
      </c>
      <c r="B677" s="743">
        <v>15.0646</v>
      </c>
      <c r="C677" s="743">
        <v>12.323700000000001</v>
      </c>
      <c r="D677" s="915">
        <v>41054</v>
      </c>
      <c r="E677" s="743">
        <v>9.2166999999999994</v>
      </c>
      <c r="F677" s="743">
        <v>8.4337999999999997</v>
      </c>
      <c r="G677" s="915">
        <v>41054</v>
      </c>
      <c r="H677" s="743">
        <v>1.9845999999999999</v>
      </c>
      <c r="I677" s="743">
        <v>0.94799999999999995</v>
      </c>
      <c r="J677" s="916">
        <v>-0.182</v>
      </c>
      <c r="K677" s="916">
        <v>-8.5000000000000006E-2</v>
      </c>
      <c r="L677" s="916">
        <v>-0.52200000000000002</v>
      </c>
    </row>
    <row r="678" spans="1:12" ht="14.5" x14ac:dyDescent="0.35">
      <c r="A678" s="915">
        <v>41047</v>
      </c>
      <c r="B678" s="743">
        <v>14.755599999999999</v>
      </c>
      <c r="C678" s="743">
        <v>11.994899999999999</v>
      </c>
      <c r="D678" s="915">
        <v>41047</v>
      </c>
      <c r="E678" s="743">
        <v>9.1907999999999994</v>
      </c>
      <c r="F678" s="743">
        <v>8.3865999999999996</v>
      </c>
      <c r="G678" s="915">
        <v>41047</v>
      </c>
      <c r="H678" s="743">
        <v>1.9444999999999999</v>
      </c>
      <c r="I678" s="743">
        <v>0.93100000000000005</v>
      </c>
      <c r="J678" s="916">
        <v>-0.187</v>
      </c>
      <c r="K678" s="916">
        <v>-8.7999999999999995E-2</v>
      </c>
      <c r="L678" s="916">
        <v>-0.52100000000000002</v>
      </c>
    </row>
    <row r="679" spans="1:12" ht="14.5" x14ac:dyDescent="0.35">
      <c r="A679" s="915">
        <v>41040</v>
      </c>
      <c r="B679" s="743">
        <v>15.5692</v>
      </c>
      <c r="C679" s="743">
        <v>13.2759</v>
      </c>
      <c r="D679" s="915">
        <v>41040</v>
      </c>
      <c r="E679" s="743">
        <v>9.1861999999999995</v>
      </c>
      <c r="F679" s="743">
        <v>6.6653000000000002</v>
      </c>
      <c r="G679" s="915">
        <v>41040</v>
      </c>
      <c r="H679" s="743">
        <v>2.0638000000000001</v>
      </c>
      <c r="I679" s="743">
        <v>1.0179</v>
      </c>
      <c r="J679" s="916">
        <v>-0.14699999999999999</v>
      </c>
      <c r="K679" s="916">
        <v>-0.27400000000000002</v>
      </c>
      <c r="L679" s="916">
        <v>-0.50700000000000001</v>
      </c>
    </row>
    <row r="680" spans="1:12" ht="14.5" x14ac:dyDescent="0.35">
      <c r="A680" s="915">
        <v>41033</v>
      </c>
      <c r="B680" s="743">
        <v>16.544499999999999</v>
      </c>
      <c r="C680" s="743">
        <v>13.819800000000001</v>
      </c>
      <c r="D680" s="915">
        <v>41033</v>
      </c>
      <c r="E680" s="743">
        <v>7.8639000000000001</v>
      </c>
      <c r="F680" s="743">
        <v>6.6653000000000002</v>
      </c>
      <c r="G680" s="915">
        <v>41033</v>
      </c>
      <c r="H680" s="743">
        <v>2.1627999999999998</v>
      </c>
      <c r="I680" s="743">
        <v>1.044</v>
      </c>
      <c r="J680" s="916">
        <v>-0.16500000000000001</v>
      </c>
      <c r="K680" s="916">
        <v>-0.152</v>
      </c>
      <c r="L680" s="916">
        <v>-0.51700000000000002</v>
      </c>
    </row>
    <row r="681" spans="1:12" ht="14.5" x14ac:dyDescent="0.35">
      <c r="A681" s="915">
        <v>41026</v>
      </c>
      <c r="B681" s="743">
        <v>17.193899999999999</v>
      </c>
      <c r="C681" s="743">
        <v>13.781499999999999</v>
      </c>
      <c r="D681" s="915">
        <v>41026</v>
      </c>
      <c r="E681" s="743">
        <v>7.8639000000000001</v>
      </c>
      <c r="F681" s="743">
        <v>6.6653000000000002</v>
      </c>
      <c r="G681" s="915">
        <v>41026</v>
      </c>
      <c r="H681" s="743">
        <v>2.2553999999999998</v>
      </c>
      <c r="I681" s="743">
        <v>1.0422</v>
      </c>
      <c r="J681" s="916">
        <v>-0.19800000000000001</v>
      </c>
      <c r="K681" s="916">
        <v>-0.152</v>
      </c>
      <c r="L681" s="916">
        <v>-0.53800000000000003</v>
      </c>
    </row>
    <row r="682" spans="1:12" ht="14.5" x14ac:dyDescent="0.35">
      <c r="A682" s="915">
        <v>41019</v>
      </c>
      <c r="B682" s="743">
        <v>16.784800000000001</v>
      </c>
      <c r="C682" s="743">
        <v>13.6722</v>
      </c>
      <c r="D682" s="915">
        <v>41019</v>
      </c>
      <c r="E682" s="743">
        <v>7.8639000000000001</v>
      </c>
      <c r="F682" s="743">
        <v>6.6653000000000002</v>
      </c>
      <c r="G682" s="915">
        <v>41019</v>
      </c>
      <c r="H682" s="743">
        <v>2.1684999999999999</v>
      </c>
      <c r="I682" s="743">
        <v>1.0367999999999999</v>
      </c>
      <c r="J682" s="916">
        <v>-0.185</v>
      </c>
      <c r="K682" s="916">
        <v>-0.152</v>
      </c>
      <c r="L682" s="916">
        <v>-0.52200000000000002</v>
      </c>
    </row>
    <row r="683" spans="1:12" ht="14.5" x14ac:dyDescent="0.35">
      <c r="A683" s="915">
        <v>41012</v>
      </c>
      <c r="B683" s="743">
        <v>16.929099999999998</v>
      </c>
      <c r="C683" s="743">
        <v>13.925599999999999</v>
      </c>
      <c r="D683" s="915">
        <v>41012</v>
      </c>
      <c r="E683" s="743">
        <v>7.8639000000000001</v>
      </c>
      <c r="F683" s="743">
        <v>6.6653000000000002</v>
      </c>
      <c r="G683" s="915">
        <v>41012</v>
      </c>
      <c r="H683" s="743">
        <v>2.1739000000000002</v>
      </c>
      <c r="I683" s="743">
        <v>1.0503</v>
      </c>
      <c r="J683" s="916">
        <v>-0.17699999999999999</v>
      </c>
      <c r="K683" s="916">
        <v>-0.152</v>
      </c>
      <c r="L683" s="916">
        <v>-0.51700000000000002</v>
      </c>
    </row>
    <row r="684" spans="1:12" ht="14.5" x14ac:dyDescent="0.35">
      <c r="A684" s="915">
        <v>41005</v>
      </c>
      <c r="B684" s="743">
        <v>17.3278</v>
      </c>
      <c r="C684" s="743">
        <v>14.097799999999999</v>
      </c>
      <c r="D684" s="915">
        <v>41005</v>
      </c>
      <c r="E684" s="743">
        <v>7.8639000000000001</v>
      </c>
      <c r="F684" s="743">
        <v>6.6653000000000002</v>
      </c>
      <c r="G684" s="915">
        <v>41005</v>
      </c>
      <c r="H684" s="743">
        <v>2.2296999999999998</v>
      </c>
      <c r="I684" s="743">
        <v>1.0586</v>
      </c>
      <c r="J684" s="916">
        <v>-0.186</v>
      </c>
      <c r="K684" s="916">
        <v>-0.152</v>
      </c>
      <c r="L684" s="916">
        <v>-0.52500000000000002</v>
      </c>
    </row>
    <row r="685" spans="1:12" ht="14.5" x14ac:dyDescent="0.35">
      <c r="A685" s="915">
        <v>40998</v>
      </c>
      <c r="B685" s="743">
        <v>17.285499999999999</v>
      </c>
      <c r="C685" s="743">
        <v>13.8749</v>
      </c>
      <c r="D685" s="915">
        <v>40998</v>
      </c>
      <c r="E685" s="743">
        <v>7.8655999999999997</v>
      </c>
      <c r="F685" s="743">
        <v>6.6673</v>
      </c>
      <c r="G685" s="915">
        <v>40998</v>
      </c>
      <c r="H685" s="743">
        <v>2.2237</v>
      </c>
      <c r="I685" s="743">
        <v>1.0435000000000001</v>
      </c>
      <c r="J685" s="916">
        <v>-0.19700000000000001</v>
      </c>
      <c r="K685" s="916">
        <v>-0.152</v>
      </c>
      <c r="L685" s="916">
        <v>-0.53100000000000003</v>
      </c>
    </row>
    <row r="686" spans="1:12" ht="14.5" x14ac:dyDescent="0.35">
      <c r="A686" s="915">
        <v>40991</v>
      </c>
      <c r="B686" s="743">
        <v>17.118099999999998</v>
      </c>
      <c r="C686" s="743">
        <v>13.758800000000001</v>
      </c>
      <c r="D686" s="915">
        <v>40991</v>
      </c>
      <c r="E686" s="743">
        <v>7.8601999999999999</v>
      </c>
      <c r="F686" s="743">
        <v>6.6673</v>
      </c>
      <c r="G686" s="915">
        <v>40991</v>
      </c>
      <c r="H686" s="743">
        <v>2.2002000000000002</v>
      </c>
      <c r="I686" s="743">
        <v>1.0465</v>
      </c>
      <c r="J686" s="916">
        <v>-0.19600000000000001</v>
      </c>
      <c r="K686" s="916">
        <v>-0.152</v>
      </c>
      <c r="L686" s="916">
        <v>-0.52400000000000002</v>
      </c>
    </row>
    <row r="687" spans="1:12" ht="14.5" x14ac:dyDescent="0.35">
      <c r="A687" s="915">
        <v>40984</v>
      </c>
      <c r="B687" s="743">
        <v>17.019500000000001</v>
      </c>
      <c r="C687" s="743">
        <v>13.607699999999999</v>
      </c>
      <c r="D687" s="915">
        <v>40984</v>
      </c>
      <c r="E687" s="743">
        <v>7.8601999999999999</v>
      </c>
      <c r="F687" s="743">
        <v>6.7199</v>
      </c>
      <c r="G687" s="915">
        <v>40984</v>
      </c>
      <c r="H687" s="743">
        <v>2.1970000000000001</v>
      </c>
      <c r="I687" s="743">
        <v>0.99129999999999996</v>
      </c>
      <c r="J687" s="916">
        <v>-0.2</v>
      </c>
      <c r="K687" s="916">
        <v>-0.14499999999999999</v>
      </c>
      <c r="L687" s="916">
        <v>-0.54900000000000004</v>
      </c>
    </row>
    <row r="688" spans="1:12" ht="14.5" x14ac:dyDescent="0.35">
      <c r="A688" s="915">
        <v>40977</v>
      </c>
      <c r="B688" s="743">
        <v>16.605699999999999</v>
      </c>
      <c r="C688" s="743">
        <v>12.3611</v>
      </c>
      <c r="D688" s="915">
        <v>40977</v>
      </c>
      <c r="E688" s="743">
        <v>7.8587999999999996</v>
      </c>
      <c r="F688" s="743">
        <v>6.4756999999999998</v>
      </c>
      <c r="G688" s="915">
        <v>40977</v>
      </c>
      <c r="H688" s="743">
        <v>2.1387999999999998</v>
      </c>
      <c r="I688" s="743">
        <v>0.90229999999999999</v>
      </c>
      <c r="J688" s="916">
        <v>-0.25600000000000001</v>
      </c>
      <c r="K688" s="916">
        <v>-0.17599999999999999</v>
      </c>
      <c r="L688" s="916">
        <v>-0.57799999999999996</v>
      </c>
    </row>
    <row r="689" spans="1:12" ht="14.5" x14ac:dyDescent="0.35">
      <c r="A689" s="915">
        <v>40970</v>
      </c>
      <c r="B689" s="743">
        <v>16.572700000000001</v>
      </c>
      <c r="C689" s="743">
        <v>11.4687</v>
      </c>
      <c r="D689" s="915">
        <v>40970</v>
      </c>
      <c r="E689" s="743">
        <v>7.8587999999999996</v>
      </c>
      <c r="F689" s="743">
        <v>6.2774999999999999</v>
      </c>
      <c r="G689" s="915">
        <v>40970</v>
      </c>
      <c r="H689" s="743">
        <v>2.1341000000000001</v>
      </c>
      <c r="I689" s="743">
        <v>0.89329999999999998</v>
      </c>
      <c r="J689" s="916">
        <v>-0.308</v>
      </c>
      <c r="K689" s="916">
        <v>-0.20100000000000001</v>
      </c>
      <c r="L689" s="916">
        <v>-0.58099999999999996</v>
      </c>
    </row>
    <row r="690" spans="1:12" ht="14.5" x14ac:dyDescent="0.35">
      <c r="A690" s="915">
        <v>40963</v>
      </c>
      <c r="B690" s="743">
        <v>16.347799999999999</v>
      </c>
      <c r="C690" s="743">
        <v>11.3104</v>
      </c>
      <c r="D690" s="915">
        <v>40963</v>
      </c>
      <c r="E690" s="743">
        <v>7.8170000000000002</v>
      </c>
      <c r="F690" s="743">
        <v>6.1948999999999996</v>
      </c>
      <c r="G690" s="915">
        <v>40963</v>
      </c>
      <c r="H690" s="743">
        <v>2.1036999999999999</v>
      </c>
      <c r="I690" s="743">
        <v>0.87649999999999995</v>
      </c>
      <c r="J690" s="916">
        <v>-0.308</v>
      </c>
      <c r="K690" s="916">
        <v>-0.20799999999999999</v>
      </c>
      <c r="L690" s="916">
        <v>-0.58299999999999996</v>
      </c>
    </row>
    <row r="691" spans="1:12" ht="14.5" x14ac:dyDescent="0.35">
      <c r="A691" s="915">
        <v>40956</v>
      </c>
      <c r="B691" s="743">
        <v>16.067499999999999</v>
      </c>
      <c r="C691" s="743">
        <v>11.4572</v>
      </c>
      <c r="D691" s="915">
        <v>40956</v>
      </c>
      <c r="E691" s="743">
        <v>7.7080000000000002</v>
      </c>
      <c r="F691" s="743">
        <v>6.1927000000000003</v>
      </c>
      <c r="G691" s="915">
        <v>40956</v>
      </c>
      <c r="H691" s="743">
        <v>2.0800999999999998</v>
      </c>
      <c r="I691" s="743">
        <v>0.87470000000000003</v>
      </c>
      <c r="J691" s="916">
        <v>-0.28699999999999998</v>
      </c>
      <c r="K691" s="916">
        <v>-0.19700000000000001</v>
      </c>
      <c r="L691" s="916">
        <v>-0.57899999999999996</v>
      </c>
    </row>
    <row r="692" spans="1:12" ht="14.5" x14ac:dyDescent="0.35">
      <c r="A692" s="915">
        <v>40949</v>
      </c>
      <c r="B692" s="743">
        <v>16.752800000000001</v>
      </c>
      <c r="C692" s="743">
        <v>11.176399999999999</v>
      </c>
      <c r="D692" s="915">
        <v>40949</v>
      </c>
      <c r="E692" s="743">
        <v>7.7580999999999998</v>
      </c>
      <c r="F692" s="743">
        <v>6.1843000000000004</v>
      </c>
      <c r="G692" s="915">
        <v>40949</v>
      </c>
      <c r="H692" s="743">
        <v>2.1423000000000001</v>
      </c>
      <c r="I692" s="743">
        <v>0.8599</v>
      </c>
      <c r="J692" s="916">
        <v>-0.33300000000000002</v>
      </c>
      <c r="K692" s="916">
        <v>-0.20300000000000001</v>
      </c>
      <c r="L692" s="916">
        <v>-0.59899999999999998</v>
      </c>
    </row>
    <row r="693" spans="1:12" ht="14.5" x14ac:dyDescent="0.35">
      <c r="A693" s="915">
        <v>40942</v>
      </c>
      <c r="B693" s="743">
        <v>16.633400000000002</v>
      </c>
      <c r="C693" s="743">
        <v>12.0367</v>
      </c>
      <c r="D693" s="915">
        <v>40942</v>
      </c>
      <c r="E693" s="743">
        <v>7.7580999999999998</v>
      </c>
      <c r="F693" s="743">
        <v>7.5907</v>
      </c>
      <c r="G693" s="915">
        <v>40942</v>
      </c>
      <c r="H693" s="743">
        <v>2.1255999999999999</v>
      </c>
      <c r="I693" s="743">
        <v>1.0435000000000001</v>
      </c>
      <c r="J693" s="916">
        <v>-0.27600000000000002</v>
      </c>
      <c r="K693" s="916">
        <v>-2.1999999999999999E-2</v>
      </c>
      <c r="L693" s="916">
        <v>-0.50900000000000001</v>
      </c>
    </row>
    <row r="694" spans="1:12" ht="14.5" x14ac:dyDescent="0.35">
      <c r="A694" s="915">
        <v>40935</v>
      </c>
      <c r="B694" s="743">
        <v>16.190799999999999</v>
      </c>
      <c r="C694" s="743">
        <v>12.013400000000001</v>
      </c>
      <c r="D694" s="915">
        <v>40935</v>
      </c>
      <c r="E694" s="743">
        <v>7.7582000000000004</v>
      </c>
      <c r="F694" s="743">
        <v>7.5876999999999999</v>
      </c>
      <c r="G694" s="915">
        <v>40935</v>
      </c>
      <c r="H694" s="743">
        <v>2.0638000000000001</v>
      </c>
      <c r="I694" s="743">
        <v>1.0474000000000001</v>
      </c>
      <c r="J694" s="916">
        <v>-0.25800000000000001</v>
      </c>
      <c r="K694" s="916">
        <v>-2.1999999999999999E-2</v>
      </c>
      <c r="L694" s="916">
        <v>-0.49199999999999999</v>
      </c>
    </row>
    <row r="695" spans="1:12" ht="14.5" x14ac:dyDescent="0.35">
      <c r="A695" s="915">
        <v>40928</v>
      </c>
      <c r="B695" s="743">
        <v>16.027799999999999</v>
      </c>
      <c r="C695" s="743">
        <v>11.875299999999999</v>
      </c>
      <c r="D695" s="915">
        <v>40928</v>
      </c>
      <c r="E695" s="743">
        <v>7.7583000000000002</v>
      </c>
      <c r="F695" s="743">
        <v>7.5904999999999996</v>
      </c>
      <c r="G695" s="915">
        <v>40928</v>
      </c>
      <c r="H695" s="743">
        <v>2.0411000000000001</v>
      </c>
      <c r="I695" s="743">
        <v>1.0426</v>
      </c>
      <c r="J695" s="916">
        <v>-0.25900000000000001</v>
      </c>
      <c r="K695" s="916">
        <v>-2.1999999999999999E-2</v>
      </c>
      <c r="L695" s="916">
        <v>-0.48899999999999999</v>
      </c>
    </row>
    <row r="696" spans="1:12" ht="14.5" x14ac:dyDescent="0.35">
      <c r="A696" s="915">
        <v>40921</v>
      </c>
      <c r="B696" s="743">
        <v>15.599299999999999</v>
      </c>
      <c r="C696" s="743">
        <v>11.286899999999999</v>
      </c>
      <c r="D696" s="915">
        <v>40921</v>
      </c>
      <c r="E696" s="743">
        <v>7.7584</v>
      </c>
      <c r="F696" s="743">
        <v>7.5669000000000004</v>
      </c>
      <c r="G696" s="915">
        <v>40921</v>
      </c>
      <c r="H696" s="743">
        <v>1.9815</v>
      </c>
      <c r="I696" s="743">
        <v>1.0128999999999999</v>
      </c>
      <c r="J696" s="916">
        <v>-0.27600000000000002</v>
      </c>
      <c r="K696" s="916">
        <v>-2.5000000000000001E-2</v>
      </c>
      <c r="L696" s="916">
        <v>-0.48899999999999999</v>
      </c>
    </row>
    <row r="697" spans="1:12" ht="14.5" x14ac:dyDescent="0.35">
      <c r="A697" s="915">
        <v>40914</v>
      </c>
      <c r="B697" s="743">
        <v>15.495799999999999</v>
      </c>
      <c r="C697" s="743">
        <v>11.0444</v>
      </c>
      <c r="D697" s="915">
        <v>40914</v>
      </c>
      <c r="E697" s="743">
        <v>7.7587999999999999</v>
      </c>
      <c r="F697" s="743">
        <v>7.5579000000000001</v>
      </c>
      <c r="G697" s="915">
        <v>40914</v>
      </c>
      <c r="H697" s="743">
        <v>1.9671000000000001</v>
      </c>
      <c r="I697" s="743">
        <v>0.99990000000000001</v>
      </c>
      <c r="J697" s="916">
        <v>-0.28699999999999998</v>
      </c>
      <c r="K697" s="916">
        <v>-2.5999999999999999E-2</v>
      </c>
      <c r="L697" s="916">
        <v>-0.49199999999999999</v>
      </c>
    </row>
    <row r="698" spans="1:12" ht="14.5" x14ac:dyDescent="0.35">
      <c r="A698" s="915">
        <v>40907</v>
      </c>
      <c r="B698" s="743">
        <v>15.001200000000001</v>
      </c>
      <c r="C698" s="743">
        <v>10.7651</v>
      </c>
      <c r="D698" s="915">
        <v>40907</v>
      </c>
      <c r="E698" s="743">
        <v>7.7667999999999999</v>
      </c>
      <c r="F698" s="743">
        <v>7.6101000000000001</v>
      </c>
      <c r="G698" s="915">
        <v>40907</v>
      </c>
      <c r="H698" s="743">
        <v>1.8971</v>
      </c>
      <c r="I698" s="743">
        <v>1.0038</v>
      </c>
      <c r="J698" s="916">
        <v>-0.28199999999999997</v>
      </c>
      <c r="K698" s="916">
        <v>-0.02</v>
      </c>
      <c r="L698" s="916">
        <v>-0.47099999999999997</v>
      </c>
    </row>
    <row r="699" spans="1:12" ht="14.5" x14ac:dyDescent="0.35">
      <c r="A699" s="915">
        <v>40900</v>
      </c>
      <c r="B699" s="743">
        <v>15.065300000000001</v>
      </c>
      <c r="C699" s="743">
        <v>11.0442</v>
      </c>
      <c r="D699" s="915">
        <v>40900</v>
      </c>
      <c r="E699" s="743">
        <v>7.7667999999999999</v>
      </c>
      <c r="F699" s="743">
        <v>7.6070000000000002</v>
      </c>
      <c r="G699" s="915">
        <v>40900</v>
      </c>
      <c r="H699" s="743">
        <v>1.9054</v>
      </c>
      <c r="I699" s="743">
        <v>1.0192000000000001</v>
      </c>
      <c r="J699" s="916">
        <v>-0.26700000000000002</v>
      </c>
      <c r="K699" s="916">
        <v>-2.1000000000000001E-2</v>
      </c>
      <c r="L699" s="916">
        <v>-0.46500000000000002</v>
      </c>
    </row>
    <row r="700" spans="1:12" ht="14.5" x14ac:dyDescent="0.35">
      <c r="A700" s="915">
        <v>40893</v>
      </c>
      <c r="B700" s="743">
        <v>15.1394</v>
      </c>
      <c r="C700" s="743">
        <v>10.8421</v>
      </c>
      <c r="D700" s="915">
        <v>40893</v>
      </c>
      <c r="E700" s="743">
        <v>8.7765000000000004</v>
      </c>
      <c r="F700" s="743">
        <v>7.6036000000000001</v>
      </c>
      <c r="G700" s="915">
        <v>40893</v>
      </c>
      <c r="H700" s="743">
        <v>1.9198999999999999</v>
      </c>
      <c r="I700" s="743">
        <v>1.0073000000000001</v>
      </c>
      <c r="J700" s="916">
        <v>-0.28399999999999997</v>
      </c>
      <c r="K700" s="916">
        <v>-0.13400000000000001</v>
      </c>
      <c r="L700" s="916">
        <v>-0.47499999999999998</v>
      </c>
    </row>
    <row r="701" spans="1:12" ht="14.5" x14ac:dyDescent="0.35">
      <c r="A701" s="915">
        <v>40886</v>
      </c>
      <c r="B701" s="743">
        <v>15.684100000000001</v>
      </c>
      <c r="C701" s="743">
        <v>11.0329</v>
      </c>
      <c r="D701" s="915">
        <v>40886</v>
      </c>
      <c r="E701" s="743">
        <v>8.7766999999999999</v>
      </c>
      <c r="F701" s="743">
        <v>7.6044</v>
      </c>
      <c r="G701" s="915">
        <v>40886</v>
      </c>
      <c r="H701" s="743">
        <v>1.9961</v>
      </c>
      <c r="I701" s="743">
        <v>1.0198</v>
      </c>
      <c r="J701" s="916">
        <v>-0.29699999999999999</v>
      </c>
      <c r="K701" s="916">
        <v>-0.13400000000000001</v>
      </c>
      <c r="L701" s="916">
        <v>-0.48899999999999999</v>
      </c>
    </row>
    <row r="702" spans="1:12" ht="14.5" x14ac:dyDescent="0.35">
      <c r="A702" s="915">
        <v>40879</v>
      </c>
      <c r="B702" s="743">
        <v>15.5715</v>
      </c>
      <c r="C702" s="743">
        <v>11.3005</v>
      </c>
      <c r="D702" s="915">
        <v>40879</v>
      </c>
      <c r="E702" s="743">
        <v>8.7766999999999999</v>
      </c>
      <c r="F702" s="743">
        <v>7.6113</v>
      </c>
      <c r="G702" s="915">
        <v>40879</v>
      </c>
      <c r="H702" s="743">
        <v>1.9802999999999999</v>
      </c>
      <c r="I702" s="743">
        <v>1.0347</v>
      </c>
      <c r="J702" s="916">
        <v>-0.27400000000000002</v>
      </c>
      <c r="K702" s="916">
        <v>-0.13300000000000001</v>
      </c>
      <c r="L702" s="916">
        <v>-0.47799999999999998</v>
      </c>
    </row>
    <row r="703" spans="1:12" ht="14.5" x14ac:dyDescent="0.35">
      <c r="A703" s="915">
        <v>40872</v>
      </c>
      <c r="B703" s="743">
        <v>14.549099999999999</v>
      </c>
      <c r="C703" s="743">
        <v>10.217599999999999</v>
      </c>
      <c r="D703" s="915">
        <v>40872</v>
      </c>
      <c r="E703" s="743">
        <v>8.7766999999999999</v>
      </c>
      <c r="F703" s="743">
        <v>7.2426000000000004</v>
      </c>
      <c r="G703" s="915">
        <v>40872</v>
      </c>
      <c r="H703" s="743">
        <v>1.8373999999999999</v>
      </c>
      <c r="I703" s="743">
        <v>0.95440000000000003</v>
      </c>
      <c r="J703" s="916">
        <v>-0.29799999999999999</v>
      </c>
      <c r="K703" s="916">
        <v>-0.17499999999999999</v>
      </c>
      <c r="L703" s="916">
        <v>-0.48099999999999998</v>
      </c>
    </row>
    <row r="704" spans="1:12" ht="14.5" x14ac:dyDescent="0.35">
      <c r="A704" s="915">
        <v>40865</v>
      </c>
      <c r="B704" s="743">
        <v>15.2463</v>
      </c>
      <c r="C704" s="743">
        <v>10.523300000000001</v>
      </c>
      <c r="D704" s="915">
        <v>40865</v>
      </c>
      <c r="E704" s="743">
        <v>8.7766999999999999</v>
      </c>
      <c r="F704" s="743">
        <v>7.1750999999999996</v>
      </c>
      <c r="G704" s="915">
        <v>40865</v>
      </c>
      <c r="H704" s="743">
        <v>1.9349000000000001</v>
      </c>
      <c r="I704" s="743">
        <v>0.96809999999999996</v>
      </c>
      <c r="J704" s="916">
        <v>-0.31</v>
      </c>
      <c r="K704" s="916">
        <v>-0.182</v>
      </c>
      <c r="L704" s="916">
        <v>-0.5</v>
      </c>
    </row>
    <row r="705" spans="1:12" ht="14.5" x14ac:dyDescent="0.35">
      <c r="A705" s="915">
        <v>40858</v>
      </c>
      <c r="B705" s="743">
        <v>15.9351</v>
      </c>
      <c r="C705" s="743">
        <v>10.675000000000001</v>
      </c>
      <c r="D705" s="915">
        <v>40858</v>
      </c>
      <c r="E705" s="743">
        <v>8.7766000000000002</v>
      </c>
      <c r="F705" s="743">
        <v>7.1566999999999998</v>
      </c>
      <c r="G705" s="915">
        <v>40858</v>
      </c>
      <c r="H705" s="743">
        <v>2.0316999999999998</v>
      </c>
      <c r="I705" s="743">
        <v>0.97609999999999997</v>
      </c>
      <c r="J705" s="916">
        <v>-0.33</v>
      </c>
      <c r="K705" s="916">
        <v>-0.185</v>
      </c>
      <c r="L705" s="916">
        <v>-0.52</v>
      </c>
    </row>
    <row r="706" spans="1:12" ht="14.5" x14ac:dyDescent="0.35">
      <c r="A706" s="915">
        <v>40851</v>
      </c>
      <c r="B706" s="743">
        <v>15.939299999999999</v>
      </c>
      <c r="C706" s="743">
        <v>10.646800000000001</v>
      </c>
      <c r="D706" s="915">
        <v>40851</v>
      </c>
      <c r="E706" s="743">
        <v>8.7378999999999998</v>
      </c>
      <c r="F706" s="743">
        <v>8.0388999999999999</v>
      </c>
      <c r="G706" s="915">
        <v>40851</v>
      </c>
      <c r="H706" s="743">
        <v>2.0323000000000002</v>
      </c>
      <c r="I706" s="743">
        <v>0.99260000000000004</v>
      </c>
      <c r="J706" s="916">
        <v>-0.33200000000000002</v>
      </c>
      <c r="K706" s="916">
        <v>-0.08</v>
      </c>
      <c r="L706" s="916">
        <v>-0.51200000000000001</v>
      </c>
    </row>
    <row r="707" spans="1:12" ht="14.5" x14ac:dyDescent="0.35">
      <c r="A707" s="915">
        <v>40844</v>
      </c>
      <c r="B707" s="743">
        <v>16.243600000000001</v>
      </c>
      <c r="C707" s="743">
        <v>10.6035</v>
      </c>
      <c r="D707" s="915">
        <v>40844</v>
      </c>
      <c r="E707" s="743">
        <v>8.7382000000000009</v>
      </c>
      <c r="F707" s="743">
        <v>8.0231999999999992</v>
      </c>
      <c r="G707" s="915">
        <v>40844</v>
      </c>
      <c r="H707" s="743">
        <v>2.0748000000000002</v>
      </c>
      <c r="I707" s="743">
        <v>0.99209999999999998</v>
      </c>
      <c r="J707" s="916">
        <v>-0.34699999999999998</v>
      </c>
      <c r="K707" s="916">
        <v>-8.2000000000000003E-2</v>
      </c>
      <c r="L707" s="916">
        <v>-0.52200000000000002</v>
      </c>
    </row>
    <row r="708" spans="1:12" ht="14.5" x14ac:dyDescent="0.35">
      <c r="A708" s="915">
        <v>40837</v>
      </c>
      <c r="B708" s="743">
        <v>15.801299999999999</v>
      </c>
      <c r="C708" s="743">
        <v>10.029299999999999</v>
      </c>
      <c r="D708" s="915">
        <v>40837</v>
      </c>
      <c r="E708" s="743">
        <v>8.7384000000000004</v>
      </c>
      <c r="F708" s="743">
        <v>8.0007000000000001</v>
      </c>
      <c r="G708" s="915">
        <v>40837</v>
      </c>
      <c r="H708" s="743">
        <v>2.0129999999999999</v>
      </c>
      <c r="I708" s="743">
        <v>0.96099999999999997</v>
      </c>
      <c r="J708" s="916">
        <v>-0.36499999999999999</v>
      </c>
      <c r="K708" s="916">
        <v>-8.4000000000000005E-2</v>
      </c>
      <c r="L708" s="916">
        <v>-0.52300000000000002</v>
      </c>
    </row>
    <row r="709" spans="1:12" ht="14.5" x14ac:dyDescent="0.35">
      <c r="A709" s="915">
        <v>40830</v>
      </c>
      <c r="B709" s="743">
        <v>16.0444</v>
      </c>
      <c r="C709" s="743">
        <v>9.9755000000000003</v>
      </c>
      <c r="D709" s="915">
        <v>40830</v>
      </c>
      <c r="E709" s="743">
        <v>8.7385000000000002</v>
      </c>
      <c r="F709" s="743">
        <v>7.9776999999999996</v>
      </c>
      <c r="G709" s="915">
        <v>40830</v>
      </c>
      <c r="H709" s="743">
        <v>2.0470000000000002</v>
      </c>
      <c r="I709" s="743">
        <v>0.96050000000000002</v>
      </c>
      <c r="J709" s="916">
        <v>-0.378</v>
      </c>
      <c r="K709" s="916">
        <v>-8.6999999999999994E-2</v>
      </c>
      <c r="L709" s="916">
        <v>-0.53100000000000003</v>
      </c>
    </row>
    <row r="710" spans="1:12" ht="14.5" x14ac:dyDescent="0.35">
      <c r="A710" s="915">
        <v>40823</v>
      </c>
      <c r="B710" s="743">
        <v>14.9001</v>
      </c>
      <c r="C710" s="743">
        <v>9.6440000000000001</v>
      </c>
      <c r="D710" s="915">
        <v>40823</v>
      </c>
      <c r="E710" s="743">
        <v>8.7360000000000007</v>
      </c>
      <c r="F710" s="743">
        <v>7.9694000000000003</v>
      </c>
      <c r="G710" s="915">
        <v>40823</v>
      </c>
      <c r="H710" s="743">
        <v>1.8869</v>
      </c>
      <c r="I710" s="743">
        <v>0.93640000000000001</v>
      </c>
      <c r="J710" s="916">
        <v>-0.35299999999999998</v>
      </c>
      <c r="K710" s="916">
        <v>-8.7999999999999995E-2</v>
      </c>
      <c r="L710" s="916">
        <v>-0.504</v>
      </c>
    </row>
    <row r="711" spans="1:12" ht="14.5" x14ac:dyDescent="0.35">
      <c r="A711" s="915">
        <v>40816</v>
      </c>
      <c r="B711" s="743">
        <v>14.4688</v>
      </c>
      <c r="C711" s="743">
        <v>9.6460000000000008</v>
      </c>
      <c r="D711" s="915">
        <v>40816</v>
      </c>
      <c r="E711" s="743">
        <v>8.7425999999999995</v>
      </c>
      <c r="F711" s="743">
        <v>7.9890999999999996</v>
      </c>
      <c r="G711" s="915">
        <v>40816</v>
      </c>
      <c r="H711" s="743">
        <v>1.8287</v>
      </c>
      <c r="I711" s="743">
        <v>0.93910000000000005</v>
      </c>
      <c r="J711" s="916">
        <v>-0.33300000000000002</v>
      </c>
      <c r="K711" s="916">
        <v>-8.5999999999999993E-2</v>
      </c>
      <c r="L711" s="916">
        <v>-0.48599999999999999</v>
      </c>
    </row>
    <row r="712" spans="1:12" ht="14.5" x14ac:dyDescent="0.35">
      <c r="A712" s="915">
        <v>40809</v>
      </c>
      <c r="B712" s="743">
        <v>14.926</v>
      </c>
      <c r="C712" s="743">
        <v>9.1092999999999993</v>
      </c>
      <c r="D712" s="915">
        <v>40809</v>
      </c>
      <c r="E712" s="743">
        <v>8.7447999999999997</v>
      </c>
      <c r="F712" s="743">
        <v>7.9897999999999998</v>
      </c>
      <c r="G712" s="915">
        <v>40809</v>
      </c>
      <c r="H712" s="743">
        <v>1.8926000000000001</v>
      </c>
      <c r="I712" s="743">
        <v>0.9032</v>
      </c>
      <c r="J712" s="916">
        <v>-0.39</v>
      </c>
      <c r="K712" s="916">
        <v>-8.5999999999999993E-2</v>
      </c>
      <c r="L712" s="916">
        <v>-0.52300000000000002</v>
      </c>
    </row>
    <row r="713" spans="1:12" ht="14.5" x14ac:dyDescent="0.35">
      <c r="A713" s="915">
        <v>40802</v>
      </c>
      <c r="B713" s="743">
        <v>17.5977</v>
      </c>
      <c r="C713" s="743">
        <v>9.8948999999999998</v>
      </c>
      <c r="D713" s="915">
        <v>40802</v>
      </c>
      <c r="E713" s="743">
        <v>9.9311000000000007</v>
      </c>
      <c r="F713" s="743">
        <v>7.9740000000000002</v>
      </c>
      <c r="G713" s="915">
        <v>40802</v>
      </c>
      <c r="H713" s="743">
        <v>1.3041</v>
      </c>
      <c r="I713" s="743">
        <v>0.94989999999999997</v>
      </c>
      <c r="J713" s="916">
        <v>-0.438</v>
      </c>
      <c r="K713" s="916">
        <v>-0.19700000000000001</v>
      </c>
      <c r="L713" s="916">
        <v>-0.27200000000000002</v>
      </c>
    </row>
    <row r="714" spans="1:12" ht="14.5" x14ac:dyDescent="0.35">
      <c r="A714" s="915">
        <v>40795</v>
      </c>
      <c r="B714" s="743">
        <v>16.5108</v>
      </c>
      <c r="C714" s="743">
        <v>9.7021999999999995</v>
      </c>
      <c r="D714" s="915">
        <v>40795</v>
      </c>
      <c r="E714" s="743">
        <v>9.9308999999999994</v>
      </c>
      <c r="F714" s="743">
        <v>7.9713000000000003</v>
      </c>
      <c r="G714" s="915">
        <v>40795</v>
      </c>
      <c r="H714" s="743">
        <v>1.2109000000000001</v>
      </c>
      <c r="I714" s="743">
        <v>0.93879999999999997</v>
      </c>
      <c r="J714" s="916">
        <v>-0.41199999999999998</v>
      </c>
      <c r="K714" s="916">
        <v>-0.19700000000000001</v>
      </c>
      <c r="L714" s="916">
        <v>-0.22500000000000001</v>
      </c>
    </row>
    <row r="715" spans="1:12" ht="14.5" x14ac:dyDescent="0.35">
      <c r="A715" s="915">
        <v>40788</v>
      </c>
      <c r="B715" s="743">
        <v>16.5426</v>
      </c>
      <c r="C715" s="743">
        <v>9.9733000000000001</v>
      </c>
      <c r="D715" s="915">
        <v>40788</v>
      </c>
      <c r="E715" s="743">
        <v>9.9308999999999994</v>
      </c>
      <c r="F715" s="743">
        <v>7.9649000000000001</v>
      </c>
      <c r="G715" s="915">
        <v>40788</v>
      </c>
      <c r="H715" s="743">
        <v>1.2137</v>
      </c>
      <c r="I715" s="743">
        <v>0.95479999999999998</v>
      </c>
      <c r="J715" s="916">
        <v>-0.39700000000000002</v>
      </c>
      <c r="K715" s="916">
        <v>-0.19800000000000001</v>
      </c>
      <c r="L715" s="916">
        <v>-0.21299999999999999</v>
      </c>
    </row>
    <row r="716" spans="1:12" ht="14.5" x14ac:dyDescent="0.35">
      <c r="A716" s="915">
        <v>40781</v>
      </c>
      <c r="B716" s="743">
        <v>16.497900000000001</v>
      </c>
      <c r="C716" s="743">
        <v>9.4921000000000006</v>
      </c>
      <c r="D716" s="915">
        <v>40781</v>
      </c>
      <c r="E716" s="743">
        <v>9.9308999999999994</v>
      </c>
      <c r="F716" s="743">
        <v>7.8219000000000003</v>
      </c>
      <c r="G716" s="915">
        <v>40781</v>
      </c>
      <c r="H716" s="743">
        <v>1.2102999999999999</v>
      </c>
      <c r="I716" s="743">
        <v>0.92169999999999996</v>
      </c>
      <c r="J716" s="916">
        <v>-0.42499999999999999</v>
      </c>
      <c r="K716" s="916">
        <v>-0.21199999999999999</v>
      </c>
      <c r="L716" s="916">
        <v>-0.23799999999999999</v>
      </c>
    </row>
    <row r="717" spans="1:12" ht="14.5" x14ac:dyDescent="0.35">
      <c r="A717" s="915">
        <v>40774</v>
      </c>
      <c r="B717" s="743">
        <v>15.553599999999999</v>
      </c>
      <c r="C717" s="743">
        <v>9.9527000000000001</v>
      </c>
      <c r="D717" s="915">
        <v>40774</v>
      </c>
      <c r="E717" s="743">
        <v>9.9308999999999994</v>
      </c>
      <c r="F717" s="743">
        <v>7.7733999999999996</v>
      </c>
      <c r="G717" s="915">
        <v>40774</v>
      </c>
      <c r="H717" s="743">
        <v>1.1293</v>
      </c>
      <c r="I717" s="743">
        <v>0.90400000000000003</v>
      </c>
      <c r="J717" s="916">
        <v>-0.36</v>
      </c>
      <c r="K717" s="916">
        <v>-0.217</v>
      </c>
      <c r="L717" s="916">
        <v>-0.2</v>
      </c>
    </row>
    <row r="718" spans="1:12" ht="14.5" x14ac:dyDescent="0.35">
      <c r="A718" s="915">
        <v>40767</v>
      </c>
      <c r="B718" s="743">
        <v>16.6511</v>
      </c>
      <c r="C718" s="743">
        <v>10.291</v>
      </c>
      <c r="D718" s="915">
        <v>40767</v>
      </c>
      <c r="E718" s="743">
        <v>9.9314</v>
      </c>
      <c r="F718" s="743">
        <v>7.7717000000000001</v>
      </c>
      <c r="G718" s="915">
        <v>40767</v>
      </c>
      <c r="H718" s="743">
        <v>1.2235</v>
      </c>
      <c r="I718" s="743">
        <v>0.92290000000000005</v>
      </c>
      <c r="J718" s="916">
        <v>-0.38200000000000001</v>
      </c>
      <c r="K718" s="916">
        <v>-0.217</v>
      </c>
      <c r="L718" s="916">
        <v>-0.246</v>
      </c>
    </row>
    <row r="719" spans="1:12" ht="14.5" x14ac:dyDescent="0.35">
      <c r="A719" s="915">
        <v>40760</v>
      </c>
      <c r="B719" s="743">
        <v>16.745200000000001</v>
      </c>
      <c r="C719" s="743">
        <v>11.269</v>
      </c>
      <c r="D719" s="915">
        <v>40760</v>
      </c>
      <c r="E719" s="743">
        <v>9.9307999999999996</v>
      </c>
      <c r="F719" s="743">
        <v>7.7747000000000002</v>
      </c>
      <c r="G719" s="915">
        <v>40760</v>
      </c>
      <c r="H719" s="743">
        <v>1.2315</v>
      </c>
      <c r="I719" s="743">
        <v>0.97840000000000005</v>
      </c>
      <c r="J719" s="916">
        <v>-0.32700000000000001</v>
      </c>
      <c r="K719" s="916">
        <v>-0.217</v>
      </c>
      <c r="L719" s="916">
        <v>-0.20599999999999999</v>
      </c>
    </row>
    <row r="720" spans="1:12" ht="14.5" x14ac:dyDescent="0.35">
      <c r="A720" s="915">
        <v>40753</v>
      </c>
      <c r="B720" s="743">
        <v>18.0305</v>
      </c>
      <c r="C720" s="743">
        <v>12.4057</v>
      </c>
      <c r="D720" s="915">
        <v>40753</v>
      </c>
      <c r="E720" s="743">
        <v>9.9306000000000001</v>
      </c>
      <c r="F720" s="743">
        <v>7.7706</v>
      </c>
      <c r="G720" s="915">
        <v>40753</v>
      </c>
      <c r="H720" s="743">
        <v>1.3416999999999999</v>
      </c>
      <c r="I720" s="743">
        <v>1.0404</v>
      </c>
      <c r="J720" s="916">
        <v>-0.312</v>
      </c>
      <c r="K720" s="916">
        <v>-0.218</v>
      </c>
      <c r="L720" s="916">
        <v>-0.22500000000000001</v>
      </c>
    </row>
    <row r="721" spans="1:12" ht="14.5" x14ac:dyDescent="0.35">
      <c r="A721" s="915">
        <v>40746</v>
      </c>
      <c r="B721" s="743">
        <v>18.539400000000001</v>
      </c>
      <c r="C721" s="743">
        <v>12.656700000000001</v>
      </c>
      <c r="D721" s="915">
        <v>40746</v>
      </c>
      <c r="E721" s="743">
        <v>9.9318000000000008</v>
      </c>
      <c r="F721" s="743">
        <v>7.7778999999999998</v>
      </c>
      <c r="G721" s="915">
        <v>40746</v>
      </c>
      <c r="H721" s="743">
        <v>1.3854</v>
      </c>
      <c r="I721" s="743">
        <v>1.0539000000000001</v>
      </c>
      <c r="J721" s="916">
        <v>-0.317</v>
      </c>
      <c r="K721" s="916">
        <v>-0.217</v>
      </c>
      <c r="L721" s="916">
        <v>-0.23899999999999999</v>
      </c>
    </row>
    <row r="722" spans="1:12" ht="14.5" x14ac:dyDescent="0.35">
      <c r="A722" s="915">
        <v>40739</v>
      </c>
      <c r="B722" s="743">
        <v>17.983699999999999</v>
      </c>
      <c r="C722" s="743">
        <v>12.5296</v>
      </c>
      <c r="D722" s="915">
        <v>40739</v>
      </c>
      <c r="E722" s="743">
        <v>9.9319000000000006</v>
      </c>
      <c r="F722" s="743">
        <v>7.7712000000000003</v>
      </c>
      <c r="G722" s="915">
        <v>40739</v>
      </c>
      <c r="H722" s="743">
        <v>1.3376999999999999</v>
      </c>
      <c r="I722" s="743">
        <v>1.0461</v>
      </c>
      <c r="J722" s="916">
        <v>-0.30299999999999999</v>
      </c>
      <c r="K722" s="916">
        <v>-0.218</v>
      </c>
      <c r="L722" s="916">
        <v>-0.218</v>
      </c>
    </row>
    <row r="723" spans="1:12" ht="14.5" x14ac:dyDescent="0.35">
      <c r="A723" s="915">
        <v>40732</v>
      </c>
      <c r="B723" s="743">
        <v>18.359200000000001</v>
      </c>
      <c r="C723" s="743">
        <v>12.854100000000001</v>
      </c>
      <c r="D723" s="915">
        <v>40732</v>
      </c>
      <c r="E723" s="743">
        <v>9.9316999999999993</v>
      </c>
      <c r="F723" s="743">
        <v>7.7828999999999997</v>
      </c>
      <c r="G723" s="915">
        <v>40732</v>
      </c>
      <c r="H723" s="743">
        <v>1.3682000000000001</v>
      </c>
      <c r="I723" s="743">
        <v>1.0629999999999999</v>
      </c>
      <c r="J723" s="916">
        <v>-0.3</v>
      </c>
      <c r="K723" s="916">
        <v>-0.216</v>
      </c>
      <c r="L723" s="916">
        <v>-0.223</v>
      </c>
    </row>
    <row r="724" spans="1:12" ht="14.5" x14ac:dyDescent="0.35">
      <c r="A724" s="915">
        <v>40725</v>
      </c>
      <c r="B724" s="743">
        <v>18.0197</v>
      </c>
      <c r="C724" s="743">
        <v>12.5518</v>
      </c>
      <c r="D724" s="915">
        <v>40725</v>
      </c>
      <c r="E724" s="743">
        <v>9.9316999999999993</v>
      </c>
      <c r="F724" s="743">
        <v>7.7888000000000002</v>
      </c>
      <c r="G724" s="915">
        <v>40725</v>
      </c>
      <c r="H724" s="743">
        <v>1.3391</v>
      </c>
      <c r="I724" s="743">
        <v>1.0423</v>
      </c>
      <c r="J724" s="916">
        <v>-0.30299999999999999</v>
      </c>
      <c r="K724" s="916">
        <v>-0.216</v>
      </c>
      <c r="L724" s="916">
        <v>-0.222</v>
      </c>
    </row>
    <row r="725" spans="1:12" ht="14.5" x14ac:dyDescent="0.35">
      <c r="A725" s="915">
        <v>40718</v>
      </c>
      <c r="B725" s="743">
        <v>18.201000000000001</v>
      </c>
      <c r="C725" s="743">
        <v>12.340999999999999</v>
      </c>
      <c r="D725" s="915">
        <v>40718</v>
      </c>
      <c r="E725" s="743">
        <v>9.9876000000000005</v>
      </c>
      <c r="F725" s="743">
        <v>8.1445000000000007</v>
      </c>
      <c r="G725" s="915">
        <v>40718</v>
      </c>
      <c r="H725" s="743">
        <v>1.32</v>
      </c>
      <c r="I725" s="743">
        <v>1.0291999999999999</v>
      </c>
      <c r="J725" s="916">
        <v>-0.32200000000000001</v>
      </c>
      <c r="K725" s="916">
        <v>-0.185</v>
      </c>
      <c r="L725" s="916">
        <v>-0.22</v>
      </c>
    </row>
    <row r="726" spans="1:12" ht="14.5" x14ac:dyDescent="0.35">
      <c r="A726" s="915">
        <v>40711</v>
      </c>
      <c r="B726" s="743">
        <v>18.0031</v>
      </c>
      <c r="C726" s="743">
        <v>11.942399999999999</v>
      </c>
      <c r="D726" s="915">
        <v>40711</v>
      </c>
      <c r="E726" s="743">
        <v>9.9876000000000005</v>
      </c>
      <c r="F726" s="743">
        <v>8.1275999999999993</v>
      </c>
      <c r="G726" s="915">
        <v>40711</v>
      </c>
      <c r="H726" s="743">
        <v>1.3048999999999999</v>
      </c>
      <c r="I726" s="743">
        <v>1.0078</v>
      </c>
      <c r="J726" s="916">
        <v>-0.33700000000000002</v>
      </c>
      <c r="K726" s="916">
        <v>-0.186</v>
      </c>
      <c r="L726" s="916">
        <v>-0.22800000000000001</v>
      </c>
    </row>
    <row r="727" spans="1:12" ht="14.5" x14ac:dyDescent="0.35">
      <c r="A727" s="915">
        <v>40704</v>
      </c>
      <c r="B727" s="743">
        <v>18.234100000000002</v>
      </c>
      <c r="C727" s="743">
        <v>12.0867</v>
      </c>
      <c r="D727" s="915">
        <v>40704</v>
      </c>
      <c r="E727" s="743">
        <v>9.9876000000000005</v>
      </c>
      <c r="F727" s="743">
        <v>8.1279000000000003</v>
      </c>
      <c r="G727" s="915">
        <v>40704</v>
      </c>
      <c r="H727" s="743">
        <v>1.3242</v>
      </c>
      <c r="I727" s="743">
        <v>1.0123</v>
      </c>
      <c r="J727" s="916">
        <v>-0.33700000000000002</v>
      </c>
      <c r="K727" s="916">
        <v>-0.186</v>
      </c>
      <c r="L727" s="916">
        <v>-0.23599999999999999</v>
      </c>
    </row>
    <row r="728" spans="1:12" ht="14.5" x14ac:dyDescent="0.35">
      <c r="A728" s="915">
        <v>40697</v>
      </c>
      <c r="B728" s="743">
        <v>18.8188</v>
      </c>
      <c r="C728" s="743">
        <v>12.5421</v>
      </c>
      <c r="D728" s="915">
        <v>40697</v>
      </c>
      <c r="E728" s="743">
        <v>9.9876000000000005</v>
      </c>
      <c r="F728" s="743">
        <v>8.1266999999999996</v>
      </c>
      <c r="G728" s="915">
        <v>40697</v>
      </c>
      <c r="H728" s="743">
        <v>1.3732</v>
      </c>
      <c r="I728" s="743">
        <v>1.0284</v>
      </c>
      <c r="J728" s="916">
        <v>-0.33400000000000002</v>
      </c>
      <c r="K728" s="916">
        <v>-0.186</v>
      </c>
      <c r="L728" s="916">
        <v>-0.251</v>
      </c>
    </row>
    <row r="729" spans="1:12" ht="14.5" x14ac:dyDescent="0.35">
      <c r="A729" s="915">
        <v>40690</v>
      </c>
      <c r="B729" s="743">
        <v>19.180099999999999</v>
      </c>
      <c r="C729" s="743">
        <v>12.9224</v>
      </c>
      <c r="D729" s="915">
        <v>40690</v>
      </c>
      <c r="E729" s="743">
        <v>9.9506999999999994</v>
      </c>
      <c r="F729" s="743">
        <v>6.7157</v>
      </c>
      <c r="G729" s="915">
        <v>40690</v>
      </c>
      <c r="H729" s="743">
        <v>1.4033</v>
      </c>
      <c r="I729" s="743">
        <v>1.0170999999999999</v>
      </c>
      <c r="J729" s="916">
        <v>-0.32600000000000001</v>
      </c>
      <c r="K729" s="916">
        <v>-0.32500000000000001</v>
      </c>
      <c r="L729" s="916">
        <v>-0.27500000000000002</v>
      </c>
    </row>
    <row r="730" spans="1:12" ht="14.5" x14ac:dyDescent="0.35">
      <c r="A730" s="915">
        <v>40683</v>
      </c>
      <c r="B730" s="743">
        <v>19.306100000000001</v>
      </c>
      <c r="C730" s="743">
        <v>12.958</v>
      </c>
      <c r="D730" s="915">
        <v>40683</v>
      </c>
      <c r="E730" s="743">
        <v>9.9506999999999994</v>
      </c>
      <c r="F730" s="743">
        <v>6.6959999999999997</v>
      </c>
      <c r="G730" s="915">
        <v>40683</v>
      </c>
      <c r="H730" s="743">
        <v>1.4137</v>
      </c>
      <c r="I730" s="743">
        <v>1.0157</v>
      </c>
      <c r="J730" s="916">
        <v>-0.32900000000000001</v>
      </c>
      <c r="K730" s="916">
        <v>-0.32700000000000001</v>
      </c>
      <c r="L730" s="916">
        <v>-0.28199999999999997</v>
      </c>
    </row>
    <row r="731" spans="1:12" ht="14.5" x14ac:dyDescent="0.35">
      <c r="A731" s="915">
        <v>40676</v>
      </c>
      <c r="B731" s="743">
        <v>19.541799999999999</v>
      </c>
      <c r="C731" s="743">
        <v>12.994400000000001</v>
      </c>
      <c r="D731" s="915">
        <v>40676</v>
      </c>
      <c r="E731" s="743">
        <v>9.9507999999999992</v>
      </c>
      <c r="F731" s="743">
        <v>6.7194000000000003</v>
      </c>
      <c r="G731" s="915">
        <v>40676</v>
      </c>
      <c r="H731" s="743">
        <v>1.4330000000000001</v>
      </c>
      <c r="I731" s="743">
        <v>1.0155000000000001</v>
      </c>
      <c r="J731" s="916">
        <v>-0.33500000000000002</v>
      </c>
      <c r="K731" s="916">
        <v>-0.32500000000000001</v>
      </c>
      <c r="L731" s="916">
        <v>-0.29099999999999998</v>
      </c>
    </row>
    <row r="732" spans="1:12" ht="14.5" x14ac:dyDescent="0.35">
      <c r="A732" s="915">
        <v>40669</v>
      </c>
      <c r="B732" s="743">
        <v>19.574300000000001</v>
      </c>
      <c r="C732" s="743">
        <v>13.1678</v>
      </c>
      <c r="D732" s="915">
        <v>40669</v>
      </c>
      <c r="E732" s="743">
        <v>9.9511000000000003</v>
      </c>
      <c r="F732" s="743">
        <v>6.7194000000000003</v>
      </c>
      <c r="G732" s="915">
        <v>40669</v>
      </c>
      <c r="H732" s="743">
        <v>1.4357</v>
      </c>
      <c r="I732" s="743">
        <v>1.0214000000000001</v>
      </c>
      <c r="J732" s="916">
        <v>-0.32700000000000001</v>
      </c>
      <c r="K732" s="916">
        <v>-0.32500000000000001</v>
      </c>
      <c r="L732" s="916">
        <v>-0.28899999999999998</v>
      </c>
    </row>
    <row r="733" spans="1:12" ht="14.5" x14ac:dyDescent="0.35">
      <c r="A733" s="915">
        <v>40662</v>
      </c>
      <c r="B733" s="743">
        <v>19.745999999999999</v>
      </c>
      <c r="C733" s="743">
        <v>13.4391</v>
      </c>
      <c r="D733" s="915">
        <v>40662</v>
      </c>
      <c r="E733" s="743">
        <v>9.9511000000000003</v>
      </c>
      <c r="F733" s="743">
        <v>6.7333999999999996</v>
      </c>
      <c r="G733" s="915">
        <v>40662</v>
      </c>
      <c r="H733" s="743">
        <v>2.3912</v>
      </c>
      <c r="I733" s="743">
        <v>1.0391999999999999</v>
      </c>
      <c r="J733" s="916">
        <v>-0.31900000000000001</v>
      </c>
      <c r="K733" s="916">
        <v>-0.32300000000000001</v>
      </c>
      <c r="L733" s="916">
        <v>-0.56499999999999995</v>
      </c>
    </row>
    <row r="734" spans="1:12" ht="14.5" x14ac:dyDescent="0.35">
      <c r="A734" s="915">
        <v>40655</v>
      </c>
      <c r="B734" s="743">
        <v>19.526</v>
      </c>
      <c r="C734" s="743">
        <v>13.3672</v>
      </c>
      <c r="D734" s="915">
        <v>40655</v>
      </c>
      <c r="E734" s="743">
        <v>9.9511000000000003</v>
      </c>
      <c r="F734" s="743">
        <v>6.6837999999999997</v>
      </c>
      <c r="G734" s="915">
        <v>40655</v>
      </c>
      <c r="H734" s="743">
        <v>2.3622999999999998</v>
      </c>
      <c r="I734" s="743">
        <v>1.0390999999999999</v>
      </c>
      <c r="J734" s="916">
        <v>-0.315</v>
      </c>
      <c r="K734" s="916">
        <v>-0.32800000000000001</v>
      </c>
      <c r="L734" s="916">
        <v>-0.56000000000000005</v>
      </c>
    </row>
    <row r="735" spans="1:12" ht="14.5" x14ac:dyDescent="0.35">
      <c r="A735" s="915">
        <v>40648</v>
      </c>
      <c r="B735" s="743">
        <v>18.953399999999998</v>
      </c>
      <c r="C735" s="743">
        <v>12.950799999999999</v>
      </c>
      <c r="D735" s="915">
        <v>40648</v>
      </c>
      <c r="E735" s="743">
        <v>9.9517000000000007</v>
      </c>
      <c r="F735" s="743">
        <v>6.6837999999999997</v>
      </c>
      <c r="G735" s="915">
        <v>40648</v>
      </c>
      <c r="H735" s="743">
        <v>2.2869999999999999</v>
      </c>
      <c r="I735" s="743">
        <v>1.0198</v>
      </c>
      <c r="J735" s="916">
        <v>-0.317</v>
      </c>
      <c r="K735" s="916">
        <v>-0.32800000000000001</v>
      </c>
      <c r="L735" s="916">
        <v>-0.55400000000000005</v>
      </c>
    </row>
    <row r="736" spans="1:12" ht="14.5" x14ac:dyDescent="0.35">
      <c r="A736" s="915">
        <v>40641</v>
      </c>
      <c r="B736" s="743">
        <v>19.065100000000001</v>
      </c>
      <c r="C736" s="743">
        <v>12.874599999999999</v>
      </c>
      <c r="D736" s="915">
        <v>40641</v>
      </c>
      <c r="E736" s="743">
        <v>9.9499999999999993</v>
      </c>
      <c r="F736" s="743">
        <v>6.6837999999999997</v>
      </c>
      <c r="G736" s="915">
        <v>40641</v>
      </c>
      <c r="H736" s="743">
        <v>2.3014000000000001</v>
      </c>
      <c r="I736" s="743">
        <v>1.0159</v>
      </c>
      <c r="J736" s="916">
        <v>-0.32500000000000001</v>
      </c>
      <c r="K736" s="916">
        <v>-0.32800000000000001</v>
      </c>
      <c r="L736" s="916">
        <v>-0.55900000000000005</v>
      </c>
    </row>
    <row r="737" spans="1:12" ht="14.5" x14ac:dyDescent="0.35">
      <c r="A737" s="915">
        <v>40634</v>
      </c>
      <c r="B737" s="743">
        <v>19.243600000000001</v>
      </c>
      <c r="C737" s="743">
        <v>12.794499999999999</v>
      </c>
      <c r="D737" s="915">
        <v>40634</v>
      </c>
      <c r="E737" s="743">
        <v>9.9499999999999993</v>
      </c>
      <c r="F737" s="743">
        <v>6.6839000000000004</v>
      </c>
      <c r="G737" s="915">
        <v>40634</v>
      </c>
      <c r="H737" s="743">
        <v>2.343</v>
      </c>
      <c r="I737" s="743">
        <v>1.0143</v>
      </c>
      <c r="J737" s="916">
        <v>-0.33500000000000002</v>
      </c>
      <c r="K737" s="916">
        <v>-0.32800000000000001</v>
      </c>
      <c r="L737" s="916">
        <v>-0.56699999999999995</v>
      </c>
    </row>
    <row r="738" spans="1:12" ht="14.5" x14ac:dyDescent="0.35">
      <c r="A738" s="915">
        <v>40627</v>
      </c>
      <c r="B738" s="743">
        <v>20.247</v>
      </c>
      <c r="C738" s="743">
        <v>13.292199999999999</v>
      </c>
      <c r="D738" s="915">
        <v>40627</v>
      </c>
      <c r="E738" s="743">
        <v>9.5478000000000005</v>
      </c>
      <c r="F738" s="743">
        <v>6.7057000000000002</v>
      </c>
      <c r="G738" s="915">
        <v>40627</v>
      </c>
      <c r="H738" s="743">
        <v>2.4727000000000001</v>
      </c>
      <c r="I738" s="743">
        <v>1.0891999999999999</v>
      </c>
      <c r="J738" s="916">
        <v>-0.34300000000000003</v>
      </c>
      <c r="K738" s="916">
        <v>-0.29799999999999999</v>
      </c>
      <c r="L738" s="916">
        <v>-0.56000000000000005</v>
      </c>
    </row>
    <row r="739" spans="1:12" ht="14.5" x14ac:dyDescent="0.35">
      <c r="A739" s="915">
        <v>40620</v>
      </c>
      <c r="B739" s="743">
        <v>19.414100000000001</v>
      </c>
      <c r="C739" s="743">
        <v>12.852</v>
      </c>
      <c r="D739" s="915">
        <v>40620</v>
      </c>
      <c r="E739" s="743">
        <v>9.5478000000000005</v>
      </c>
      <c r="F739" s="743">
        <v>6.7057000000000002</v>
      </c>
      <c r="G739" s="915">
        <v>40620</v>
      </c>
      <c r="H739" s="743">
        <v>2.3597999999999999</v>
      </c>
      <c r="I739" s="743">
        <v>1.0653999999999999</v>
      </c>
      <c r="J739" s="916">
        <v>-0.33800000000000002</v>
      </c>
      <c r="K739" s="916">
        <v>-0.29799999999999999</v>
      </c>
      <c r="L739" s="916">
        <v>-0.54900000000000004</v>
      </c>
    </row>
    <row r="740" spans="1:12" ht="14.5" x14ac:dyDescent="0.35">
      <c r="A740" s="915">
        <v>40613</v>
      </c>
      <c r="B740" s="743">
        <v>20.0975</v>
      </c>
      <c r="C740" s="743">
        <v>12.379899999999999</v>
      </c>
      <c r="D740" s="915">
        <v>40613</v>
      </c>
      <c r="E740" s="743">
        <v>9.5478000000000005</v>
      </c>
      <c r="F740" s="743">
        <v>7.5152999999999999</v>
      </c>
      <c r="G740" s="915">
        <v>40613</v>
      </c>
      <c r="H740" s="743">
        <v>2.4493</v>
      </c>
      <c r="I740" s="743">
        <v>1.0486</v>
      </c>
      <c r="J740" s="916">
        <v>-0.38400000000000001</v>
      </c>
      <c r="K740" s="916">
        <v>-0.21299999999999999</v>
      </c>
      <c r="L740" s="916">
        <v>-0.57199999999999995</v>
      </c>
    </row>
    <row r="741" spans="1:12" ht="14.5" x14ac:dyDescent="0.35">
      <c r="A741" s="915">
        <v>40606</v>
      </c>
      <c r="B741" s="743">
        <v>20.6281</v>
      </c>
      <c r="C741" s="743">
        <v>12.007400000000001</v>
      </c>
      <c r="D741" s="915">
        <v>40606</v>
      </c>
      <c r="E741" s="743">
        <v>9.5478000000000005</v>
      </c>
      <c r="F741" s="743">
        <v>7.5431999999999997</v>
      </c>
      <c r="G741" s="915">
        <v>40606</v>
      </c>
      <c r="H741" s="743">
        <v>2.5186999999999999</v>
      </c>
      <c r="I741" s="743">
        <v>1.1380999999999999</v>
      </c>
      <c r="J741" s="916">
        <v>-0.41799999999999998</v>
      </c>
      <c r="K741" s="916">
        <v>-0.21</v>
      </c>
      <c r="L741" s="916">
        <v>-0.54800000000000004</v>
      </c>
    </row>
    <row r="742" spans="1:12" ht="14.5" x14ac:dyDescent="0.35">
      <c r="A742" s="915">
        <v>40599</v>
      </c>
      <c r="B742" s="743">
        <v>20.508600000000001</v>
      </c>
      <c r="C742" s="743">
        <v>11.6457</v>
      </c>
      <c r="D742" s="915">
        <v>40599</v>
      </c>
      <c r="E742" s="743">
        <v>9.5478000000000005</v>
      </c>
      <c r="F742" s="743">
        <v>7.5872000000000002</v>
      </c>
      <c r="G742" s="915">
        <v>40599</v>
      </c>
      <c r="H742" s="743">
        <v>2.5030999999999999</v>
      </c>
      <c r="I742" s="743">
        <v>1.1486000000000001</v>
      </c>
      <c r="J742" s="916">
        <v>-0.432</v>
      </c>
      <c r="K742" s="916">
        <v>-0.20499999999999999</v>
      </c>
      <c r="L742" s="916">
        <v>-0.54100000000000004</v>
      </c>
    </row>
    <row r="743" spans="1:12" ht="14.5" x14ac:dyDescent="0.35">
      <c r="A743" s="915">
        <v>40592</v>
      </c>
      <c r="B743" s="743">
        <v>20.912199999999999</v>
      </c>
      <c r="C743" s="743">
        <v>11.8935</v>
      </c>
      <c r="D743" s="915">
        <v>40592</v>
      </c>
      <c r="E743" s="743">
        <v>9.5478000000000005</v>
      </c>
      <c r="F743" s="743">
        <v>7.5808</v>
      </c>
      <c r="G743" s="915">
        <v>40592</v>
      </c>
      <c r="H743" s="743">
        <v>2.5558999999999998</v>
      </c>
      <c r="I743" s="743">
        <v>1.1737</v>
      </c>
      <c r="J743" s="916">
        <v>-0.43099999999999999</v>
      </c>
      <c r="K743" s="916">
        <v>-0.20599999999999999</v>
      </c>
      <c r="L743" s="916">
        <v>-0.54100000000000004</v>
      </c>
    </row>
    <row r="744" spans="1:12" ht="14.5" x14ac:dyDescent="0.35">
      <c r="A744" s="915">
        <v>40585</v>
      </c>
      <c r="B744" s="743">
        <v>20.7958</v>
      </c>
      <c r="C744" s="743">
        <v>11.638</v>
      </c>
      <c r="D744" s="915">
        <v>40585</v>
      </c>
      <c r="E744" s="743">
        <v>9.5472999999999999</v>
      </c>
      <c r="F744" s="743">
        <v>7.5808</v>
      </c>
      <c r="G744" s="915">
        <v>40585</v>
      </c>
      <c r="H744" s="743">
        <v>2.5407000000000002</v>
      </c>
      <c r="I744" s="743">
        <v>1.1615</v>
      </c>
      <c r="J744" s="916">
        <v>-0.44</v>
      </c>
      <c r="K744" s="916">
        <v>-0.20599999999999999</v>
      </c>
      <c r="L744" s="916">
        <v>-0.54300000000000004</v>
      </c>
    </row>
    <row r="745" spans="1:12" ht="14.5" x14ac:dyDescent="0.35">
      <c r="A745" s="915">
        <v>40578</v>
      </c>
      <c r="B745" s="743">
        <v>20.437899999999999</v>
      </c>
      <c r="C745" s="743">
        <v>12.1648</v>
      </c>
      <c r="D745" s="915">
        <v>40578</v>
      </c>
      <c r="E745" s="743">
        <v>9.5472999999999999</v>
      </c>
      <c r="F745" s="743">
        <v>7.5807000000000002</v>
      </c>
      <c r="G745" s="915">
        <v>40578</v>
      </c>
      <c r="H745" s="743">
        <v>2.4937999999999998</v>
      </c>
      <c r="I745" s="743">
        <v>1.2090000000000001</v>
      </c>
      <c r="J745" s="916">
        <v>-0.40500000000000003</v>
      </c>
      <c r="K745" s="916">
        <v>-0.20599999999999999</v>
      </c>
      <c r="L745" s="916">
        <v>-0.51500000000000001</v>
      </c>
    </row>
    <row r="746" spans="1:12" ht="14.5" x14ac:dyDescent="0.35">
      <c r="A746" s="915">
        <v>40571</v>
      </c>
      <c r="B746" s="743">
        <v>19.8462</v>
      </c>
      <c r="C746" s="743">
        <v>12.265499999999999</v>
      </c>
      <c r="D746" s="915">
        <v>40571</v>
      </c>
      <c r="E746" s="743">
        <v>9.5236999999999998</v>
      </c>
      <c r="F746" s="743">
        <v>7.5827999999999998</v>
      </c>
      <c r="G746" s="915">
        <v>40571</v>
      </c>
      <c r="H746" s="743">
        <v>2.4163999999999999</v>
      </c>
      <c r="I746" s="743">
        <v>1.2423999999999999</v>
      </c>
      <c r="J746" s="916">
        <v>-0.38200000000000001</v>
      </c>
      <c r="K746" s="916">
        <v>-0.20399999999999999</v>
      </c>
      <c r="L746" s="916">
        <v>-0.48599999999999999</v>
      </c>
    </row>
    <row r="747" spans="1:12" ht="14.5" x14ac:dyDescent="0.35">
      <c r="A747" s="915">
        <v>40564</v>
      </c>
      <c r="B747" s="743">
        <v>19.8733</v>
      </c>
      <c r="C747" s="743">
        <v>11.983599999999999</v>
      </c>
      <c r="D747" s="915">
        <v>40564</v>
      </c>
      <c r="E747" s="743">
        <v>9.5170999999999992</v>
      </c>
      <c r="F747" s="743">
        <v>7.7215999999999996</v>
      </c>
      <c r="G747" s="915">
        <v>40564</v>
      </c>
      <c r="H747" s="743">
        <v>2.4144000000000001</v>
      </c>
      <c r="I747" s="743">
        <v>1.2361</v>
      </c>
      <c r="J747" s="916">
        <v>-0.39700000000000002</v>
      </c>
      <c r="K747" s="916">
        <v>-0.189</v>
      </c>
      <c r="L747" s="916">
        <v>-0.48799999999999999</v>
      </c>
    </row>
    <row r="748" spans="1:12" ht="14.5" x14ac:dyDescent="0.35">
      <c r="A748" s="915">
        <v>40557</v>
      </c>
      <c r="B748" s="743">
        <v>20.356200000000001</v>
      </c>
      <c r="C748" s="743">
        <v>12.190200000000001</v>
      </c>
      <c r="D748" s="915">
        <v>40557</v>
      </c>
      <c r="E748" s="743">
        <v>9.5175000000000001</v>
      </c>
      <c r="F748" s="743">
        <v>7.7464000000000004</v>
      </c>
      <c r="G748" s="915">
        <v>40557</v>
      </c>
      <c r="H748" s="743">
        <v>2.4775</v>
      </c>
      <c r="I748" s="743">
        <v>1.3055000000000001</v>
      </c>
      <c r="J748" s="916">
        <v>-0.40100000000000002</v>
      </c>
      <c r="K748" s="916">
        <v>-0.186</v>
      </c>
      <c r="L748" s="916">
        <v>-0.47299999999999998</v>
      </c>
    </row>
    <row r="749" spans="1:12" ht="14.5" x14ac:dyDescent="0.35">
      <c r="A749" s="915">
        <v>40550</v>
      </c>
      <c r="B749" s="743">
        <v>19.9468</v>
      </c>
      <c r="C749" s="743">
        <v>12.0306</v>
      </c>
      <c r="D749" s="915">
        <v>40550</v>
      </c>
      <c r="E749" s="743">
        <v>9.5175000000000001</v>
      </c>
      <c r="F749" s="743">
        <v>7.7386999999999997</v>
      </c>
      <c r="G749" s="915">
        <v>40550</v>
      </c>
      <c r="H749" s="743">
        <v>2.4239999999999999</v>
      </c>
      <c r="I749" s="743">
        <v>1.2950999999999999</v>
      </c>
      <c r="J749" s="916">
        <v>-0.39700000000000002</v>
      </c>
      <c r="K749" s="916">
        <v>-0.187</v>
      </c>
      <c r="L749" s="916">
        <v>-0.46600000000000003</v>
      </c>
    </row>
    <row r="750" spans="1:12" ht="14.5" x14ac:dyDescent="0.35">
      <c r="A750" s="915">
        <v>40543</v>
      </c>
      <c r="B750" s="743">
        <v>21.594899999999999</v>
      </c>
      <c r="C750" s="743">
        <v>11.927</v>
      </c>
      <c r="D750" s="915">
        <v>40543</v>
      </c>
      <c r="E750" s="743">
        <v>8.9365000000000006</v>
      </c>
      <c r="F750" s="743">
        <v>7.7382999999999997</v>
      </c>
      <c r="G750" s="915">
        <v>40543</v>
      </c>
      <c r="H750" s="743">
        <v>2.5038</v>
      </c>
      <c r="I750" s="743">
        <v>1.2823</v>
      </c>
      <c r="J750" s="916">
        <v>-0.44800000000000001</v>
      </c>
      <c r="K750" s="916">
        <v>-0.13400000000000001</v>
      </c>
      <c r="L750" s="916">
        <v>-0.48799999999999999</v>
      </c>
    </row>
    <row r="751" spans="1:12" ht="14.5" x14ac:dyDescent="0.35">
      <c r="A751" s="915">
        <v>40536</v>
      </c>
      <c r="B751" s="743">
        <v>21.715699999999998</v>
      </c>
      <c r="C751" s="743">
        <v>11.828799999999999</v>
      </c>
      <c r="D751" s="915">
        <v>40536</v>
      </c>
      <c r="E751" s="743">
        <v>8.9366000000000003</v>
      </c>
      <c r="F751" s="743">
        <v>7.7140000000000004</v>
      </c>
      <c r="G751" s="915">
        <v>40536</v>
      </c>
      <c r="H751" s="743">
        <v>2.5188000000000001</v>
      </c>
      <c r="I751" s="743">
        <v>1.2723</v>
      </c>
      <c r="J751" s="916">
        <v>-0.45500000000000002</v>
      </c>
      <c r="K751" s="916">
        <v>-0.13700000000000001</v>
      </c>
      <c r="L751" s="916">
        <v>-0.495</v>
      </c>
    </row>
    <row r="752" spans="1:12" ht="14.5" x14ac:dyDescent="0.35">
      <c r="A752" s="915">
        <v>40529</v>
      </c>
      <c r="B752" s="743">
        <v>21.5991</v>
      </c>
      <c r="C752" s="743">
        <v>11.7971</v>
      </c>
      <c r="D752" s="915">
        <v>40529</v>
      </c>
      <c r="E752" s="743">
        <v>8.9366000000000003</v>
      </c>
      <c r="F752" s="743">
        <v>7.6893000000000002</v>
      </c>
      <c r="G752" s="915">
        <v>40529</v>
      </c>
      <c r="H752" s="743">
        <v>2.4687999999999999</v>
      </c>
      <c r="I752" s="743">
        <v>1.2690999999999999</v>
      </c>
      <c r="J752" s="916">
        <v>-0.45400000000000001</v>
      </c>
      <c r="K752" s="916">
        <v>-0.14000000000000001</v>
      </c>
      <c r="L752" s="916">
        <v>-0.48599999999999999</v>
      </c>
    </row>
    <row r="753" spans="1:12" ht="14.5" x14ac:dyDescent="0.35">
      <c r="A753" s="915">
        <v>40522</v>
      </c>
      <c r="B753" s="743">
        <v>21.5703</v>
      </c>
      <c r="C753" s="743">
        <v>11.5184</v>
      </c>
      <c r="D753" s="915">
        <v>40522</v>
      </c>
      <c r="E753" s="743">
        <v>8.9366000000000003</v>
      </c>
      <c r="F753" s="743">
        <v>7.6803999999999997</v>
      </c>
      <c r="G753" s="915">
        <v>40522</v>
      </c>
      <c r="H753" s="743">
        <v>2.4660000000000002</v>
      </c>
      <c r="I753" s="743">
        <v>1.2508999999999999</v>
      </c>
      <c r="J753" s="916">
        <v>-0.46600000000000003</v>
      </c>
      <c r="K753" s="916">
        <v>-0.14099999999999999</v>
      </c>
      <c r="L753" s="916">
        <v>-0.49299999999999999</v>
      </c>
    </row>
    <row r="754" spans="1:12" ht="14.5" x14ac:dyDescent="0.35">
      <c r="A754" s="915">
        <v>40515</v>
      </c>
      <c r="B754" s="743">
        <v>21.335000000000001</v>
      </c>
      <c r="C754" s="743">
        <v>11.316000000000001</v>
      </c>
      <c r="D754" s="915">
        <v>40515</v>
      </c>
      <c r="E754" s="743">
        <v>8.9367999999999999</v>
      </c>
      <c r="F754" s="743">
        <v>7.6932</v>
      </c>
      <c r="G754" s="915">
        <v>40515</v>
      </c>
      <c r="H754" s="743">
        <v>2.4371</v>
      </c>
      <c r="I754" s="743">
        <v>1.2377</v>
      </c>
      <c r="J754" s="916">
        <v>-0.47</v>
      </c>
      <c r="K754" s="916">
        <v>-0.13900000000000001</v>
      </c>
      <c r="L754" s="916">
        <v>-0.49199999999999999</v>
      </c>
    </row>
    <row r="755" spans="1:12" ht="14.5" x14ac:dyDescent="0.35">
      <c r="A755" s="915">
        <v>40508</v>
      </c>
      <c r="B755" s="743">
        <v>20.972200000000001</v>
      </c>
      <c r="C755" s="743">
        <v>12.262499999999999</v>
      </c>
      <c r="D755" s="915">
        <v>40508</v>
      </c>
      <c r="E755" s="743">
        <v>8.9368999999999996</v>
      </c>
      <c r="F755" s="743">
        <v>7.5597000000000003</v>
      </c>
      <c r="G755" s="915">
        <v>40508</v>
      </c>
      <c r="H755" s="743">
        <v>2.3925000000000001</v>
      </c>
      <c r="I755" s="743">
        <v>1.2084999999999999</v>
      </c>
      <c r="J755" s="916">
        <v>-0.41499999999999998</v>
      </c>
      <c r="K755" s="916">
        <v>-0.154</v>
      </c>
      <c r="L755" s="916">
        <v>-0.495</v>
      </c>
    </row>
    <row r="756" spans="1:12" ht="14.5" x14ac:dyDescent="0.35">
      <c r="A756" s="915">
        <v>40501</v>
      </c>
      <c r="B756" s="743">
        <v>20.790700000000001</v>
      </c>
      <c r="C756" s="743">
        <v>12.426600000000001</v>
      </c>
      <c r="D756" s="915">
        <v>40501</v>
      </c>
      <c r="E756" s="743">
        <v>8.9368999999999996</v>
      </c>
      <c r="F756" s="743">
        <v>7.5461</v>
      </c>
      <c r="G756" s="915">
        <v>40501</v>
      </c>
      <c r="H756" s="743">
        <v>2.3668999999999998</v>
      </c>
      <c r="I756" s="743">
        <v>1.2122999999999999</v>
      </c>
      <c r="J756" s="916">
        <v>-0.40200000000000002</v>
      </c>
      <c r="K756" s="916">
        <v>-0.156</v>
      </c>
      <c r="L756" s="916">
        <v>-0.48799999999999999</v>
      </c>
    </row>
    <row r="757" spans="1:12" ht="14.5" x14ac:dyDescent="0.35">
      <c r="A757" s="915">
        <v>40494</v>
      </c>
      <c r="B757" s="743">
        <v>20.816800000000001</v>
      </c>
      <c r="C757" s="743">
        <v>12.263299999999999</v>
      </c>
      <c r="D757" s="915">
        <v>40494</v>
      </c>
      <c r="E757" s="743">
        <v>8.9367000000000001</v>
      </c>
      <c r="F757" s="743">
        <v>7.5605000000000002</v>
      </c>
      <c r="G757" s="915">
        <v>40494</v>
      </c>
      <c r="H757" s="743">
        <v>2.3700999999999999</v>
      </c>
      <c r="I757" s="743">
        <v>1.1895</v>
      </c>
      <c r="J757" s="916">
        <v>-0.41099999999999998</v>
      </c>
      <c r="K757" s="916">
        <v>-0.154</v>
      </c>
      <c r="L757" s="916">
        <v>-0.498</v>
      </c>
    </row>
    <row r="758" spans="1:12" ht="14.5" x14ac:dyDescent="0.35">
      <c r="A758" s="915">
        <v>40487</v>
      </c>
      <c r="B758" s="743">
        <v>21.291599999999999</v>
      </c>
      <c r="C758" s="743">
        <v>12.386200000000001</v>
      </c>
      <c r="D758" s="915">
        <v>40487</v>
      </c>
      <c r="E758" s="743">
        <v>8.9366000000000003</v>
      </c>
      <c r="F758" s="743">
        <v>7.5589000000000004</v>
      </c>
      <c r="G758" s="915">
        <v>40487</v>
      </c>
      <c r="H758" s="743">
        <v>2.4283000000000001</v>
      </c>
      <c r="I758" s="743">
        <v>1.198</v>
      </c>
      <c r="J758" s="916">
        <v>-0.41799999999999998</v>
      </c>
      <c r="K758" s="916">
        <v>-0.154</v>
      </c>
      <c r="L758" s="916">
        <v>-0.50700000000000001</v>
      </c>
    </row>
    <row r="759" spans="1:12" ht="14.5" x14ac:dyDescent="0.35">
      <c r="A759" s="915">
        <v>40480</v>
      </c>
      <c r="B759" s="743">
        <v>20.685099999999998</v>
      </c>
      <c r="C759" s="743">
        <v>11.930099999999999</v>
      </c>
      <c r="D759" s="915">
        <v>40480</v>
      </c>
      <c r="E759" s="743">
        <v>8.9368999999999996</v>
      </c>
      <c r="F759" s="743">
        <v>7.5678000000000001</v>
      </c>
      <c r="G759" s="915">
        <v>40480</v>
      </c>
      <c r="H759" s="743">
        <v>2.3540000000000001</v>
      </c>
      <c r="I759" s="743">
        <v>1.1745000000000001</v>
      </c>
      <c r="J759" s="916">
        <v>-0.42299999999999999</v>
      </c>
      <c r="K759" s="916">
        <v>-0.153</v>
      </c>
      <c r="L759" s="916">
        <v>-0.501</v>
      </c>
    </row>
    <row r="760" spans="1:12" ht="14.5" x14ac:dyDescent="0.35">
      <c r="A760" s="915">
        <v>40473</v>
      </c>
      <c r="B760" s="743">
        <v>20.4879</v>
      </c>
      <c r="C760" s="743">
        <v>12.179600000000001</v>
      </c>
      <c r="D760" s="915">
        <v>40473</v>
      </c>
      <c r="E760" s="743">
        <v>8.9375999999999998</v>
      </c>
      <c r="F760" s="743">
        <v>7.5669000000000004</v>
      </c>
      <c r="G760" s="915">
        <v>40473</v>
      </c>
      <c r="H760" s="743">
        <v>2.3298000000000001</v>
      </c>
      <c r="I760" s="743">
        <v>1.1766000000000001</v>
      </c>
      <c r="J760" s="916">
        <v>-0.40600000000000003</v>
      </c>
      <c r="K760" s="916">
        <v>-0.153</v>
      </c>
      <c r="L760" s="916">
        <v>-0.495</v>
      </c>
    </row>
    <row r="761" spans="1:12" ht="14.5" x14ac:dyDescent="0.35">
      <c r="A761" s="915">
        <v>40466</v>
      </c>
      <c r="B761" s="743">
        <v>20.424900000000001</v>
      </c>
      <c r="C761" s="743">
        <v>12.004200000000001</v>
      </c>
      <c r="D761" s="915">
        <v>40466</v>
      </c>
      <c r="E761" s="743">
        <v>8.9375999999999998</v>
      </c>
      <c r="F761" s="743">
        <v>7.6414</v>
      </c>
      <c r="G761" s="915">
        <v>40466</v>
      </c>
      <c r="H761" s="743">
        <v>2.3220000000000001</v>
      </c>
      <c r="I761" s="743">
        <v>1.2241</v>
      </c>
      <c r="J761" s="916">
        <v>-0.41199999999999998</v>
      </c>
      <c r="K761" s="916">
        <v>-0.14499999999999999</v>
      </c>
      <c r="L761" s="916">
        <v>-0.47299999999999998</v>
      </c>
    </row>
    <row r="762" spans="1:12" ht="14.5" x14ac:dyDescent="0.35">
      <c r="A762" s="915">
        <v>40459</v>
      </c>
      <c r="B762" s="743">
        <v>19.7347</v>
      </c>
      <c r="C762" s="743">
        <v>11.952</v>
      </c>
      <c r="D762" s="915">
        <v>40459</v>
      </c>
      <c r="E762" s="743">
        <v>8.9366000000000003</v>
      </c>
      <c r="F762" s="743">
        <v>7.6443000000000003</v>
      </c>
      <c r="G762" s="915">
        <v>40459</v>
      </c>
      <c r="H762" s="743">
        <v>2.2374000000000001</v>
      </c>
      <c r="I762" s="743">
        <v>1.2235</v>
      </c>
      <c r="J762" s="916">
        <v>-0.39400000000000002</v>
      </c>
      <c r="K762" s="916">
        <v>-0.14499999999999999</v>
      </c>
      <c r="L762" s="916">
        <v>-0.45300000000000001</v>
      </c>
    </row>
    <row r="763" spans="1:12" ht="14.5" x14ac:dyDescent="0.35">
      <c r="A763" s="915">
        <v>40452</v>
      </c>
      <c r="B763" s="743">
        <v>19.438500000000001</v>
      </c>
      <c r="C763" s="743">
        <v>12.1374</v>
      </c>
      <c r="D763" s="915">
        <v>40452</v>
      </c>
      <c r="E763" s="743">
        <v>8.9367000000000001</v>
      </c>
      <c r="F763" s="743">
        <v>7.6252000000000004</v>
      </c>
      <c r="G763" s="915">
        <v>40452</v>
      </c>
      <c r="H763" s="743">
        <v>2.2010999999999998</v>
      </c>
      <c r="I763" s="743">
        <v>1.2623</v>
      </c>
      <c r="J763" s="916">
        <v>-0.376</v>
      </c>
      <c r="K763" s="916">
        <v>-0.14699999999999999</v>
      </c>
      <c r="L763" s="916">
        <v>-0.42699999999999999</v>
      </c>
    </row>
    <row r="764" spans="1:12" ht="14.5" x14ac:dyDescent="0.35">
      <c r="A764" s="915">
        <v>40445</v>
      </c>
      <c r="B764" s="743">
        <v>21.977699999999999</v>
      </c>
      <c r="C764" s="743">
        <v>11.9353</v>
      </c>
      <c r="D764" s="915">
        <v>40445</v>
      </c>
      <c r="E764" s="743">
        <v>11.1599</v>
      </c>
      <c r="F764" s="743">
        <v>7.6031000000000004</v>
      </c>
      <c r="G764" s="915">
        <v>40445</v>
      </c>
      <c r="H764" s="743">
        <v>2.3605</v>
      </c>
      <c r="I764" s="743">
        <v>1.2494000000000001</v>
      </c>
      <c r="J764" s="916">
        <v>-0.45700000000000002</v>
      </c>
      <c r="K764" s="916">
        <v>-0.31900000000000001</v>
      </c>
      <c r="L764" s="916">
        <v>-0.47099999999999997</v>
      </c>
    </row>
    <row r="765" spans="1:12" ht="14.5" x14ac:dyDescent="0.35">
      <c r="A765" s="915">
        <v>40438</v>
      </c>
      <c r="B765" s="743">
        <v>21.2392</v>
      </c>
      <c r="C765" s="743">
        <v>11.994199999999999</v>
      </c>
      <c r="D765" s="915">
        <v>40438</v>
      </c>
      <c r="E765" s="743">
        <v>11.1599</v>
      </c>
      <c r="F765" s="743">
        <v>7.6589999999999998</v>
      </c>
      <c r="G765" s="915">
        <v>40438</v>
      </c>
      <c r="H765" s="743">
        <v>2.2854999999999999</v>
      </c>
      <c r="I765" s="743">
        <v>1.242</v>
      </c>
      <c r="J765" s="916">
        <v>-0.435</v>
      </c>
      <c r="K765" s="916">
        <v>-0.314</v>
      </c>
      <c r="L765" s="916">
        <v>-0.45700000000000002</v>
      </c>
    </row>
    <row r="766" spans="1:12" ht="14.5" x14ac:dyDescent="0.35">
      <c r="A766" s="915">
        <v>40431</v>
      </c>
      <c r="B766" s="743">
        <v>20.559699999999999</v>
      </c>
      <c r="C766" s="743">
        <v>11.857200000000001</v>
      </c>
      <c r="D766" s="915">
        <v>40431</v>
      </c>
      <c r="E766" s="743">
        <v>11.1777</v>
      </c>
      <c r="F766" s="743">
        <v>7.6553000000000004</v>
      </c>
      <c r="G766" s="915">
        <v>40431</v>
      </c>
      <c r="H766" s="743">
        <v>2.2016</v>
      </c>
      <c r="I766" s="743">
        <v>1.2554000000000001</v>
      </c>
      <c r="J766" s="916">
        <v>-0.42299999999999999</v>
      </c>
      <c r="K766" s="916">
        <v>-0.315</v>
      </c>
      <c r="L766" s="916">
        <v>-0.43</v>
      </c>
    </row>
    <row r="767" spans="1:12" ht="14.5" x14ac:dyDescent="0.35">
      <c r="A767" s="915">
        <v>40424</v>
      </c>
      <c r="B767" s="743">
        <v>20.3203</v>
      </c>
      <c r="C767" s="743">
        <v>11.696400000000001</v>
      </c>
      <c r="D767" s="915">
        <v>40424</v>
      </c>
      <c r="E767" s="743">
        <v>11.1777</v>
      </c>
      <c r="F767" s="743">
        <v>7.6340000000000003</v>
      </c>
      <c r="G767" s="915">
        <v>40424</v>
      </c>
      <c r="H767" s="743">
        <v>2.1768000000000001</v>
      </c>
      <c r="I767" s="743">
        <v>1.2143999999999999</v>
      </c>
      <c r="J767" s="916">
        <v>-0.42399999999999999</v>
      </c>
      <c r="K767" s="916">
        <v>-0.317</v>
      </c>
      <c r="L767" s="916">
        <v>-0.442</v>
      </c>
    </row>
    <row r="768" spans="1:12" ht="14.5" x14ac:dyDescent="0.35">
      <c r="A768" s="915">
        <v>40417</v>
      </c>
      <c r="B768" s="743">
        <v>19.465599999999998</v>
      </c>
      <c r="C768" s="743">
        <v>11.3437</v>
      </c>
      <c r="D768" s="915">
        <v>40417</v>
      </c>
      <c r="E768" s="743">
        <v>11.1777</v>
      </c>
      <c r="F768" s="743">
        <v>7.5811999999999999</v>
      </c>
      <c r="G768" s="915">
        <v>40417</v>
      </c>
      <c r="H768" s="743">
        <v>2.0775000000000001</v>
      </c>
      <c r="I768" s="743">
        <v>1.1468</v>
      </c>
      <c r="J768" s="916">
        <v>-0.41699999999999998</v>
      </c>
      <c r="K768" s="916">
        <v>-0.32200000000000001</v>
      </c>
      <c r="L768" s="916">
        <v>-0.44800000000000001</v>
      </c>
    </row>
    <row r="769" spans="1:12" ht="14.5" x14ac:dyDescent="0.35">
      <c r="A769" s="915">
        <v>40410</v>
      </c>
      <c r="B769" s="743">
        <v>19.836200000000002</v>
      </c>
      <c r="C769" s="743">
        <v>11.632400000000001</v>
      </c>
      <c r="D769" s="915">
        <v>40410</v>
      </c>
      <c r="E769" s="743">
        <v>11.1777</v>
      </c>
      <c r="F769" s="743">
        <v>7.9499000000000004</v>
      </c>
      <c r="G769" s="915">
        <v>40410</v>
      </c>
      <c r="H769" s="743">
        <v>2.1204999999999998</v>
      </c>
      <c r="I769" s="743">
        <v>1.1694</v>
      </c>
      <c r="J769" s="916">
        <v>-0.41399999999999998</v>
      </c>
      <c r="K769" s="916">
        <v>-0.28899999999999998</v>
      </c>
      <c r="L769" s="916">
        <v>-0.44900000000000001</v>
      </c>
    </row>
    <row r="770" spans="1:12" ht="14.5" x14ac:dyDescent="0.35">
      <c r="A770" s="915">
        <v>40403</v>
      </c>
      <c r="B770" s="743">
        <v>19.7607</v>
      </c>
      <c r="C770" s="743">
        <v>12.9659</v>
      </c>
      <c r="D770" s="915">
        <v>40403</v>
      </c>
      <c r="E770" s="743">
        <v>11.1778</v>
      </c>
      <c r="F770" s="743">
        <v>8.0259</v>
      </c>
      <c r="G770" s="915">
        <v>40403</v>
      </c>
      <c r="H770" s="743">
        <v>2.1116999999999999</v>
      </c>
      <c r="I770" s="743">
        <v>1.1715</v>
      </c>
      <c r="J770" s="916">
        <v>-0.34399999999999997</v>
      </c>
      <c r="K770" s="916">
        <v>-0.28199999999999997</v>
      </c>
      <c r="L770" s="916">
        <v>-0.44500000000000001</v>
      </c>
    </row>
    <row r="771" spans="1:12" ht="14.5" x14ac:dyDescent="0.35">
      <c r="A771" s="915">
        <v>40396</v>
      </c>
      <c r="B771" s="743">
        <v>20.674199999999999</v>
      </c>
      <c r="C771" s="743">
        <v>13.2644</v>
      </c>
      <c r="D771" s="915">
        <v>40396</v>
      </c>
      <c r="E771" s="743">
        <v>11.1777</v>
      </c>
      <c r="F771" s="743">
        <v>8.0401000000000007</v>
      </c>
      <c r="G771" s="915">
        <v>40396</v>
      </c>
      <c r="H771" s="743">
        <v>2.2179000000000002</v>
      </c>
      <c r="I771" s="743">
        <v>1.1883999999999999</v>
      </c>
      <c r="J771" s="916">
        <v>-0.35799999999999998</v>
      </c>
      <c r="K771" s="916">
        <v>-0.28100000000000003</v>
      </c>
      <c r="L771" s="916">
        <v>-0.46400000000000002</v>
      </c>
    </row>
    <row r="772" spans="1:12" ht="14.5" x14ac:dyDescent="0.35">
      <c r="A772" s="915">
        <v>40389</v>
      </c>
      <c r="B772" s="743">
        <v>20.251799999999999</v>
      </c>
      <c r="C772" s="743">
        <v>13.06</v>
      </c>
      <c r="D772" s="915">
        <v>40389</v>
      </c>
      <c r="E772" s="743">
        <v>11.1768</v>
      </c>
      <c r="F772" s="743">
        <v>8.0404999999999998</v>
      </c>
      <c r="G772" s="915">
        <v>40389</v>
      </c>
      <c r="H772" s="743">
        <v>2.1688000000000001</v>
      </c>
      <c r="I772" s="743">
        <v>1.1755</v>
      </c>
      <c r="J772" s="916">
        <v>-0.35499999999999998</v>
      </c>
      <c r="K772" s="916">
        <v>-0.28100000000000003</v>
      </c>
      <c r="L772" s="916">
        <v>-0.45800000000000002</v>
      </c>
    </row>
    <row r="773" spans="1:12" ht="14.5" x14ac:dyDescent="0.35">
      <c r="A773" s="915">
        <v>40382</v>
      </c>
      <c r="B773" s="743">
        <v>20.375499999999999</v>
      </c>
      <c r="C773" s="743">
        <v>13.0779</v>
      </c>
      <c r="D773" s="915">
        <v>40382</v>
      </c>
      <c r="E773" s="743">
        <v>11.177300000000001</v>
      </c>
      <c r="F773" s="743">
        <v>8.0437999999999992</v>
      </c>
      <c r="G773" s="915">
        <v>40382</v>
      </c>
      <c r="H773" s="743">
        <v>2.1831999999999998</v>
      </c>
      <c r="I773" s="743">
        <v>1.1758</v>
      </c>
      <c r="J773" s="916">
        <v>-0.35799999999999998</v>
      </c>
      <c r="K773" s="916">
        <v>-0.28000000000000003</v>
      </c>
      <c r="L773" s="916">
        <v>-0.46100000000000002</v>
      </c>
    </row>
    <row r="774" spans="1:12" ht="14.5" x14ac:dyDescent="0.35">
      <c r="A774" s="915">
        <v>40375</v>
      </c>
      <c r="B774" s="743">
        <v>19.5944</v>
      </c>
      <c r="C774" s="743">
        <v>12.8977</v>
      </c>
      <c r="D774" s="915">
        <v>40375</v>
      </c>
      <c r="E774" s="743">
        <v>11.178599999999999</v>
      </c>
      <c r="F774" s="743">
        <v>8.0345999999999993</v>
      </c>
      <c r="G774" s="915">
        <v>40375</v>
      </c>
      <c r="H774" s="743">
        <v>2.0924</v>
      </c>
      <c r="I774" s="743">
        <v>1.1669</v>
      </c>
      <c r="J774" s="916">
        <v>-0.34200000000000003</v>
      </c>
      <c r="K774" s="916">
        <v>-0.28100000000000003</v>
      </c>
      <c r="L774" s="916">
        <v>-0.442</v>
      </c>
    </row>
    <row r="775" spans="1:12" ht="14.5" x14ac:dyDescent="0.35">
      <c r="A775" s="915">
        <v>40368</v>
      </c>
      <c r="B775" s="743">
        <v>19.717199999999998</v>
      </c>
      <c r="C775" s="743">
        <v>12.8291</v>
      </c>
      <c r="D775" s="915">
        <v>40368</v>
      </c>
      <c r="E775" s="743">
        <v>11.178699999999999</v>
      </c>
      <c r="F775" s="743">
        <v>8.0368999999999993</v>
      </c>
      <c r="G775" s="915">
        <v>40368</v>
      </c>
      <c r="H775" s="743">
        <v>2.1067</v>
      </c>
      <c r="I775" s="743">
        <v>1.1642999999999999</v>
      </c>
      <c r="J775" s="916">
        <v>-0.34899999999999998</v>
      </c>
      <c r="K775" s="916">
        <v>-0.28100000000000003</v>
      </c>
      <c r="L775" s="916">
        <v>-0.44700000000000001</v>
      </c>
    </row>
    <row r="776" spans="1:12" ht="14.5" x14ac:dyDescent="0.35">
      <c r="A776" s="915">
        <v>40361</v>
      </c>
      <c r="B776" s="743">
        <v>18.777999999999999</v>
      </c>
      <c r="C776" s="743">
        <v>12.4032</v>
      </c>
      <c r="D776" s="915">
        <v>40361</v>
      </c>
      <c r="E776" s="743">
        <v>11.178699999999999</v>
      </c>
      <c r="F776" s="743">
        <v>8.0342000000000002</v>
      </c>
      <c r="G776" s="915">
        <v>40361</v>
      </c>
      <c r="H776" s="743">
        <v>1.9976</v>
      </c>
      <c r="I776" s="743">
        <v>1.1398999999999999</v>
      </c>
      <c r="J776" s="916">
        <v>-0.33900000000000002</v>
      </c>
      <c r="K776" s="916">
        <v>-0.28100000000000003</v>
      </c>
      <c r="L776" s="916">
        <v>-0.42899999999999999</v>
      </c>
    </row>
    <row r="777" spans="1:12" ht="14.5" x14ac:dyDescent="0.35">
      <c r="A777" s="915">
        <v>40354</v>
      </c>
      <c r="B777" s="743">
        <v>22.875399999999999</v>
      </c>
      <c r="C777" s="743">
        <v>15.9732</v>
      </c>
      <c r="D777" s="915">
        <v>40354</v>
      </c>
      <c r="E777" s="743">
        <v>11.995699999999999</v>
      </c>
      <c r="F777" s="743">
        <v>6.4352</v>
      </c>
      <c r="G777" s="915">
        <v>40354</v>
      </c>
      <c r="H777" s="743">
        <v>2.2606000000000002</v>
      </c>
      <c r="I777" s="743">
        <v>0.99229999999999996</v>
      </c>
      <c r="J777" s="916">
        <v>-0.30199999999999999</v>
      </c>
      <c r="K777" s="916">
        <v>-0.46400000000000002</v>
      </c>
      <c r="L777" s="916">
        <v>-0.56100000000000005</v>
      </c>
    </row>
    <row r="778" spans="1:12" ht="14.5" x14ac:dyDescent="0.35">
      <c r="A778" s="915">
        <v>40347</v>
      </c>
      <c r="B778" s="743">
        <v>23.808</v>
      </c>
      <c r="C778" s="743">
        <v>15.8345</v>
      </c>
      <c r="D778" s="915">
        <v>40347</v>
      </c>
      <c r="E778" s="743">
        <v>11.995699999999999</v>
      </c>
      <c r="F778" s="743">
        <v>6.4276</v>
      </c>
      <c r="G778" s="915">
        <v>40347</v>
      </c>
      <c r="H778" s="743">
        <v>2.3599000000000001</v>
      </c>
      <c r="I778" s="743">
        <v>0.98550000000000004</v>
      </c>
      <c r="J778" s="916">
        <v>-0.33500000000000002</v>
      </c>
      <c r="K778" s="916">
        <v>-0.46400000000000002</v>
      </c>
      <c r="L778" s="916">
        <v>-0.58199999999999996</v>
      </c>
    </row>
    <row r="779" spans="1:12" ht="14.5" x14ac:dyDescent="0.35">
      <c r="A779" s="915">
        <v>40340</v>
      </c>
      <c r="B779" s="743">
        <v>22.982700000000001</v>
      </c>
      <c r="C779" s="743">
        <v>15.5219</v>
      </c>
      <c r="D779" s="915">
        <v>40340</v>
      </c>
      <c r="E779" s="743">
        <v>11.995699999999999</v>
      </c>
      <c r="F779" s="743">
        <v>6.4276</v>
      </c>
      <c r="G779" s="915">
        <v>40340</v>
      </c>
      <c r="H779" s="743">
        <v>2.2719999999999998</v>
      </c>
      <c r="I779" s="743">
        <v>0.96789999999999998</v>
      </c>
      <c r="J779" s="916">
        <v>-0.32500000000000001</v>
      </c>
      <c r="K779" s="916">
        <v>-0.46400000000000002</v>
      </c>
      <c r="L779" s="916">
        <v>-0.57399999999999995</v>
      </c>
    </row>
    <row r="780" spans="1:12" ht="14.5" x14ac:dyDescent="0.35">
      <c r="A780" s="915">
        <v>40333</v>
      </c>
      <c r="B780" s="743">
        <v>22.794699999999999</v>
      </c>
      <c r="C780" s="743">
        <v>15.441000000000001</v>
      </c>
      <c r="D780" s="915">
        <v>40333</v>
      </c>
      <c r="E780" s="743">
        <v>11.995699999999999</v>
      </c>
      <c r="F780" s="743">
        <v>6.4276</v>
      </c>
      <c r="G780" s="915">
        <v>40333</v>
      </c>
      <c r="H780" s="743">
        <v>2.2519999999999998</v>
      </c>
      <c r="I780" s="743">
        <v>0.95820000000000005</v>
      </c>
      <c r="J780" s="916">
        <v>-0.32300000000000001</v>
      </c>
      <c r="K780" s="916">
        <v>-0.46400000000000002</v>
      </c>
      <c r="L780" s="916">
        <v>-0.57499999999999996</v>
      </c>
    </row>
    <row r="781" spans="1:12" ht="14.5" x14ac:dyDescent="0.35">
      <c r="A781" s="915">
        <v>40326</v>
      </c>
      <c r="B781" s="743">
        <v>23.046099999999999</v>
      </c>
      <c r="C781" s="743">
        <v>15.020200000000001</v>
      </c>
      <c r="D781" s="915">
        <v>40326</v>
      </c>
      <c r="E781" s="743">
        <v>11.974299999999999</v>
      </c>
      <c r="F781" s="743">
        <v>6.4135999999999997</v>
      </c>
      <c r="G781" s="915">
        <v>40326</v>
      </c>
      <c r="H781" s="743">
        <v>2.2789999999999999</v>
      </c>
      <c r="I781" s="743">
        <v>0.94450000000000001</v>
      </c>
      <c r="J781" s="916">
        <v>-0.34799999999999998</v>
      </c>
      <c r="K781" s="916">
        <v>-0.46400000000000002</v>
      </c>
      <c r="L781" s="916">
        <v>-0.58599999999999997</v>
      </c>
    </row>
    <row r="782" spans="1:12" ht="14.5" x14ac:dyDescent="0.35">
      <c r="A782" s="915">
        <v>40319</v>
      </c>
      <c r="B782" s="743">
        <v>22.677600000000002</v>
      </c>
      <c r="C782" s="743">
        <v>14.7506</v>
      </c>
      <c r="D782" s="915">
        <v>40319</v>
      </c>
      <c r="E782" s="743">
        <v>11.974299999999999</v>
      </c>
      <c r="F782" s="743">
        <v>6.399</v>
      </c>
      <c r="G782" s="915">
        <v>40319</v>
      </c>
      <c r="H782" s="743">
        <v>2.2423999999999999</v>
      </c>
      <c r="I782" s="743">
        <v>0.92989999999999995</v>
      </c>
      <c r="J782" s="916">
        <v>-0.35</v>
      </c>
      <c r="K782" s="916">
        <v>-0.46600000000000003</v>
      </c>
      <c r="L782" s="916">
        <v>-0.58499999999999996</v>
      </c>
    </row>
    <row r="783" spans="1:12" ht="14.5" x14ac:dyDescent="0.35">
      <c r="A783" s="915">
        <v>40312</v>
      </c>
      <c r="B783" s="743">
        <v>23.725100000000001</v>
      </c>
      <c r="C783" s="743">
        <v>15.6214</v>
      </c>
      <c r="D783" s="915">
        <v>40312</v>
      </c>
      <c r="E783" s="743">
        <v>11.9749</v>
      </c>
      <c r="F783" s="743">
        <v>6.3954000000000004</v>
      </c>
      <c r="G783" s="915">
        <v>40312</v>
      </c>
      <c r="H783" s="743">
        <v>2.3538999999999999</v>
      </c>
      <c r="I783" s="743">
        <v>0.95820000000000005</v>
      </c>
      <c r="J783" s="916">
        <v>-0.34200000000000003</v>
      </c>
      <c r="K783" s="916">
        <v>-0.46600000000000003</v>
      </c>
      <c r="L783" s="916">
        <v>-0.59299999999999997</v>
      </c>
    </row>
    <row r="784" spans="1:12" ht="14.5" x14ac:dyDescent="0.35">
      <c r="A784" s="915">
        <v>40305</v>
      </c>
      <c r="B784" s="743">
        <v>23.020600000000002</v>
      </c>
      <c r="C784" s="743">
        <v>15.2134</v>
      </c>
      <c r="D784" s="915">
        <v>40305</v>
      </c>
      <c r="E784" s="743">
        <v>11.9742</v>
      </c>
      <c r="F784" s="743">
        <v>6.3954000000000004</v>
      </c>
      <c r="G784" s="915">
        <v>40305</v>
      </c>
      <c r="H784" s="743">
        <v>2.2761999999999998</v>
      </c>
      <c r="I784" s="743">
        <v>0.94320000000000004</v>
      </c>
      <c r="J784" s="916">
        <v>-0.33900000000000002</v>
      </c>
      <c r="K784" s="916">
        <v>-0.46600000000000003</v>
      </c>
      <c r="L784" s="916">
        <v>-0.58599999999999997</v>
      </c>
    </row>
    <row r="785" spans="1:12" ht="14.5" x14ac:dyDescent="0.35">
      <c r="A785" s="915">
        <v>40298</v>
      </c>
      <c r="B785" s="743">
        <v>24.904</v>
      </c>
      <c r="C785" s="743">
        <v>16.128299999999999</v>
      </c>
      <c r="D785" s="915">
        <v>40298</v>
      </c>
      <c r="E785" s="743">
        <v>11.9747</v>
      </c>
      <c r="F785" s="743">
        <v>6.3954000000000004</v>
      </c>
      <c r="G785" s="915">
        <v>40298</v>
      </c>
      <c r="H785" s="743">
        <v>2.4765999999999999</v>
      </c>
      <c r="I785" s="743">
        <v>0.9768</v>
      </c>
      <c r="J785" s="916">
        <v>-0.35199999999999998</v>
      </c>
      <c r="K785" s="916">
        <v>-0.46600000000000003</v>
      </c>
      <c r="L785" s="916">
        <v>-0.60599999999999998</v>
      </c>
    </row>
    <row r="786" spans="1:12" ht="14.5" x14ac:dyDescent="0.35">
      <c r="A786" s="915">
        <v>40291</v>
      </c>
      <c r="B786" s="743">
        <v>25.584900000000001</v>
      </c>
      <c r="C786" s="743">
        <v>15.9831</v>
      </c>
      <c r="D786" s="915">
        <v>40291</v>
      </c>
      <c r="E786" s="743">
        <v>11.9747</v>
      </c>
      <c r="F786" s="743">
        <v>6.343</v>
      </c>
      <c r="G786" s="915">
        <v>40291</v>
      </c>
      <c r="H786" s="743">
        <v>2.5491000000000001</v>
      </c>
      <c r="I786" s="743">
        <v>0.96779999999999999</v>
      </c>
      <c r="J786" s="916">
        <v>-0.375</v>
      </c>
      <c r="K786" s="916">
        <v>-0.47</v>
      </c>
      <c r="L786" s="916">
        <v>-0.62</v>
      </c>
    </row>
    <row r="787" spans="1:12" ht="14.5" x14ac:dyDescent="0.35">
      <c r="A787" s="915">
        <v>40284</v>
      </c>
      <c r="B787" s="743">
        <v>25.056000000000001</v>
      </c>
      <c r="C787" s="743">
        <v>16.013400000000001</v>
      </c>
      <c r="D787" s="915">
        <v>40284</v>
      </c>
      <c r="E787" s="743">
        <v>11.9739</v>
      </c>
      <c r="F787" s="743">
        <v>6.343</v>
      </c>
      <c r="G787" s="915">
        <v>40284</v>
      </c>
      <c r="H787" s="743">
        <v>2.4914000000000001</v>
      </c>
      <c r="I787" s="743">
        <v>0.96889999999999998</v>
      </c>
      <c r="J787" s="916">
        <v>-0.36099999999999999</v>
      </c>
      <c r="K787" s="916">
        <v>-0.47</v>
      </c>
      <c r="L787" s="916">
        <v>-0.61099999999999999</v>
      </c>
    </row>
    <row r="788" spans="1:12" ht="14.5" x14ac:dyDescent="0.35">
      <c r="A788" s="915">
        <v>40277</v>
      </c>
      <c r="B788" s="743">
        <v>24.826799999999999</v>
      </c>
      <c r="C788" s="743">
        <v>15.9557</v>
      </c>
      <c r="D788" s="915">
        <v>40277</v>
      </c>
      <c r="E788" s="743">
        <v>11.9739</v>
      </c>
      <c r="F788" s="743">
        <v>6.343</v>
      </c>
      <c r="G788" s="915">
        <v>40277</v>
      </c>
      <c r="H788" s="743">
        <v>2.4670000000000001</v>
      </c>
      <c r="I788" s="743">
        <v>0.96679999999999999</v>
      </c>
      <c r="J788" s="916">
        <v>-0.35699999999999998</v>
      </c>
      <c r="K788" s="916">
        <v>-0.47</v>
      </c>
      <c r="L788" s="916">
        <v>-0.60799999999999998</v>
      </c>
    </row>
    <row r="789" spans="1:12" ht="14.5" x14ac:dyDescent="0.35">
      <c r="A789" s="915">
        <v>40270</v>
      </c>
      <c r="B789" s="743">
        <v>24.392700000000001</v>
      </c>
      <c r="C789" s="743">
        <v>15.946</v>
      </c>
      <c r="D789" s="915">
        <v>40270</v>
      </c>
      <c r="E789" s="743">
        <v>11.9739</v>
      </c>
      <c r="F789" s="743">
        <v>6.343</v>
      </c>
      <c r="G789" s="915">
        <v>40270</v>
      </c>
      <c r="H789" s="743">
        <v>2.4207999999999998</v>
      </c>
      <c r="I789" s="743">
        <v>0.96640000000000004</v>
      </c>
      <c r="J789" s="916">
        <v>-0.34599999999999997</v>
      </c>
      <c r="K789" s="916">
        <v>-0.47</v>
      </c>
      <c r="L789" s="916">
        <v>-0.60099999999999998</v>
      </c>
    </row>
    <row r="790" spans="1:12" ht="14.5" x14ac:dyDescent="0.35">
      <c r="A790" s="915">
        <v>40263</v>
      </c>
      <c r="B790" s="743">
        <v>29.671199999999999</v>
      </c>
      <c r="C790" s="743">
        <v>16.750900000000001</v>
      </c>
      <c r="D790" s="915">
        <v>40263</v>
      </c>
      <c r="E790" s="743">
        <v>15.3833</v>
      </c>
      <c r="F790" s="743">
        <v>7.3491999999999997</v>
      </c>
      <c r="G790" s="915">
        <v>40263</v>
      </c>
      <c r="H790" s="743">
        <v>2.5617000000000001</v>
      </c>
      <c r="I790" s="743">
        <v>1.0829</v>
      </c>
      <c r="J790" s="916">
        <v>-0.435</v>
      </c>
      <c r="K790" s="916">
        <v>-0.52200000000000002</v>
      </c>
      <c r="L790" s="916">
        <v>-0.57699999999999996</v>
      </c>
    </row>
    <row r="791" spans="1:12" ht="14.5" x14ac:dyDescent="0.35">
      <c r="A791" s="915">
        <v>40256</v>
      </c>
      <c r="B791" s="743">
        <v>29.3643</v>
      </c>
      <c r="C791" s="743">
        <v>16.6066</v>
      </c>
      <c r="D791" s="915">
        <v>40256</v>
      </c>
      <c r="E791" s="743">
        <v>15.384499999999999</v>
      </c>
      <c r="F791" s="743">
        <v>7.3491999999999997</v>
      </c>
      <c r="G791" s="915">
        <v>40256</v>
      </c>
      <c r="H791" s="743">
        <v>2.5299</v>
      </c>
      <c r="I791" s="743">
        <v>1.0775999999999999</v>
      </c>
      <c r="J791" s="916">
        <v>-0.434</v>
      </c>
      <c r="K791" s="916">
        <v>-0.52200000000000002</v>
      </c>
      <c r="L791" s="916">
        <v>-0.57399999999999995</v>
      </c>
    </row>
    <row r="792" spans="1:12" ht="14.5" x14ac:dyDescent="0.35">
      <c r="A792" s="915">
        <v>40249</v>
      </c>
      <c r="B792" s="743">
        <v>29.242699999999999</v>
      </c>
      <c r="C792" s="743">
        <v>16.181899999999999</v>
      </c>
      <c r="D792" s="915">
        <v>40249</v>
      </c>
      <c r="E792" s="743">
        <v>15.384499999999999</v>
      </c>
      <c r="F792" s="743">
        <v>7.3710000000000004</v>
      </c>
      <c r="G792" s="915">
        <v>40249</v>
      </c>
      <c r="H792" s="743">
        <v>2.5186000000000002</v>
      </c>
      <c r="I792" s="743">
        <v>1.0845</v>
      </c>
      <c r="J792" s="916">
        <v>-0.44700000000000001</v>
      </c>
      <c r="K792" s="916">
        <v>-0.52100000000000002</v>
      </c>
      <c r="L792" s="916">
        <v>-0.56899999999999995</v>
      </c>
    </row>
    <row r="793" spans="1:12" ht="14.5" x14ac:dyDescent="0.35">
      <c r="A793" s="915">
        <v>40242</v>
      </c>
      <c r="B793" s="743">
        <v>28.697600000000001</v>
      </c>
      <c r="C793" s="743">
        <v>20.1937</v>
      </c>
      <c r="D793" s="915">
        <v>40242</v>
      </c>
      <c r="E793" s="743">
        <v>15.384499999999999</v>
      </c>
      <c r="F793" s="743">
        <v>8.0734999999999992</v>
      </c>
      <c r="G793" s="915">
        <v>40242</v>
      </c>
      <c r="H793" s="743">
        <v>2.4683000000000002</v>
      </c>
      <c r="I793" s="743">
        <v>1.1758</v>
      </c>
      <c r="J793" s="916">
        <v>-0.29599999999999999</v>
      </c>
      <c r="K793" s="916">
        <v>-0.47499999999999998</v>
      </c>
      <c r="L793" s="916">
        <v>-0.52400000000000002</v>
      </c>
    </row>
    <row r="794" spans="1:12" ht="14.5" x14ac:dyDescent="0.35">
      <c r="A794" s="915">
        <v>40235</v>
      </c>
      <c r="B794" s="743">
        <v>27.6358</v>
      </c>
      <c r="C794" s="743">
        <v>19.603300000000001</v>
      </c>
      <c r="D794" s="915">
        <v>40235</v>
      </c>
      <c r="E794" s="743">
        <v>15.313599999999999</v>
      </c>
      <c r="F794" s="743">
        <v>8.6046999999999993</v>
      </c>
      <c r="G794" s="915">
        <v>40235</v>
      </c>
      <c r="H794" s="743">
        <v>2.3700999999999999</v>
      </c>
      <c r="I794" s="743">
        <v>1.2842</v>
      </c>
      <c r="J794" s="916">
        <v>-0.29099999999999998</v>
      </c>
      <c r="K794" s="916">
        <v>-0.438</v>
      </c>
      <c r="L794" s="916">
        <v>-0.45800000000000002</v>
      </c>
    </row>
    <row r="795" spans="1:12" ht="14.5" x14ac:dyDescent="0.35">
      <c r="A795" s="915">
        <v>40228</v>
      </c>
      <c r="B795" s="743">
        <v>27.706299999999999</v>
      </c>
      <c r="C795" s="743">
        <v>19.4191</v>
      </c>
      <c r="D795" s="915">
        <v>40228</v>
      </c>
      <c r="E795" s="743">
        <v>15.313599999999999</v>
      </c>
      <c r="F795" s="743">
        <v>9.6318000000000001</v>
      </c>
      <c r="G795" s="915">
        <v>40228</v>
      </c>
      <c r="H795" s="743">
        <v>2.3765999999999998</v>
      </c>
      <c r="I795" s="743">
        <v>1.2717000000000001</v>
      </c>
      <c r="J795" s="916">
        <v>-0.29899999999999999</v>
      </c>
      <c r="K795" s="916">
        <v>-0.371</v>
      </c>
      <c r="L795" s="916">
        <v>-0.46500000000000002</v>
      </c>
    </row>
    <row r="796" spans="1:12" ht="14.5" x14ac:dyDescent="0.35">
      <c r="A796" s="915">
        <v>40221</v>
      </c>
      <c r="B796" s="743">
        <v>27.034500000000001</v>
      </c>
      <c r="C796" s="743">
        <v>19.6509</v>
      </c>
      <c r="D796" s="915">
        <v>40221</v>
      </c>
      <c r="E796" s="743">
        <v>15.313599999999999</v>
      </c>
      <c r="F796" s="743">
        <v>9.6370000000000005</v>
      </c>
      <c r="G796" s="915">
        <v>40221</v>
      </c>
      <c r="H796" s="743">
        <v>2.3163</v>
      </c>
      <c r="I796" s="743">
        <v>1.2703</v>
      </c>
      <c r="J796" s="916">
        <v>-0.27300000000000002</v>
      </c>
      <c r="K796" s="916">
        <v>-0.371</v>
      </c>
      <c r="L796" s="916">
        <v>-0.45200000000000001</v>
      </c>
    </row>
    <row r="797" spans="1:12" ht="14.5" x14ac:dyDescent="0.35">
      <c r="A797" s="915">
        <v>40214</v>
      </c>
      <c r="B797" s="743">
        <v>26.533200000000001</v>
      </c>
      <c r="C797" s="743">
        <v>19.102599999999999</v>
      </c>
      <c r="D797" s="915">
        <v>40214</v>
      </c>
      <c r="E797" s="743">
        <v>15.3126</v>
      </c>
      <c r="F797" s="743">
        <v>9.6366999999999994</v>
      </c>
      <c r="G797" s="915">
        <v>40214</v>
      </c>
      <c r="H797" s="743">
        <v>2.27</v>
      </c>
      <c r="I797" s="743">
        <v>1.3127</v>
      </c>
      <c r="J797" s="916">
        <v>-0.28000000000000003</v>
      </c>
      <c r="K797" s="916">
        <v>-0.371</v>
      </c>
      <c r="L797" s="916">
        <v>-0.42199999999999999</v>
      </c>
    </row>
    <row r="798" spans="1:12" ht="14.5" x14ac:dyDescent="0.35">
      <c r="A798" s="915">
        <v>40207</v>
      </c>
      <c r="B798" s="743">
        <v>26.456</v>
      </c>
      <c r="C798" s="743">
        <v>19.641999999999999</v>
      </c>
      <c r="D798" s="915">
        <v>40207</v>
      </c>
      <c r="E798" s="743">
        <v>15.312099999999999</v>
      </c>
      <c r="F798" s="743">
        <v>9.6232000000000006</v>
      </c>
      <c r="G798" s="915">
        <v>40207</v>
      </c>
      <c r="H798" s="743">
        <v>2.2627999999999999</v>
      </c>
      <c r="I798" s="743">
        <v>1.3307</v>
      </c>
      <c r="J798" s="916">
        <v>-0.25800000000000001</v>
      </c>
      <c r="K798" s="916">
        <v>-0.372</v>
      </c>
      <c r="L798" s="916">
        <v>-0.41199999999999998</v>
      </c>
    </row>
    <row r="799" spans="1:12" ht="14.5" x14ac:dyDescent="0.35">
      <c r="A799" s="915">
        <v>40200</v>
      </c>
      <c r="B799" s="743">
        <v>27.273199999999999</v>
      </c>
      <c r="C799" s="743">
        <v>16.2956</v>
      </c>
      <c r="D799" s="915">
        <v>40200</v>
      </c>
      <c r="E799" s="743">
        <v>15.314299999999999</v>
      </c>
      <c r="F799" s="743">
        <v>9.5467999999999993</v>
      </c>
      <c r="G799" s="915">
        <v>40200</v>
      </c>
      <c r="H799" s="743">
        <v>2.3384</v>
      </c>
      <c r="I799" s="743">
        <v>1.4173</v>
      </c>
      <c r="J799" s="916">
        <v>-0.40300000000000002</v>
      </c>
      <c r="K799" s="916">
        <v>-0.377</v>
      </c>
      <c r="L799" s="916">
        <v>-0.39400000000000002</v>
      </c>
    </row>
    <row r="800" spans="1:12" ht="14.5" x14ac:dyDescent="0.35">
      <c r="A800" s="915">
        <v>40193</v>
      </c>
      <c r="B800" s="743">
        <v>28.3323</v>
      </c>
      <c r="C800" s="743">
        <v>16.564</v>
      </c>
      <c r="D800" s="915">
        <v>40193</v>
      </c>
      <c r="E800" s="743">
        <v>15.314299999999999</v>
      </c>
      <c r="F800" s="743">
        <v>9.5436999999999994</v>
      </c>
      <c r="G800" s="915">
        <v>40193</v>
      </c>
      <c r="H800" s="743">
        <v>2.4363000000000001</v>
      </c>
      <c r="I800" s="743">
        <v>1.5122</v>
      </c>
      <c r="J800" s="916">
        <v>-0.41499999999999998</v>
      </c>
      <c r="K800" s="916">
        <v>-0.377</v>
      </c>
      <c r="L800" s="916">
        <v>-0.379</v>
      </c>
    </row>
    <row r="801" spans="1:12" ht="14.5" x14ac:dyDescent="0.35">
      <c r="A801" s="915">
        <v>40186</v>
      </c>
      <c r="B801" s="743">
        <v>28.758900000000001</v>
      </c>
      <c r="C801" s="743">
        <v>16.549299999999999</v>
      </c>
      <c r="D801" s="915">
        <v>40186</v>
      </c>
      <c r="E801" s="743">
        <v>15.3161</v>
      </c>
      <c r="F801" s="743">
        <v>9.5457999999999998</v>
      </c>
      <c r="G801" s="915">
        <v>40186</v>
      </c>
      <c r="H801" s="743">
        <v>2.4758</v>
      </c>
      <c r="I801" s="743">
        <v>1.5121</v>
      </c>
      <c r="J801" s="916">
        <v>-0.42499999999999999</v>
      </c>
      <c r="K801" s="916">
        <v>-0.377</v>
      </c>
      <c r="L801" s="916">
        <v>-0.38900000000000001</v>
      </c>
    </row>
    <row r="802" spans="1:12" ht="14.5" x14ac:dyDescent="0.35">
      <c r="A802" s="915">
        <v>40179</v>
      </c>
      <c r="B802" s="743">
        <v>28.2684</v>
      </c>
      <c r="C802" s="743">
        <v>16.543399999999998</v>
      </c>
      <c r="D802" s="915">
        <v>40179</v>
      </c>
      <c r="E802" s="743">
        <v>15.311299999999999</v>
      </c>
      <c r="F802" s="743">
        <v>9.5474999999999994</v>
      </c>
      <c r="G802" s="915">
        <v>40179</v>
      </c>
      <c r="H802" s="743">
        <v>2.4298000000000002</v>
      </c>
      <c r="I802" s="743">
        <v>1.5107999999999999</v>
      </c>
      <c r="J802" s="916">
        <v>-0.41499999999999998</v>
      </c>
      <c r="K802" s="916">
        <v>-0.376</v>
      </c>
      <c r="L802" s="916">
        <v>-0.378</v>
      </c>
    </row>
    <row r="803" spans="1:12" ht="14.5" x14ac:dyDescent="0.35">
      <c r="A803" s="915">
        <v>40172</v>
      </c>
      <c r="B803" s="743">
        <v>28.364999999999998</v>
      </c>
      <c r="C803" s="743">
        <v>18.728100000000001</v>
      </c>
      <c r="D803" s="915">
        <v>40172</v>
      </c>
      <c r="E803" s="743">
        <v>13.261699999999999</v>
      </c>
      <c r="F803" s="743">
        <v>8.2958999999999996</v>
      </c>
      <c r="G803" s="915">
        <v>40172</v>
      </c>
      <c r="H803" s="743">
        <v>2.4458000000000002</v>
      </c>
      <c r="I803" s="743">
        <v>1.4233</v>
      </c>
      <c r="J803" s="916">
        <v>-0.34</v>
      </c>
      <c r="K803" s="916">
        <v>-0.374</v>
      </c>
      <c r="L803" s="916">
        <v>-0.41799999999999998</v>
      </c>
    </row>
    <row r="804" spans="1:12" ht="14.5" x14ac:dyDescent="0.35">
      <c r="A804" s="915">
        <v>40165</v>
      </c>
      <c r="B804" s="743">
        <v>27.417200000000001</v>
      </c>
      <c r="C804" s="743">
        <v>18.279900000000001</v>
      </c>
      <c r="D804" s="915">
        <v>40165</v>
      </c>
      <c r="E804" s="743">
        <v>13.261799999999999</v>
      </c>
      <c r="F804" s="743">
        <v>8.2946000000000009</v>
      </c>
      <c r="G804" s="915">
        <v>40165</v>
      </c>
      <c r="H804" s="743">
        <v>2.3128000000000002</v>
      </c>
      <c r="I804" s="743">
        <v>1.4044000000000001</v>
      </c>
      <c r="J804" s="916">
        <v>-0.33300000000000002</v>
      </c>
      <c r="K804" s="916">
        <v>-0.375</v>
      </c>
      <c r="L804" s="916">
        <v>-0.39300000000000002</v>
      </c>
    </row>
    <row r="805" spans="1:12" ht="14.5" x14ac:dyDescent="0.35">
      <c r="A805" s="915">
        <v>40158</v>
      </c>
      <c r="B805" s="743">
        <v>27.185099999999998</v>
      </c>
      <c r="C805" s="743">
        <v>18.732099999999999</v>
      </c>
      <c r="D805" s="915">
        <v>40158</v>
      </c>
      <c r="E805" s="743">
        <v>13.261799999999999</v>
      </c>
      <c r="F805" s="743">
        <v>8.3017000000000003</v>
      </c>
      <c r="G805" s="915">
        <v>40158</v>
      </c>
      <c r="H805" s="743">
        <v>2.2919999999999998</v>
      </c>
      <c r="I805" s="743">
        <v>1.4177</v>
      </c>
      <c r="J805" s="916">
        <v>-0.311</v>
      </c>
      <c r="K805" s="916">
        <v>-0.374</v>
      </c>
      <c r="L805" s="916">
        <v>-0.38100000000000001</v>
      </c>
    </row>
    <row r="806" spans="1:12" ht="14.5" x14ac:dyDescent="0.35">
      <c r="A806" s="915">
        <v>40151</v>
      </c>
      <c r="B806" s="743">
        <v>27.1828</v>
      </c>
      <c r="C806" s="743">
        <v>18.389099999999999</v>
      </c>
      <c r="D806" s="915">
        <v>40151</v>
      </c>
      <c r="E806" s="743">
        <v>13.261799999999999</v>
      </c>
      <c r="F806" s="743">
        <v>8.2925000000000004</v>
      </c>
      <c r="G806" s="915">
        <v>40151</v>
      </c>
      <c r="H806" s="743">
        <v>2.2917999999999998</v>
      </c>
      <c r="I806" s="743">
        <v>1.4026000000000001</v>
      </c>
      <c r="J806" s="916">
        <v>-0.32400000000000001</v>
      </c>
      <c r="K806" s="916">
        <v>-0.375</v>
      </c>
      <c r="L806" s="916">
        <v>-0.38800000000000001</v>
      </c>
    </row>
    <row r="807" spans="1:12" ht="14.5" x14ac:dyDescent="0.35">
      <c r="A807" s="915">
        <v>40144</v>
      </c>
      <c r="B807" s="743">
        <v>26.781600000000001</v>
      </c>
      <c r="C807" s="743">
        <v>16.292899999999999</v>
      </c>
      <c r="D807" s="915">
        <v>40144</v>
      </c>
      <c r="E807" s="743">
        <v>13.261900000000001</v>
      </c>
      <c r="F807" s="743">
        <v>8.3472000000000008</v>
      </c>
      <c r="G807" s="915">
        <v>40144</v>
      </c>
      <c r="H807" s="743">
        <v>2.2557999999999998</v>
      </c>
      <c r="I807" s="743">
        <v>1.3655999999999999</v>
      </c>
      <c r="J807" s="916">
        <v>-0.39200000000000002</v>
      </c>
      <c r="K807" s="916">
        <v>-0.371</v>
      </c>
      <c r="L807" s="916">
        <v>-0.39500000000000002</v>
      </c>
    </row>
    <row r="808" spans="1:12" ht="14.5" x14ac:dyDescent="0.35">
      <c r="A808" s="915">
        <v>40137</v>
      </c>
      <c r="B808" s="743">
        <v>26.7654</v>
      </c>
      <c r="C808" s="743">
        <v>17.3888</v>
      </c>
      <c r="D808" s="915">
        <v>40137</v>
      </c>
      <c r="E808" s="743">
        <v>13.261900000000001</v>
      </c>
      <c r="F808" s="743">
        <v>8.3475999999999999</v>
      </c>
      <c r="G808" s="915">
        <v>40137</v>
      </c>
      <c r="H808" s="743">
        <v>2.2543000000000002</v>
      </c>
      <c r="I808" s="743">
        <v>1.4138999999999999</v>
      </c>
      <c r="J808" s="916">
        <v>-0.35</v>
      </c>
      <c r="K808" s="916">
        <v>-0.371</v>
      </c>
      <c r="L808" s="916">
        <v>-0.373</v>
      </c>
    </row>
    <row r="809" spans="1:12" ht="14.5" x14ac:dyDescent="0.35">
      <c r="A809" s="915">
        <v>40130</v>
      </c>
      <c r="B809" s="743">
        <v>27.1328</v>
      </c>
      <c r="C809" s="743">
        <v>17.006399999999999</v>
      </c>
      <c r="D809" s="915">
        <v>40130</v>
      </c>
      <c r="E809" s="743">
        <v>13.261900000000001</v>
      </c>
      <c r="F809" s="743">
        <v>8.3238000000000003</v>
      </c>
      <c r="G809" s="915">
        <v>40130</v>
      </c>
      <c r="H809" s="743">
        <v>2.2887</v>
      </c>
      <c r="I809" s="743">
        <v>1.3875</v>
      </c>
      <c r="J809" s="916">
        <v>-0.373</v>
      </c>
      <c r="K809" s="916">
        <v>-0.372</v>
      </c>
      <c r="L809" s="916">
        <v>-0.39400000000000002</v>
      </c>
    </row>
    <row r="810" spans="1:12" ht="14.5" x14ac:dyDescent="0.35">
      <c r="A810" s="915">
        <v>40123</v>
      </c>
      <c r="B810" s="743">
        <v>26.255199999999999</v>
      </c>
      <c r="C810" s="743">
        <v>16.9862</v>
      </c>
      <c r="D810" s="915">
        <v>40123</v>
      </c>
      <c r="E810" s="743">
        <v>13.262</v>
      </c>
      <c r="F810" s="743">
        <v>8.3323</v>
      </c>
      <c r="G810" s="915">
        <v>40123</v>
      </c>
      <c r="H810" s="743">
        <v>2.2099000000000002</v>
      </c>
      <c r="I810" s="743">
        <v>1.3858999999999999</v>
      </c>
      <c r="J810" s="916">
        <v>-0.35299999999999998</v>
      </c>
      <c r="K810" s="916">
        <v>-0.372</v>
      </c>
      <c r="L810" s="916">
        <v>-0.373</v>
      </c>
    </row>
    <row r="811" spans="1:12" ht="14.5" x14ac:dyDescent="0.35">
      <c r="A811" s="915">
        <v>40116</v>
      </c>
      <c r="B811" s="743">
        <v>25.289899999999999</v>
      </c>
      <c r="C811" s="743">
        <v>17.232199999999999</v>
      </c>
      <c r="D811" s="915">
        <v>40116</v>
      </c>
      <c r="E811" s="743">
        <v>13.2645</v>
      </c>
      <c r="F811" s="743">
        <v>8.3089999999999993</v>
      </c>
      <c r="G811" s="915">
        <v>40116</v>
      </c>
      <c r="H811" s="743">
        <v>2.1234999999999999</v>
      </c>
      <c r="I811" s="743">
        <v>1.3914</v>
      </c>
      <c r="J811" s="916">
        <v>-0.31900000000000001</v>
      </c>
      <c r="K811" s="916">
        <v>-0.374</v>
      </c>
      <c r="L811" s="916">
        <v>-0.34499999999999997</v>
      </c>
    </row>
    <row r="812" spans="1:12" ht="14.5" x14ac:dyDescent="0.35">
      <c r="A812" s="915">
        <v>40109</v>
      </c>
      <c r="B812" s="743">
        <v>26.6021</v>
      </c>
      <c r="C812" s="743">
        <v>18.103899999999999</v>
      </c>
      <c r="D812" s="915">
        <v>40109</v>
      </c>
      <c r="E812" s="743">
        <v>13.2662</v>
      </c>
      <c r="F812" s="743">
        <v>8.3584999999999994</v>
      </c>
      <c r="G812" s="915">
        <v>40109</v>
      </c>
      <c r="H812" s="743">
        <v>2.2433999999999998</v>
      </c>
      <c r="I812" s="743">
        <v>1.4226000000000001</v>
      </c>
      <c r="J812" s="916">
        <v>-0.31900000000000001</v>
      </c>
      <c r="K812" s="916">
        <v>-0.37</v>
      </c>
      <c r="L812" s="916">
        <v>-0.36599999999999999</v>
      </c>
    </row>
    <row r="813" spans="1:12" ht="14.5" x14ac:dyDescent="0.35">
      <c r="A813" s="915">
        <v>40102</v>
      </c>
      <c r="B813" s="743">
        <v>26.385000000000002</v>
      </c>
      <c r="C813" s="743">
        <v>18.181000000000001</v>
      </c>
      <c r="D813" s="915">
        <v>40102</v>
      </c>
      <c r="E813" s="743">
        <v>13.268000000000001</v>
      </c>
      <c r="F813" s="743">
        <v>8.3727999999999998</v>
      </c>
      <c r="G813" s="915">
        <v>40102</v>
      </c>
      <c r="H813" s="743">
        <v>2.2239</v>
      </c>
      <c r="I813" s="743">
        <v>1.4234</v>
      </c>
      <c r="J813" s="916">
        <v>-0.311</v>
      </c>
      <c r="K813" s="916">
        <v>-0.36899999999999999</v>
      </c>
      <c r="L813" s="916">
        <v>-0.36</v>
      </c>
    </row>
    <row r="814" spans="1:12" ht="14.5" x14ac:dyDescent="0.35">
      <c r="A814" s="915">
        <v>40095</v>
      </c>
      <c r="B814" s="743">
        <v>26.209700000000002</v>
      </c>
      <c r="C814" s="743">
        <v>18.580400000000001</v>
      </c>
      <c r="D814" s="915">
        <v>40095</v>
      </c>
      <c r="E814" s="743">
        <v>13.267899999999999</v>
      </c>
      <c r="F814" s="743">
        <v>8.4030000000000005</v>
      </c>
      <c r="G814" s="915">
        <v>40095</v>
      </c>
      <c r="H814" s="743">
        <v>2.2081</v>
      </c>
      <c r="I814" s="743">
        <v>1.4240999999999999</v>
      </c>
      <c r="J814" s="916">
        <v>-0.29099999999999998</v>
      </c>
      <c r="K814" s="916">
        <v>-0.36699999999999999</v>
      </c>
      <c r="L814" s="916">
        <v>-0.35499999999999998</v>
      </c>
    </row>
    <row r="815" spans="1:12" ht="14.5" x14ac:dyDescent="0.35">
      <c r="A815" s="915">
        <v>40088</v>
      </c>
      <c r="B815" s="743">
        <v>25.2196</v>
      </c>
      <c r="C815" s="743">
        <v>18.984100000000002</v>
      </c>
      <c r="D815" s="915">
        <v>40088</v>
      </c>
      <c r="E815" s="743">
        <v>13.268700000000001</v>
      </c>
      <c r="F815" s="743">
        <v>8.4408999999999992</v>
      </c>
      <c r="G815" s="915">
        <v>40088</v>
      </c>
      <c r="H815" s="743">
        <v>2.1190000000000002</v>
      </c>
      <c r="I815" s="743">
        <v>1.4294</v>
      </c>
      <c r="J815" s="916">
        <v>-0.247</v>
      </c>
      <c r="K815" s="916">
        <v>-0.36399999999999999</v>
      </c>
      <c r="L815" s="916">
        <v>-0.32500000000000001</v>
      </c>
    </row>
    <row r="816" spans="1:12" ht="14.5" x14ac:dyDescent="0.35">
      <c r="A816" s="915">
        <v>40081</v>
      </c>
      <c r="B816" s="743">
        <v>23.4894</v>
      </c>
      <c r="C816" s="743">
        <v>20.490200000000002</v>
      </c>
      <c r="D816" s="915">
        <v>40081</v>
      </c>
      <c r="E816" s="743">
        <v>10.6654</v>
      </c>
      <c r="F816" s="743">
        <v>8.2172999999999998</v>
      </c>
      <c r="G816" s="915">
        <v>40081</v>
      </c>
      <c r="H816" s="743">
        <v>2.1377000000000002</v>
      </c>
      <c r="I816" s="743">
        <v>1.49</v>
      </c>
      <c r="J816" s="916">
        <v>-0.128</v>
      </c>
      <c r="K816" s="916">
        <v>-0.23</v>
      </c>
      <c r="L816" s="916">
        <v>-0.30299999999999999</v>
      </c>
    </row>
    <row r="817" spans="1:12" ht="14.5" x14ac:dyDescent="0.35">
      <c r="A817" s="915">
        <v>40074</v>
      </c>
      <c r="B817" s="743">
        <v>23.920500000000001</v>
      </c>
      <c r="C817" s="743">
        <v>20.517800000000001</v>
      </c>
      <c r="D817" s="915">
        <v>40074</v>
      </c>
      <c r="E817" s="743">
        <v>10.6654</v>
      </c>
      <c r="F817" s="743">
        <v>8.2195</v>
      </c>
      <c r="G817" s="915">
        <v>40074</v>
      </c>
      <c r="H817" s="743">
        <v>2.1739000000000002</v>
      </c>
      <c r="I817" s="743">
        <v>1.4804999999999999</v>
      </c>
      <c r="J817" s="916">
        <v>-0.14199999999999999</v>
      </c>
      <c r="K817" s="916">
        <v>-0.22900000000000001</v>
      </c>
      <c r="L817" s="916">
        <v>-0.31900000000000001</v>
      </c>
    </row>
    <row r="818" spans="1:12" ht="14.5" x14ac:dyDescent="0.35">
      <c r="A818" s="915">
        <v>40067</v>
      </c>
      <c r="B818" s="743">
        <v>23.3689</v>
      </c>
      <c r="C818" s="743">
        <v>19.901700000000002</v>
      </c>
      <c r="D818" s="915">
        <v>40067</v>
      </c>
      <c r="E818" s="743">
        <v>10.6654</v>
      </c>
      <c r="F818" s="743">
        <v>8.2197999999999993</v>
      </c>
      <c r="G818" s="915">
        <v>40067</v>
      </c>
      <c r="H818" s="743">
        <v>2.1211000000000002</v>
      </c>
      <c r="I818" s="743">
        <v>1.4556</v>
      </c>
      <c r="J818" s="916">
        <v>-0.14799999999999999</v>
      </c>
      <c r="K818" s="916">
        <v>-0.22900000000000001</v>
      </c>
      <c r="L818" s="916">
        <v>-0.314</v>
      </c>
    </row>
    <row r="819" spans="1:12" ht="14.5" x14ac:dyDescent="0.35">
      <c r="A819" s="915">
        <v>40060</v>
      </c>
      <c r="B819" s="743">
        <v>22.7119</v>
      </c>
      <c r="C819" s="743">
        <v>19.612500000000001</v>
      </c>
      <c r="D819" s="915">
        <v>40060</v>
      </c>
      <c r="E819" s="743">
        <v>10.6654</v>
      </c>
      <c r="F819" s="743">
        <v>8.3482000000000003</v>
      </c>
      <c r="G819" s="915">
        <v>40060</v>
      </c>
      <c r="H819" s="743">
        <v>2.0581999999999998</v>
      </c>
      <c r="I819" s="743">
        <v>1.4331</v>
      </c>
      <c r="J819" s="916">
        <v>-0.13600000000000001</v>
      </c>
      <c r="K819" s="916">
        <v>-0.217</v>
      </c>
      <c r="L819" s="916">
        <v>-0.30399999999999999</v>
      </c>
    </row>
    <row r="820" spans="1:12" ht="14.5" x14ac:dyDescent="0.35">
      <c r="A820" s="915">
        <v>40053</v>
      </c>
      <c r="B820" s="743">
        <v>22.7835</v>
      </c>
      <c r="C820" s="743">
        <v>19.5184</v>
      </c>
      <c r="D820" s="915">
        <v>40053</v>
      </c>
      <c r="E820" s="743">
        <v>10.6654</v>
      </c>
      <c r="F820" s="743">
        <v>8.3610000000000007</v>
      </c>
      <c r="G820" s="915">
        <v>40053</v>
      </c>
      <c r="H820" s="743">
        <v>2.0651000000000002</v>
      </c>
      <c r="I820" s="743">
        <v>1.4314</v>
      </c>
      <c r="J820" s="916">
        <v>-0.14299999999999999</v>
      </c>
      <c r="K820" s="916">
        <v>-0.216</v>
      </c>
      <c r="L820" s="916">
        <v>-0.307</v>
      </c>
    </row>
    <row r="821" spans="1:12" ht="14.5" x14ac:dyDescent="0.35">
      <c r="A821" s="915">
        <v>40046</v>
      </c>
      <c r="B821" s="743">
        <v>22.707799999999999</v>
      </c>
      <c r="C821" s="743">
        <v>19.267099999999999</v>
      </c>
      <c r="D821" s="915">
        <v>40046</v>
      </c>
      <c r="E821" s="743">
        <v>10.6654</v>
      </c>
      <c r="F821" s="743">
        <v>8.3818000000000001</v>
      </c>
      <c r="G821" s="915">
        <v>40046</v>
      </c>
      <c r="H821" s="743">
        <v>2.0577999999999999</v>
      </c>
      <c r="I821" s="743">
        <v>1.4192</v>
      </c>
      <c r="J821" s="916">
        <v>-0.152</v>
      </c>
      <c r="K821" s="916">
        <v>-0.214</v>
      </c>
      <c r="L821" s="916">
        <v>-0.31</v>
      </c>
    </row>
    <row r="822" spans="1:12" ht="14.5" x14ac:dyDescent="0.35">
      <c r="A822" s="915">
        <v>40039</v>
      </c>
      <c r="B822" s="743">
        <v>22.3446</v>
      </c>
      <c r="C822" s="743">
        <v>19.4709</v>
      </c>
      <c r="D822" s="915">
        <v>40039</v>
      </c>
      <c r="E822" s="743">
        <v>10.6655</v>
      </c>
      <c r="F822" s="743">
        <v>8.4198000000000004</v>
      </c>
      <c r="G822" s="915">
        <v>40039</v>
      </c>
      <c r="H822" s="743">
        <v>2.0230000000000001</v>
      </c>
      <c r="I822" s="743">
        <v>1.4194</v>
      </c>
      <c r="J822" s="916">
        <v>-0.129</v>
      </c>
      <c r="K822" s="916">
        <v>-0.21099999999999999</v>
      </c>
      <c r="L822" s="916">
        <v>-0.29799999999999999</v>
      </c>
    </row>
    <row r="823" spans="1:12" ht="14.5" x14ac:dyDescent="0.35">
      <c r="A823" s="915">
        <v>40032</v>
      </c>
      <c r="B823" s="743">
        <v>22.4542</v>
      </c>
      <c r="C823" s="743">
        <v>19.597300000000001</v>
      </c>
      <c r="D823" s="915">
        <v>40032</v>
      </c>
      <c r="E823" s="743">
        <v>10.6656</v>
      </c>
      <c r="F823" s="743">
        <v>8.4215</v>
      </c>
      <c r="G823" s="915">
        <v>40032</v>
      </c>
      <c r="H823" s="743">
        <v>2.0335000000000001</v>
      </c>
      <c r="I823" s="743">
        <v>1.4146000000000001</v>
      </c>
      <c r="J823" s="916">
        <v>-0.127</v>
      </c>
      <c r="K823" s="916">
        <v>-0.21</v>
      </c>
      <c r="L823" s="916">
        <v>-0.30399999999999999</v>
      </c>
    </row>
    <row r="824" spans="1:12" ht="14.5" x14ac:dyDescent="0.35">
      <c r="A824" s="915">
        <v>40025</v>
      </c>
      <c r="B824" s="743">
        <v>22.230599999999999</v>
      </c>
      <c r="C824" s="743">
        <v>19.1433</v>
      </c>
      <c r="D824" s="915">
        <v>40025</v>
      </c>
      <c r="E824" s="743">
        <v>10.669499999999999</v>
      </c>
      <c r="F824" s="743">
        <v>8.4114000000000004</v>
      </c>
      <c r="G824" s="915">
        <v>40025</v>
      </c>
      <c r="H824" s="743">
        <v>2.0133000000000001</v>
      </c>
      <c r="I824" s="743">
        <v>1.3396999999999999</v>
      </c>
      <c r="J824" s="916">
        <v>-0.13900000000000001</v>
      </c>
      <c r="K824" s="916">
        <v>-0.21199999999999999</v>
      </c>
      <c r="L824" s="916">
        <v>-0.33500000000000002</v>
      </c>
    </row>
    <row r="825" spans="1:12" ht="14.5" x14ac:dyDescent="0.35">
      <c r="A825" s="915">
        <v>40018</v>
      </c>
      <c r="B825" s="743">
        <v>22.171299999999999</v>
      </c>
      <c r="C825" s="743">
        <v>18.435700000000001</v>
      </c>
      <c r="D825" s="915">
        <v>40018</v>
      </c>
      <c r="E825" s="743">
        <v>10.6709</v>
      </c>
      <c r="F825" s="743">
        <v>8.5024999999999995</v>
      </c>
      <c r="G825" s="915">
        <v>40018</v>
      </c>
      <c r="H825" s="743">
        <v>2.0076000000000001</v>
      </c>
      <c r="I825" s="743">
        <v>1.3145</v>
      </c>
      <c r="J825" s="916">
        <v>-0.16800000000000001</v>
      </c>
      <c r="K825" s="916">
        <v>-0.20300000000000001</v>
      </c>
      <c r="L825" s="916">
        <v>-0.34499999999999997</v>
      </c>
    </row>
    <row r="826" spans="1:12" ht="14.5" x14ac:dyDescent="0.35">
      <c r="A826" s="915">
        <v>40011</v>
      </c>
      <c r="B826" s="743">
        <v>21.175799999999999</v>
      </c>
      <c r="C826" s="743">
        <v>18.051100000000002</v>
      </c>
      <c r="D826" s="915">
        <v>40011</v>
      </c>
      <c r="E826" s="743">
        <v>10.677899999999999</v>
      </c>
      <c r="F826" s="743">
        <v>8.6064000000000007</v>
      </c>
      <c r="G826" s="915">
        <v>40011</v>
      </c>
      <c r="H826" s="743">
        <v>1.913</v>
      </c>
      <c r="I826" s="743">
        <v>1.2897000000000001</v>
      </c>
      <c r="J826" s="916">
        <v>-0.14799999999999999</v>
      </c>
      <c r="K826" s="916">
        <v>-0.19400000000000001</v>
      </c>
      <c r="L826" s="916">
        <v>-0.32600000000000001</v>
      </c>
    </row>
    <row r="827" spans="1:12" ht="14.5" x14ac:dyDescent="0.35">
      <c r="A827" s="915">
        <v>40004</v>
      </c>
      <c r="B827" s="743">
        <v>19.686399999999999</v>
      </c>
      <c r="C827" s="743">
        <v>17.7303</v>
      </c>
      <c r="D827" s="915">
        <v>40004</v>
      </c>
      <c r="E827" s="743">
        <v>10.677899999999999</v>
      </c>
      <c r="F827" s="743">
        <v>8.6493000000000002</v>
      </c>
      <c r="G827" s="915">
        <v>40004</v>
      </c>
      <c r="H827" s="743">
        <v>1.7675000000000001</v>
      </c>
      <c r="I827" s="743">
        <v>1.2584</v>
      </c>
      <c r="J827" s="916">
        <v>-9.9000000000000005E-2</v>
      </c>
      <c r="K827" s="916">
        <v>-0.19</v>
      </c>
      <c r="L827" s="916">
        <v>-0.28799999999999998</v>
      </c>
    </row>
    <row r="828" spans="1:12" ht="14.5" x14ac:dyDescent="0.35">
      <c r="A828" s="915">
        <v>39997</v>
      </c>
      <c r="B828" s="743">
        <v>20.053000000000001</v>
      </c>
      <c r="C828" s="743">
        <v>18.0029</v>
      </c>
      <c r="D828" s="915">
        <v>39997</v>
      </c>
      <c r="E828" s="743">
        <v>10.677899999999999</v>
      </c>
      <c r="F828" s="743">
        <v>8.7629000000000001</v>
      </c>
      <c r="G828" s="915">
        <v>39997</v>
      </c>
      <c r="H828" s="743">
        <v>1.8026</v>
      </c>
      <c r="I828" s="743">
        <v>1.258</v>
      </c>
      <c r="J828" s="916">
        <v>-0.10199999999999999</v>
      </c>
      <c r="K828" s="916">
        <v>-0.17899999999999999</v>
      </c>
      <c r="L828" s="916">
        <v>-0.30199999999999999</v>
      </c>
    </row>
    <row r="829" spans="1:12" ht="14.5" x14ac:dyDescent="0.35">
      <c r="A829" s="915">
        <v>39990</v>
      </c>
      <c r="B829" s="743">
        <v>19.781600000000001</v>
      </c>
      <c r="C829" s="743">
        <v>17.177499999999998</v>
      </c>
      <c r="D829" s="915">
        <v>39990</v>
      </c>
      <c r="E829" s="743">
        <v>9.5131999999999994</v>
      </c>
      <c r="F829" s="743">
        <v>5.8859000000000004</v>
      </c>
      <c r="G829" s="915">
        <v>39990</v>
      </c>
      <c r="H829" s="743">
        <v>1.8835999999999999</v>
      </c>
      <c r="I829" s="743">
        <v>0.98809999999999998</v>
      </c>
      <c r="J829" s="916">
        <v>-0.13200000000000001</v>
      </c>
      <c r="K829" s="916">
        <v>-0.38100000000000001</v>
      </c>
      <c r="L829" s="916">
        <v>-0.47499999999999998</v>
      </c>
    </row>
    <row r="830" spans="1:12" ht="14.5" x14ac:dyDescent="0.35">
      <c r="A830" s="915">
        <v>39983</v>
      </c>
      <c r="B830" s="743">
        <v>19.6617</v>
      </c>
      <c r="C830" s="743">
        <v>16.869199999999999</v>
      </c>
      <c r="D830" s="915">
        <v>39983</v>
      </c>
      <c r="E830" s="743">
        <v>9.5131999999999994</v>
      </c>
      <c r="F830" s="743">
        <v>5.8598999999999997</v>
      </c>
      <c r="G830" s="915">
        <v>39983</v>
      </c>
      <c r="H830" s="743">
        <v>1.8722000000000001</v>
      </c>
      <c r="I830" s="743">
        <v>0.97309999999999997</v>
      </c>
      <c r="J830" s="916">
        <v>-0.14199999999999999</v>
      </c>
      <c r="K830" s="916">
        <v>-0.38400000000000001</v>
      </c>
      <c r="L830" s="916">
        <v>-0.48</v>
      </c>
    </row>
    <row r="831" spans="1:12" ht="14.5" x14ac:dyDescent="0.35">
      <c r="A831" s="915">
        <v>39976</v>
      </c>
      <c r="B831" s="743">
        <v>19.912199999999999</v>
      </c>
      <c r="C831" s="743">
        <v>17.462499999999999</v>
      </c>
      <c r="D831" s="915">
        <v>39976</v>
      </c>
      <c r="E831" s="743">
        <v>9.5131999999999994</v>
      </c>
      <c r="F831" s="743">
        <v>5.8598999999999997</v>
      </c>
      <c r="G831" s="915">
        <v>39976</v>
      </c>
      <c r="H831" s="743">
        <v>1.8974</v>
      </c>
      <c r="I831" s="743">
        <v>0.99050000000000005</v>
      </c>
      <c r="J831" s="916">
        <v>-0.123</v>
      </c>
      <c r="K831" s="916">
        <v>-0.38400000000000001</v>
      </c>
      <c r="L831" s="916">
        <v>-0.47799999999999998</v>
      </c>
    </row>
    <row r="832" spans="1:12" ht="14.5" x14ac:dyDescent="0.35">
      <c r="A832" s="915">
        <v>39969</v>
      </c>
      <c r="B832" s="743">
        <v>19.955500000000001</v>
      </c>
      <c r="C832" s="743">
        <v>16.975300000000001</v>
      </c>
      <c r="D832" s="915">
        <v>39969</v>
      </c>
      <c r="E832" s="743">
        <v>9.5131999999999994</v>
      </c>
      <c r="F832" s="743">
        <v>5.8598999999999997</v>
      </c>
      <c r="G832" s="915">
        <v>39969</v>
      </c>
      <c r="H832" s="743">
        <v>1.9016999999999999</v>
      </c>
      <c r="I832" s="743">
        <v>0.97260000000000002</v>
      </c>
      <c r="J832" s="916">
        <v>-0.14899999999999999</v>
      </c>
      <c r="K832" s="916">
        <v>-0.38400000000000001</v>
      </c>
      <c r="L832" s="916">
        <v>-0.48899999999999999</v>
      </c>
    </row>
    <row r="833" spans="1:12" ht="14.5" x14ac:dyDescent="0.35">
      <c r="A833" s="915">
        <v>39962</v>
      </c>
      <c r="B833" s="743">
        <v>19.185199999999998</v>
      </c>
      <c r="C833" s="743">
        <v>17.0654</v>
      </c>
      <c r="D833" s="915">
        <v>39962</v>
      </c>
      <c r="E833" s="743">
        <v>9.5131999999999994</v>
      </c>
      <c r="F833" s="743">
        <v>5.8598999999999997</v>
      </c>
      <c r="G833" s="915">
        <v>39962</v>
      </c>
      <c r="H833" s="743">
        <v>1.8240000000000001</v>
      </c>
      <c r="I833" s="743">
        <v>0.97509999999999997</v>
      </c>
      <c r="J833" s="916">
        <v>-0.11</v>
      </c>
      <c r="K833" s="916">
        <v>-0.38400000000000001</v>
      </c>
      <c r="L833" s="916">
        <v>-0.46500000000000002</v>
      </c>
    </row>
    <row r="834" spans="1:12" ht="14.5" x14ac:dyDescent="0.35">
      <c r="A834" s="915">
        <v>39955</v>
      </c>
      <c r="B834" s="743">
        <v>18.217600000000001</v>
      </c>
      <c r="C834" s="743">
        <v>17.069299999999998</v>
      </c>
      <c r="D834" s="915">
        <v>39955</v>
      </c>
      <c r="E834" s="743">
        <v>9.5131999999999994</v>
      </c>
      <c r="F834" s="743">
        <v>5.8598999999999997</v>
      </c>
      <c r="G834" s="915">
        <v>39955</v>
      </c>
      <c r="H834" s="743">
        <v>1.7270000000000001</v>
      </c>
      <c r="I834" s="743">
        <v>0.97450000000000003</v>
      </c>
      <c r="J834" s="916">
        <v>-6.3E-2</v>
      </c>
      <c r="K834" s="916">
        <v>-0.38400000000000001</v>
      </c>
      <c r="L834" s="916">
        <v>-0.436</v>
      </c>
    </row>
    <row r="835" spans="1:12" ht="14.5" x14ac:dyDescent="0.35">
      <c r="A835" s="915">
        <v>39948</v>
      </c>
      <c r="B835" s="743">
        <v>18.1099</v>
      </c>
      <c r="C835" s="743">
        <v>16.927800000000001</v>
      </c>
      <c r="D835" s="915">
        <v>39948</v>
      </c>
      <c r="E835" s="743">
        <v>9.5131999999999994</v>
      </c>
      <c r="F835" s="743">
        <v>5.8598999999999997</v>
      </c>
      <c r="G835" s="915">
        <v>39948</v>
      </c>
      <c r="H835" s="743">
        <v>1.7159</v>
      </c>
      <c r="I835" s="743">
        <v>0.97030000000000005</v>
      </c>
      <c r="J835" s="916">
        <v>-6.5000000000000002E-2</v>
      </c>
      <c r="K835" s="916">
        <v>-0.38400000000000001</v>
      </c>
      <c r="L835" s="916">
        <v>-0.435</v>
      </c>
    </row>
    <row r="836" spans="1:12" ht="14.5" x14ac:dyDescent="0.35">
      <c r="A836" s="915">
        <v>39941</v>
      </c>
      <c r="B836" s="743">
        <v>18.631799999999998</v>
      </c>
      <c r="C836" s="743">
        <v>17.2469</v>
      </c>
      <c r="D836" s="915">
        <v>39941</v>
      </c>
      <c r="E836" s="743">
        <v>9.5131999999999994</v>
      </c>
      <c r="F836" s="743">
        <v>5.8598999999999997</v>
      </c>
      <c r="G836" s="915">
        <v>39941</v>
      </c>
      <c r="H836" s="743">
        <v>1.7679</v>
      </c>
      <c r="I836" s="743">
        <v>0.97909999999999997</v>
      </c>
      <c r="J836" s="916">
        <v>-7.3999999999999996E-2</v>
      </c>
      <c r="K836" s="916">
        <v>-0.38400000000000001</v>
      </c>
      <c r="L836" s="916">
        <v>-0.44600000000000001</v>
      </c>
    </row>
    <row r="837" spans="1:12" ht="14.5" x14ac:dyDescent="0.35">
      <c r="A837" s="915">
        <v>39934</v>
      </c>
      <c r="B837" s="743">
        <v>18.6646</v>
      </c>
      <c r="C837" s="743">
        <v>16.7563</v>
      </c>
      <c r="D837" s="915">
        <v>39934</v>
      </c>
      <c r="E837" s="743">
        <v>9.5131999999999994</v>
      </c>
      <c r="F837" s="743">
        <v>5.8598999999999997</v>
      </c>
      <c r="G837" s="915">
        <v>39934</v>
      </c>
      <c r="H837" s="743">
        <v>1.7712000000000001</v>
      </c>
      <c r="I837" s="743">
        <v>0.96589999999999998</v>
      </c>
      <c r="J837" s="916">
        <v>-0.10199999999999999</v>
      </c>
      <c r="K837" s="916">
        <v>-0.38400000000000001</v>
      </c>
      <c r="L837" s="916">
        <v>-0.45500000000000002</v>
      </c>
    </row>
    <row r="838" spans="1:12" ht="14.5" x14ac:dyDescent="0.35">
      <c r="A838" s="915">
        <v>39927</v>
      </c>
      <c r="B838" s="743">
        <v>18.352699999999999</v>
      </c>
      <c r="C838" s="743">
        <v>16.409500000000001</v>
      </c>
      <c r="D838" s="915">
        <v>39927</v>
      </c>
      <c r="E838" s="743">
        <v>9.5131999999999994</v>
      </c>
      <c r="F838" s="743">
        <v>5.8098999999999998</v>
      </c>
      <c r="G838" s="915">
        <v>39927</v>
      </c>
      <c r="H838" s="743">
        <v>1.74</v>
      </c>
      <c r="I838" s="743">
        <v>0.97430000000000005</v>
      </c>
      <c r="J838" s="916">
        <v>-0.106</v>
      </c>
      <c r="K838" s="916">
        <v>-0.38900000000000001</v>
      </c>
      <c r="L838" s="916">
        <v>-0.44</v>
      </c>
    </row>
    <row r="839" spans="1:12" ht="14.5" x14ac:dyDescent="0.35">
      <c r="A839" s="915">
        <v>39920</v>
      </c>
      <c r="B839" s="743">
        <v>18.094000000000001</v>
      </c>
      <c r="C839" s="743">
        <v>16.179600000000001</v>
      </c>
      <c r="D839" s="915">
        <v>39920</v>
      </c>
      <c r="E839" s="743">
        <v>9.5131999999999994</v>
      </c>
      <c r="F839" s="743">
        <v>5.8098999999999998</v>
      </c>
      <c r="G839" s="915">
        <v>39920</v>
      </c>
      <c r="H839" s="743">
        <v>1.714</v>
      </c>
      <c r="I839" s="743">
        <v>0.96640000000000004</v>
      </c>
      <c r="J839" s="916">
        <v>-0.106</v>
      </c>
      <c r="K839" s="916">
        <v>-0.38900000000000001</v>
      </c>
      <c r="L839" s="916">
        <v>-0.436</v>
      </c>
    </row>
    <row r="840" spans="1:12" ht="14.5" x14ac:dyDescent="0.35">
      <c r="A840" s="915">
        <v>39913</v>
      </c>
      <c r="B840" s="743">
        <v>17.9117</v>
      </c>
      <c r="C840" s="743">
        <v>16.192</v>
      </c>
      <c r="D840" s="915">
        <v>39913</v>
      </c>
      <c r="E840" s="743">
        <v>9.5131999999999994</v>
      </c>
      <c r="F840" s="743">
        <v>5.8106999999999998</v>
      </c>
      <c r="G840" s="915">
        <v>39913</v>
      </c>
      <c r="H840" s="743">
        <v>1.6958</v>
      </c>
      <c r="I840" s="743">
        <v>0.96830000000000005</v>
      </c>
      <c r="J840" s="916">
        <v>-9.6000000000000002E-2</v>
      </c>
      <c r="K840" s="916">
        <v>-0.38900000000000001</v>
      </c>
      <c r="L840" s="916">
        <v>-0.42899999999999999</v>
      </c>
    </row>
    <row r="841" spans="1:12" ht="14.5" x14ac:dyDescent="0.35">
      <c r="A841" s="915">
        <v>39906</v>
      </c>
      <c r="B841" s="743">
        <v>17.589300000000001</v>
      </c>
      <c r="C841" s="743">
        <v>15.150700000000001</v>
      </c>
      <c r="D841" s="915">
        <v>39906</v>
      </c>
      <c r="E841" s="743">
        <v>9.5142000000000007</v>
      </c>
      <c r="F841" s="743">
        <v>5.7527999999999997</v>
      </c>
      <c r="G841" s="915">
        <v>39906</v>
      </c>
      <c r="H841" s="743">
        <v>1.6635</v>
      </c>
      <c r="I841" s="743">
        <v>0.97389999999999999</v>
      </c>
      <c r="J841" s="916">
        <v>-0.13900000000000001</v>
      </c>
      <c r="K841" s="916">
        <v>-0.39500000000000002</v>
      </c>
      <c r="L841" s="916">
        <v>-0.41499999999999998</v>
      </c>
    </row>
    <row r="842" spans="1:12" ht="14.5" x14ac:dyDescent="0.35">
      <c r="A842" s="915">
        <v>39899</v>
      </c>
      <c r="B842" s="743">
        <v>15.557499999999999</v>
      </c>
      <c r="C842" s="743">
        <v>9.6841000000000008</v>
      </c>
      <c r="D842" s="915">
        <v>39899</v>
      </c>
      <c r="E842" s="743">
        <v>10.525600000000001</v>
      </c>
      <c r="F842" s="743">
        <v>6.8841000000000001</v>
      </c>
      <c r="G842" s="915">
        <v>39899</v>
      </c>
      <c r="H842" s="743">
        <v>1.6152</v>
      </c>
      <c r="I842" s="743">
        <v>1.1867000000000001</v>
      </c>
      <c r="J842" s="916">
        <v>-0.378</v>
      </c>
      <c r="K842" s="916">
        <v>-0.34599999999999997</v>
      </c>
      <c r="L842" s="916">
        <v>-0.26500000000000001</v>
      </c>
    </row>
    <row r="843" spans="1:12" ht="14.5" x14ac:dyDescent="0.35">
      <c r="A843" s="915">
        <v>39892</v>
      </c>
      <c r="B843" s="743">
        <v>14.7583</v>
      </c>
      <c r="C843" s="743">
        <v>8.7047000000000008</v>
      </c>
      <c r="D843" s="915">
        <v>39892</v>
      </c>
      <c r="E843" s="743">
        <v>10.525600000000001</v>
      </c>
      <c r="F843" s="743">
        <v>6.8433000000000002</v>
      </c>
      <c r="G843" s="915">
        <v>39892</v>
      </c>
      <c r="H843" s="743">
        <v>1.5336000000000001</v>
      </c>
      <c r="I843" s="743">
        <v>1.1785000000000001</v>
      </c>
      <c r="J843" s="916">
        <v>-0.41</v>
      </c>
      <c r="K843" s="916">
        <v>-0.35</v>
      </c>
      <c r="L843" s="916">
        <v>-0.23200000000000001</v>
      </c>
    </row>
    <row r="844" spans="1:12" ht="14.5" x14ac:dyDescent="0.35">
      <c r="A844" s="915">
        <v>39885</v>
      </c>
      <c r="B844" s="743">
        <v>14.526300000000001</v>
      </c>
      <c r="C844" s="743">
        <v>8.4351000000000003</v>
      </c>
      <c r="D844" s="915">
        <v>39885</v>
      </c>
      <c r="E844" s="743">
        <v>10.525600000000001</v>
      </c>
      <c r="F844" s="743">
        <v>6.8433000000000002</v>
      </c>
      <c r="G844" s="915">
        <v>39885</v>
      </c>
      <c r="H844" s="743">
        <v>1.5085999999999999</v>
      </c>
      <c r="I844" s="743">
        <v>1.1581999999999999</v>
      </c>
      <c r="J844" s="916">
        <v>-0.41899999999999998</v>
      </c>
      <c r="K844" s="916">
        <v>-0.35</v>
      </c>
      <c r="L844" s="916">
        <v>-0.23200000000000001</v>
      </c>
    </row>
    <row r="845" spans="1:12" ht="14.5" x14ac:dyDescent="0.35">
      <c r="A845" s="915">
        <v>39878</v>
      </c>
      <c r="B845" s="743">
        <v>13.2357</v>
      </c>
      <c r="C845" s="743">
        <v>7.8987999999999996</v>
      </c>
      <c r="D845" s="915">
        <v>39878</v>
      </c>
      <c r="E845" s="743">
        <v>10.525600000000001</v>
      </c>
      <c r="F845" s="743">
        <v>6.8433000000000002</v>
      </c>
      <c r="G845" s="915">
        <v>39878</v>
      </c>
      <c r="H845" s="743">
        <v>1.3694999999999999</v>
      </c>
      <c r="I845" s="743">
        <v>1.1080000000000001</v>
      </c>
      <c r="J845" s="916">
        <v>-0.40300000000000002</v>
      </c>
      <c r="K845" s="916">
        <v>-0.35</v>
      </c>
      <c r="L845" s="916">
        <v>-0.191</v>
      </c>
    </row>
    <row r="846" spans="1:12" ht="14.5" x14ac:dyDescent="0.35">
      <c r="A846" s="915">
        <v>39871</v>
      </c>
      <c r="B846" s="743">
        <v>13.8857</v>
      </c>
      <c r="C846" s="743">
        <v>7.9137000000000004</v>
      </c>
      <c r="D846" s="915">
        <v>39871</v>
      </c>
      <c r="E846" s="743">
        <v>10.525600000000001</v>
      </c>
      <c r="F846" s="743">
        <v>6.8463000000000003</v>
      </c>
      <c r="G846" s="915">
        <v>39871</v>
      </c>
      <c r="H846" s="743">
        <v>1.4396</v>
      </c>
      <c r="I846" s="743">
        <v>1.1094999999999999</v>
      </c>
      <c r="J846" s="916">
        <v>-0.43</v>
      </c>
      <c r="K846" s="916">
        <v>-0.35</v>
      </c>
      <c r="L846" s="916">
        <v>-0.22900000000000001</v>
      </c>
    </row>
    <row r="847" spans="1:12" ht="14.5" x14ac:dyDescent="0.35">
      <c r="A847" s="915">
        <v>39864</v>
      </c>
      <c r="B847" s="743">
        <v>14.577299999999999</v>
      </c>
      <c r="C847" s="743">
        <v>7.9227999999999996</v>
      </c>
      <c r="D847" s="915">
        <v>39864</v>
      </c>
      <c r="E847" s="743">
        <v>10.486700000000001</v>
      </c>
      <c r="F847" s="743">
        <v>6.8463000000000003</v>
      </c>
      <c r="G847" s="915">
        <v>39864</v>
      </c>
      <c r="H847" s="743">
        <v>1.5129999999999999</v>
      </c>
      <c r="I847" s="743">
        <v>1.1104000000000001</v>
      </c>
      <c r="J847" s="916">
        <v>-0.45600000000000002</v>
      </c>
      <c r="K847" s="916">
        <v>-0.34699999999999998</v>
      </c>
      <c r="L847" s="916">
        <v>-0.26600000000000001</v>
      </c>
    </row>
    <row r="848" spans="1:12" ht="14.5" x14ac:dyDescent="0.35">
      <c r="A848" s="915">
        <v>39857</v>
      </c>
      <c r="B848" s="743">
        <v>15.374499999999999</v>
      </c>
      <c r="C848" s="743">
        <v>8.8991000000000007</v>
      </c>
      <c r="D848" s="915">
        <v>39857</v>
      </c>
      <c r="E848" s="743">
        <v>10.4856</v>
      </c>
      <c r="F848" s="743">
        <v>6.8463000000000003</v>
      </c>
      <c r="G848" s="915">
        <v>39857</v>
      </c>
      <c r="H848" s="743">
        <v>1.5989</v>
      </c>
      <c r="I848" s="743">
        <v>1.1787000000000001</v>
      </c>
      <c r="J848" s="916">
        <v>-0.42099999999999999</v>
      </c>
      <c r="K848" s="916">
        <v>-0.34699999999999998</v>
      </c>
      <c r="L848" s="916">
        <v>-0.26300000000000001</v>
      </c>
    </row>
    <row r="849" spans="1:12" ht="14.5" x14ac:dyDescent="0.35">
      <c r="A849" s="915">
        <v>39850</v>
      </c>
      <c r="B849" s="743">
        <v>15.8011</v>
      </c>
      <c r="C849" s="743">
        <v>9.0599000000000007</v>
      </c>
      <c r="D849" s="915">
        <v>39850</v>
      </c>
      <c r="E849" s="743">
        <v>10.4856</v>
      </c>
      <c r="F849" s="743">
        <v>7.6635</v>
      </c>
      <c r="G849" s="915">
        <v>39850</v>
      </c>
      <c r="H849" s="743">
        <v>1.6456</v>
      </c>
      <c r="I849" s="743">
        <v>1.1742999999999999</v>
      </c>
      <c r="J849" s="916">
        <v>-0.42699999999999999</v>
      </c>
      <c r="K849" s="916">
        <v>-0.26900000000000002</v>
      </c>
      <c r="L849" s="916">
        <v>-0.28599999999999998</v>
      </c>
    </row>
    <row r="850" spans="1:12" ht="14.5" x14ac:dyDescent="0.35">
      <c r="A850" s="915">
        <v>39843</v>
      </c>
      <c r="B850" s="743">
        <v>14.5959</v>
      </c>
      <c r="C850" s="743">
        <v>8.6135999999999999</v>
      </c>
      <c r="D850" s="915">
        <v>39843</v>
      </c>
      <c r="E850" s="743">
        <v>10.4773</v>
      </c>
      <c r="F850" s="743">
        <v>7.6657000000000002</v>
      </c>
      <c r="G850" s="915">
        <v>39843</v>
      </c>
      <c r="H850" s="743">
        <v>1.516</v>
      </c>
      <c r="I850" s="743">
        <v>1.1452</v>
      </c>
      <c r="J850" s="916">
        <v>-0.41</v>
      </c>
      <c r="K850" s="916">
        <v>-0.26800000000000002</v>
      </c>
      <c r="L850" s="916">
        <v>-0.245</v>
      </c>
    </row>
    <row r="851" spans="1:12" ht="14.5" x14ac:dyDescent="0.35">
      <c r="A851" s="915">
        <v>39836</v>
      </c>
      <c r="B851" s="743">
        <v>14.542</v>
      </c>
      <c r="C851" s="743">
        <v>8.0507000000000009</v>
      </c>
      <c r="D851" s="915">
        <v>39836</v>
      </c>
      <c r="E851" s="743">
        <v>10.4773</v>
      </c>
      <c r="F851" s="743">
        <v>7.6656000000000004</v>
      </c>
      <c r="G851" s="915">
        <v>39836</v>
      </c>
      <c r="H851" s="743">
        <v>1.5102</v>
      </c>
      <c r="I851" s="743">
        <v>1.1064000000000001</v>
      </c>
      <c r="J851" s="916">
        <v>-0.44600000000000001</v>
      </c>
      <c r="K851" s="916">
        <v>-0.26800000000000002</v>
      </c>
      <c r="L851" s="916">
        <v>-0.26700000000000002</v>
      </c>
    </row>
    <row r="852" spans="1:12" ht="14.5" x14ac:dyDescent="0.35">
      <c r="A852" s="915">
        <v>39829</v>
      </c>
      <c r="B852" s="743">
        <v>14.8179</v>
      </c>
      <c r="C852" s="743">
        <v>8.4527000000000001</v>
      </c>
      <c r="D852" s="915">
        <v>39829</v>
      </c>
      <c r="E852" s="743">
        <v>10.4772</v>
      </c>
      <c r="F852" s="743">
        <v>7.6651999999999996</v>
      </c>
      <c r="G852" s="915">
        <v>39829</v>
      </c>
      <c r="H852" s="743">
        <v>1.5243</v>
      </c>
      <c r="I852" s="743">
        <v>1.1368</v>
      </c>
      <c r="J852" s="916">
        <v>-0.43</v>
      </c>
      <c r="K852" s="916">
        <v>-0.26800000000000002</v>
      </c>
      <c r="L852" s="916">
        <v>-0.254</v>
      </c>
    </row>
    <row r="853" spans="1:12" ht="14.5" x14ac:dyDescent="0.35">
      <c r="A853" s="915">
        <v>39822</v>
      </c>
      <c r="B853" s="743">
        <v>15.1248</v>
      </c>
      <c r="C853" s="743">
        <v>8.7263999999999999</v>
      </c>
      <c r="D853" s="915">
        <v>39822</v>
      </c>
      <c r="E853" s="743">
        <v>10.477</v>
      </c>
      <c r="F853" s="743">
        <v>7.7519999999999998</v>
      </c>
      <c r="G853" s="915">
        <v>39822</v>
      </c>
      <c r="H853" s="743">
        <v>1.5572999999999999</v>
      </c>
      <c r="I853" s="743">
        <v>1.1916</v>
      </c>
      <c r="J853" s="916">
        <v>-0.42299999999999999</v>
      </c>
      <c r="K853" s="916">
        <v>-0.26</v>
      </c>
      <c r="L853" s="916">
        <v>-0.23499999999999999</v>
      </c>
    </row>
    <row r="854" spans="1:12" ht="14.5" x14ac:dyDescent="0.35">
      <c r="A854" s="915">
        <v>39815</v>
      </c>
      <c r="B854" s="743">
        <v>15.628</v>
      </c>
      <c r="C854" s="743">
        <v>8.5045999999999999</v>
      </c>
      <c r="D854" s="915">
        <v>39815</v>
      </c>
      <c r="E854" s="743">
        <v>10.477</v>
      </c>
      <c r="F854" s="743">
        <v>7.7843</v>
      </c>
      <c r="G854" s="915">
        <v>39815</v>
      </c>
      <c r="H854" s="743">
        <v>1.6111</v>
      </c>
      <c r="I854" s="743">
        <v>1.179</v>
      </c>
      <c r="J854" s="916">
        <v>-0.45600000000000002</v>
      </c>
      <c r="K854" s="916">
        <v>-0.25700000000000001</v>
      </c>
      <c r="L854" s="916">
        <v>-0.26800000000000002</v>
      </c>
    </row>
    <row r="855" spans="1:12" ht="14.5" x14ac:dyDescent="0.35">
      <c r="A855" s="915">
        <v>39808</v>
      </c>
      <c r="B855" s="743">
        <v>15.352</v>
      </c>
      <c r="C855" s="743">
        <v>8.0962999999999994</v>
      </c>
      <c r="D855" s="915">
        <v>39808</v>
      </c>
      <c r="E855" s="743">
        <v>12.573</v>
      </c>
      <c r="F855" s="743">
        <v>8.1295000000000002</v>
      </c>
      <c r="G855" s="915">
        <v>39808</v>
      </c>
      <c r="H855" s="743">
        <v>1.5258</v>
      </c>
      <c r="I855" s="743">
        <v>1.2199</v>
      </c>
      <c r="J855" s="916">
        <v>-0.47299999999999998</v>
      </c>
      <c r="K855" s="916">
        <v>-0.35299999999999998</v>
      </c>
      <c r="L855" s="916">
        <v>-0.2</v>
      </c>
    </row>
    <row r="856" spans="1:12" ht="14.5" x14ac:dyDescent="0.35">
      <c r="A856" s="915">
        <v>39801</v>
      </c>
      <c r="B856" s="743">
        <v>15.7629</v>
      </c>
      <c r="C856" s="743">
        <v>8.5459999999999994</v>
      </c>
      <c r="D856" s="915">
        <v>39801</v>
      </c>
      <c r="E856" s="743">
        <v>12.5762</v>
      </c>
      <c r="F856" s="743">
        <v>8.1759000000000004</v>
      </c>
      <c r="G856" s="915">
        <v>39801</v>
      </c>
      <c r="H856" s="743">
        <v>1.5126999999999999</v>
      </c>
      <c r="I856" s="743">
        <v>1.2559</v>
      </c>
      <c r="J856" s="916">
        <v>-0.45800000000000002</v>
      </c>
      <c r="K856" s="916">
        <v>-0.35</v>
      </c>
      <c r="L856" s="916">
        <v>-0.17</v>
      </c>
    </row>
    <row r="857" spans="1:12" ht="14.5" x14ac:dyDescent="0.35">
      <c r="A857" s="915">
        <v>39794</v>
      </c>
      <c r="B857" s="743">
        <v>15.626200000000001</v>
      </c>
      <c r="C857" s="743">
        <v>8.0054999999999996</v>
      </c>
      <c r="D857" s="915">
        <v>39794</v>
      </c>
      <c r="E857" s="743">
        <v>12.5761</v>
      </c>
      <c r="F857" s="743">
        <v>8.1583000000000006</v>
      </c>
      <c r="G857" s="915">
        <v>39794</v>
      </c>
      <c r="H857" s="743">
        <v>1.4992000000000001</v>
      </c>
      <c r="I857" s="743">
        <v>1.2165999999999999</v>
      </c>
      <c r="J857" s="916">
        <v>-0.48799999999999999</v>
      </c>
      <c r="K857" s="916">
        <v>-0.35099999999999998</v>
      </c>
      <c r="L857" s="916">
        <v>-0.189</v>
      </c>
    </row>
    <row r="858" spans="1:12" ht="14.5" x14ac:dyDescent="0.35">
      <c r="A858" s="915">
        <v>39787</v>
      </c>
      <c r="B858" s="743">
        <v>15.2521</v>
      </c>
      <c r="C858" s="743">
        <v>7.4600999999999997</v>
      </c>
      <c r="D858" s="915">
        <v>39787</v>
      </c>
      <c r="E858" s="743">
        <v>12.5748</v>
      </c>
      <c r="F858" s="743">
        <v>8.1271000000000004</v>
      </c>
      <c r="G858" s="915">
        <v>39787</v>
      </c>
      <c r="H858" s="743">
        <v>1.4624999999999999</v>
      </c>
      <c r="I858" s="743">
        <v>1.1698</v>
      </c>
      <c r="J858" s="916">
        <v>-0.51100000000000001</v>
      </c>
      <c r="K858" s="916">
        <v>-0.35399999999999998</v>
      </c>
      <c r="L858" s="916">
        <v>-0.2</v>
      </c>
    </row>
    <row r="859" spans="1:12" ht="14.5" x14ac:dyDescent="0.35">
      <c r="A859" s="915">
        <v>39780</v>
      </c>
      <c r="B859" s="743">
        <v>15.3531</v>
      </c>
      <c r="C859" s="743">
        <v>7.8262999999999998</v>
      </c>
      <c r="D859" s="915">
        <v>39780</v>
      </c>
      <c r="E859" s="743">
        <v>12.575699999999999</v>
      </c>
      <c r="F859" s="743">
        <v>8.1674000000000007</v>
      </c>
      <c r="G859" s="915">
        <v>39780</v>
      </c>
      <c r="H859" s="743">
        <v>1.4725999999999999</v>
      </c>
      <c r="I859" s="743">
        <v>1.1997</v>
      </c>
      <c r="J859" s="916">
        <v>-0.49</v>
      </c>
      <c r="K859" s="916">
        <v>-0.35099999999999998</v>
      </c>
      <c r="L859" s="916">
        <v>-0.185</v>
      </c>
    </row>
    <row r="860" spans="1:12" ht="14.5" x14ac:dyDescent="0.35">
      <c r="A860" s="915">
        <v>39773</v>
      </c>
      <c r="B860" s="743">
        <v>14.055899999999999</v>
      </c>
      <c r="C860" s="743">
        <v>7.2710999999999997</v>
      </c>
      <c r="D860" s="915">
        <v>39773</v>
      </c>
      <c r="E860" s="743">
        <v>12.575699999999999</v>
      </c>
      <c r="F860" s="743">
        <v>8.1674000000000007</v>
      </c>
      <c r="G860" s="915">
        <v>39773</v>
      </c>
      <c r="H860" s="743">
        <v>1.3440000000000001</v>
      </c>
      <c r="I860" s="743">
        <v>1.1577999999999999</v>
      </c>
      <c r="J860" s="916">
        <v>-0.48299999999999998</v>
      </c>
      <c r="K860" s="916">
        <v>-0.35099999999999998</v>
      </c>
      <c r="L860" s="916">
        <v>-0.13900000000000001</v>
      </c>
    </row>
    <row r="861" spans="1:12" ht="14.5" x14ac:dyDescent="0.35">
      <c r="A861" s="915">
        <v>39766</v>
      </c>
      <c r="B861" s="743">
        <v>15.2737</v>
      </c>
      <c r="C861" s="743">
        <v>7.8888999999999996</v>
      </c>
      <c r="D861" s="915">
        <v>39766</v>
      </c>
      <c r="E861" s="743">
        <v>12.5756</v>
      </c>
      <c r="F861" s="743">
        <v>8.1659000000000006</v>
      </c>
      <c r="G861" s="915">
        <v>39766</v>
      </c>
      <c r="H861" s="743">
        <v>1.4655</v>
      </c>
      <c r="I861" s="743">
        <v>1.2011000000000001</v>
      </c>
      <c r="J861" s="916">
        <v>-0.48299999999999998</v>
      </c>
      <c r="K861" s="916">
        <v>-0.35099999999999998</v>
      </c>
      <c r="L861" s="916">
        <v>-0.18</v>
      </c>
    </row>
    <row r="862" spans="1:12" ht="14.5" x14ac:dyDescent="0.35">
      <c r="A862" s="915">
        <v>39759</v>
      </c>
      <c r="B862" s="743">
        <v>16.466100000000001</v>
      </c>
      <c r="C862" s="743">
        <v>8.2186000000000003</v>
      </c>
      <c r="D862" s="915">
        <v>39759</v>
      </c>
      <c r="E862" s="743">
        <v>12.5809</v>
      </c>
      <c r="F862" s="743">
        <v>8.1808999999999994</v>
      </c>
      <c r="G862" s="915">
        <v>39759</v>
      </c>
      <c r="H862" s="743">
        <v>1.581</v>
      </c>
      <c r="I862" s="743">
        <v>1.2315</v>
      </c>
      <c r="J862" s="916">
        <v>-0.501</v>
      </c>
      <c r="K862" s="916">
        <v>-0.35</v>
      </c>
      <c r="L862" s="916">
        <v>-0.221</v>
      </c>
    </row>
    <row r="863" spans="1:12" ht="14.5" x14ac:dyDescent="0.35">
      <c r="A863" s="915">
        <v>39752</v>
      </c>
      <c r="B863" s="743">
        <v>17.280200000000001</v>
      </c>
      <c r="C863" s="743">
        <v>8.1768999999999998</v>
      </c>
      <c r="D863" s="915">
        <v>39752</v>
      </c>
      <c r="E863" s="743">
        <v>12.589600000000001</v>
      </c>
      <c r="F863" s="743">
        <v>8.1925000000000008</v>
      </c>
      <c r="G863" s="915">
        <v>39752</v>
      </c>
      <c r="H863" s="743">
        <v>1.6614</v>
      </c>
      <c r="I863" s="743">
        <v>1.2321</v>
      </c>
      <c r="J863" s="916">
        <v>-0.52700000000000002</v>
      </c>
      <c r="K863" s="916">
        <v>-0.34899999999999998</v>
      </c>
      <c r="L863" s="916">
        <v>-0.25800000000000001</v>
      </c>
    </row>
    <row r="864" spans="1:12" ht="14.5" x14ac:dyDescent="0.35">
      <c r="A864" s="915">
        <v>39745</v>
      </c>
      <c r="B864" s="743">
        <v>15.563499999999999</v>
      </c>
      <c r="C864" s="743">
        <v>6.8419999999999996</v>
      </c>
      <c r="D864" s="915">
        <v>39745</v>
      </c>
      <c r="E864" s="743">
        <v>12.589700000000001</v>
      </c>
      <c r="F864" s="743">
        <v>8.2012999999999998</v>
      </c>
      <c r="G864" s="915">
        <v>39745</v>
      </c>
      <c r="H864" s="743">
        <v>1.4923</v>
      </c>
      <c r="I864" s="743">
        <v>1.0932999999999999</v>
      </c>
      <c r="J864" s="916">
        <v>-0.56000000000000005</v>
      </c>
      <c r="K864" s="916">
        <v>-0.34899999999999998</v>
      </c>
      <c r="L864" s="916">
        <v>-0.26700000000000002</v>
      </c>
    </row>
    <row r="865" spans="1:12" ht="14.5" x14ac:dyDescent="0.35">
      <c r="A865" s="915">
        <v>39738</v>
      </c>
      <c r="B865" s="743">
        <v>16.9787</v>
      </c>
      <c r="C865" s="743">
        <v>8.4152000000000005</v>
      </c>
      <c r="D865" s="915">
        <v>39738</v>
      </c>
      <c r="E865" s="743">
        <v>12.589700000000001</v>
      </c>
      <c r="F865" s="743">
        <v>8.1031999999999993</v>
      </c>
      <c r="G865" s="915">
        <v>39738</v>
      </c>
      <c r="H865" s="743">
        <v>1.6323000000000001</v>
      </c>
      <c r="I865" s="743">
        <v>1.2142999999999999</v>
      </c>
      <c r="J865" s="916">
        <v>-0.504</v>
      </c>
      <c r="K865" s="916">
        <v>-0.35599999999999998</v>
      </c>
      <c r="L865" s="916">
        <v>-0.25600000000000001</v>
      </c>
    </row>
    <row r="866" spans="1:12" ht="14.5" x14ac:dyDescent="0.35">
      <c r="A866" s="915">
        <v>39731</v>
      </c>
      <c r="B866" s="743">
        <v>16.435600000000001</v>
      </c>
      <c r="C866" s="743">
        <v>8.93</v>
      </c>
      <c r="D866" s="915">
        <v>39731</v>
      </c>
      <c r="E866" s="743">
        <v>12.5922</v>
      </c>
      <c r="F866" s="743">
        <v>7.9551999999999996</v>
      </c>
      <c r="G866" s="915">
        <v>39731</v>
      </c>
      <c r="H866" s="743">
        <v>1.5787</v>
      </c>
      <c r="I866" s="743">
        <v>1.2232000000000001</v>
      </c>
      <c r="J866" s="916">
        <v>-0.45700000000000002</v>
      </c>
      <c r="K866" s="916">
        <v>-0.36799999999999999</v>
      </c>
      <c r="L866" s="916">
        <v>-0.22500000000000001</v>
      </c>
    </row>
    <row r="867" spans="1:12" ht="14.5" x14ac:dyDescent="0.35">
      <c r="A867" s="915">
        <v>39724</v>
      </c>
      <c r="B867" s="743">
        <v>19.040500000000002</v>
      </c>
      <c r="C867" s="743">
        <v>10.043799999999999</v>
      </c>
      <c r="D867" s="915">
        <v>39724</v>
      </c>
      <c r="E867" s="743">
        <v>12.5921</v>
      </c>
      <c r="F867" s="743">
        <v>8.0549999999999997</v>
      </c>
      <c r="G867" s="915">
        <v>39724</v>
      </c>
      <c r="H867" s="743">
        <v>1.8353999999999999</v>
      </c>
      <c r="I867" s="743">
        <v>1.3381000000000001</v>
      </c>
      <c r="J867" s="916">
        <v>-0.47299999999999998</v>
      </c>
      <c r="K867" s="916">
        <v>-0.36</v>
      </c>
      <c r="L867" s="916">
        <v>-0.27100000000000002</v>
      </c>
    </row>
    <row r="868" spans="1:12" ht="14.5" x14ac:dyDescent="0.35">
      <c r="A868" s="915">
        <v>39717</v>
      </c>
      <c r="B868" s="743">
        <v>21.3917</v>
      </c>
      <c r="C868" s="743">
        <v>10.8627</v>
      </c>
      <c r="D868" s="915">
        <v>39717</v>
      </c>
      <c r="E868" s="743">
        <v>12.516400000000001</v>
      </c>
      <c r="F868" s="743">
        <v>8.1210000000000004</v>
      </c>
      <c r="G868" s="915">
        <v>39717</v>
      </c>
      <c r="H868" s="743">
        <v>2.2075</v>
      </c>
      <c r="I868" s="743">
        <v>1.3696999999999999</v>
      </c>
      <c r="J868" s="916">
        <v>-0.49199999999999999</v>
      </c>
      <c r="K868" s="916">
        <v>-0.35099999999999998</v>
      </c>
      <c r="L868" s="916">
        <v>-0.38</v>
      </c>
    </row>
    <row r="869" spans="1:12" ht="14.5" x14ac:dyDescent="0.35">
      <c r="A869" s="915">
        <v>39710</v>
      </c>
      <c r="B869" s="743">
        <v>22.325800000000001</v>
      </c>
      <c r="C869" s="743">
        <v>10.775399999999999</v>
      </c>
      <c r="D869" s="915">
        <v>39710</v>
      </c>
      <c r="E869" s="743">
        <v>12.5169</v>
      </c>
      <c r="F869" s="743">
        <v>8.1243999999999996</v>
      </c>
      <c r="G869" s="915">
        <v>39710</v>
      </c>
      <c r="H869" s="743">
        <v>2.3083999999999998</v>
      </c>
      <c r="I869" s="743">
        <v>1.3602000000000001</v>
      </c>
      <c r="J869" s="916">
        <v>-0.51700000000000002</v>
      </c>
      <c r="K869" s="916">
        <v>-0.35099999999999998</v>
      </c>
      <c r="L869" s="916">
        <v>-0.41099999999999998</v>
      </c>
    </row>
    <row r="870" spans="1:12" ht="14.5" x14ac:dyDescent="0.35">
      <c r="A870" s="915">
        <v>39703</v>
      </c>
      <c r="B870" s="743">
        <v>22.613900000000001</v>
      </c>
      <c r="C870" s="743">
        <v>10.877800000000001</v>
      </c>
      <c r="D870" s="915">
        <v>39703</v>
      </c>
      <c r="E870" s="743">
        <v>12.52</v>
      </c>
      <c r="F870" s="743">
        <v>8.1297999999999995</v>
      </c>
      <c r="G870" s="915">
        <v>39703</v>
      </c>
      <c r="H870" s="743">
        <v>2.3424</v>
      </c>
      <c r="I870" s="743">
        <v>1.3667</v>
      </c>
      <c r="J870" s="916">
        <v>-0.51900000000000002</v>
      </c>
      <c r="K870" s="916">
        <v>-0.35099999999999998</v>
      </c>
      <c r="L870" s="916">
        <v>-0.41699999999999998</v>
      </c>
    </row>
    <row r="871" spans="1:12" ht="14.5" x14ac:dyDescent="0.35">
      <c r="A871" s="915">
        <v>39696</v>
      </c>
      <c r="B871" s="743">
        <v>22.636700000000001</v>
      </c>
      <c r="C871" s="743">
        <v>10.342000000000001</v>
      </c>
      <c r="D871" s="915">
        <v>39696</v>
      </c>
      <c r="E871" s="743">
        <v>12.5198</v>
      </c>
      <c r="F871" s="743">
        <v>8.1326000000000001</v>
      </c>
      <c r="G871" s="915">
        <v>39696</v>
      </c>
      <c r="H871" s="743">
        <v>2.3441000000000001</v>
      </c>
      <c r="I871" s="743">
        <v>1.3278000000000001</v>
      </c>
      <c r="J871" s="916">
        <v>-0.54300000000000004</v>
      </c>
      <c r="K871" s="916">
        <v>-0.35</v>
      </c>
      <c r="L871" s="916">
        <v>-0.434</v>
      </c>
    </row>
    <row r="872" spans="1:12" ht="14.5" x14ac:dyDescent="0.35">
      <c r="A872" s="915">
        <v>39689</v>
      </c>
      <c r="B872" s="743">
        <v>23.9937</v>
      </c>
      <c r="C872" s="743">
        <v>10.8184</v>
      </c>
      <c r="D872" s="915">
        <v>39689</v>
      </c>
      <c r="E872" s="743">
        <v>12.5198</v>
      </c>
      <c r="F872" s="743">
        <v>8.2875999999999994</v>
      </c>
      <c r="G872" s="915">
        <v>39689</v>
      </c>
      <c r="H872" s="743">
        <v>2.4866999999999999</v>
      </c>
      <c r="I872" s="743">
        <v>1.3615999999999999</v>
      </c>
      <c r="J872" s="916">
        <v>-0.54900000000000004</v>
      </c>
      <c r="K872" s="916">
        <v>-0.33800000000000002</v>
      </c>
      <c r="L872" s="916">
        <v>-0.45200000000000001</v>
      </c>
    </row>
    <row r="873" spans="1:12" ht="14.5" x14ac:dyDescent="0.35">
      <c r="A873" s="915">
        <v>39682</v>
      </c>
      <c r="B873" s="743">
        <v>24.749600000000001</v>
      </c>
      <c r="C873" s="743">
        <v>10.995900000000001</v>
      </c>
      <c r="D873" s="915">
        <v>39682</v>
      </c>
      <c r="E873" s="743">
        <v>12.5236</v>
      </c>
      <c r="F873" s="743">
        <v>8.2347999999999999</v>
      </c>
      <c r="G873" s="915">
        <v>39682</v>
      </c>
      <c r="H873" s="743">
        <v>2.5666000000000002</v>
      </c>
      <c r="I873" s="743">
        <v>1.3474999999999999</v>
      </c>
      <c r="J873" s="916">
        <v>-0.55600000000000005</v>
      </c>
      <c r="K873" s="916">
        <v>-0.34200000000000003</v>
      </c>
      <c r="L873" s="916">
        <v>-0.47499999999999998</v>
      </c>
    </row>
    <row r="874" spans="1:12" ht="14.5" x14ac:dyDescent="0.35">
      <c r="A874" s="915">
        <v>39675</v>
      </c>
      <c r="B874" s="743">
        <v>25.0839</v>
      </c>
      <c r="C874" s="743">
        <v>11.5557</v>
      </c>
      <c r="D874" s="915">
        <v>39675</v>
      </c>
      <c r="E874" s="743">
        <v>12.491300000000001</v>
      </c>
      <c r="F874" s="743">
        <v>8.2406000000000006</v>
      </c>
      <c r="G874" s="915">
        <v>39675</v>
      </c>
      <c r="H874" s="743">
        <v>2.6032000000000002</v>
      </c>
      <c r="I874" s="743">
        <v>1.3867</v>
      </c>
      <c r="J874" s="916">
        <v>-0.53900000000000003</v>
      </c>
      <c r="K874" s="916">
        <v>-0.34</v>
      </c>
      <c r="L874" s="916">
        <v>-0.46700000000000003</v>
      </c>
    </row>
    <row r="875" spans="1:12" ht="14.5" x14ac:dyDescent="0.35">
      <c r="A875" s="915">
        <v>39668</v>
      </c>
      <c r="B875" s="743">
        <v>24.682700000000001</v>
      </c>
      <c r="C875" s="743">
        <v>11.506399999999999</v>
      </c>
      <c r="D875" s="915">
        <v>39668</v>
      </c>
      <c r="E875" s="743">
        <v>12.491300000000001</v>
      </c>
      <c r="F875" s="743">
        <v>8.3053000000000008</v>
      </c>
      <c r="G875" s="915">
        <v>39668</v>
      </c>
      <c r="H875" s="743">
        <v>2.5606</v>
      </c>
      <c r="I875" s="743">
        <v>1.3876999999999999</v>
      </c>
      <c r="J875" s="916">
        <v>-0.53400000000000003</v>
      </c>
      <c r="K875" s="916">
        <v>-0.33500000000000002</v>
      </c>
      <c r="L875" s="916">
        <v>-0.45800000000000002</v>
      </c>
    </row>
    <row r="876" spans="1:12" ht="14.5" x14ac:dyDescent="0.35">
      <c r="A876" s="915">
        <v>39661</v>
      </c>
      <c r="B876" s="743">
        <v>23.4056</v>
      </c>
      <c r="C876" s="743">
        <v>11.5108</v>
      </c>
      <c r="D876" s="915">
        <v>39661</v>
      </c>
      <c r="E876" s="743">
        <v>12.491300000000001</v>
      </c>
      <c r="F876" s="743">
        <v>8.298</v>
      </c>
      <c r="G876" s="915">
        <v>39661</v>
      </c>
      <c r="H876" s="743">
        <v>2.4253</v>
      </c>
      <c r="I876" s="743">
        <v>1.3857999999999999</v>
      </c>
      <c r="J876" s="916">
        <v>-0.50800000000000001</v>
      </c>
      <c r="K876" s="916">
        <v>-0.33600000000000002</v>
      </c>
      <c r="L876" s="916">
        <v>-0.42899999999999999</v>
      </c>
    </row>
    <row r="877" spans="1:12" ht="14.5" x14ac:dyDescent="0.35">
      <c r="A877" s="915">
        <v>39654</v>
      </c>
      <c r="B877" s="743">
        <v>23.6617</v>
      </c>
      <c r="C877" s="743">
        <v>11.658099999999999</v>
      </c>
      <c r="D877" s="915">
        <v>39654</v>
      </c>
      <c r="E877" s="743">
        <v>12.491300000000001</v>
      </c>
      <c r="F877" s="743">
        <v>8.3292999999999999</v>
      </c>
      <c r="G877" s="915">
        <v>39654</v>
      </c>
      <c r="H877" s="743">
        <v>2.4523999999999999</v>
      </c>
      <c r="I877" s="743">
        <v>1.4118999999999999</v>
      </c>
      <c r="J877" s="916">
        <v>-0.50700000000000001</v>
      </c>
      <c r="K877" s="916">
        <v>-0.33300000000000002</v>
      </c>
      <c r="L877" s="916">
        <v>-0.42399999999999999</v>
      </c>
    </row>
    <row r="878" spans="1:12" ht="14.5" x14ac:dyDescent="0.35">
      <c r="A878" s="915">
        <v>39647</v>
      </c>
      <c r="B878" s="743">
        <v>23.3629</v>
      </c>
      <c r="C878" s="743">
        <v>11.0311</v>
      </c>
      <c r="D878" s="915">
        <v>39647</v>
      </c>
      <c r="E878" s="743">
        <v>12.4915</v>
      </c>
      <c r="F878" s="743">
        <v>8.3241999999999994</v>
      </c>
      <c r="G878" s="915">
        <v>39647</v>
      </c>
      <c r="H878" s="743">
        <v>2.4116</v>
      </c>
      <c r="I878" s="743">
        <v>1.3660000000000001</v>
      </c>
      <c r="J878" s="916">
        <v>-0.52800000000000002</v>
      </c>
      <c r="K878" s="916">
        <v>-0.33400000000000002</v>
      </c>
      <c r="L878" s="916">
        <v>-0.434</v>
      </c>
    </row>
    <row r="879" spans="1:12" ht="14.5" x14ac:dyDescent="0.35">
      <c r="A879" s="915">
        <v>39640</v>
      </c>
      <c r="B879" s="743">
        <v>23.204799999999999</v>
      </c>
      <c r="C879" s="743">
        <v>11.4703</v>
      </c>
      <c r="D879" s="915">
        <v>39640</v>
      </c>
      <c r="E879" s="743">
        <v>12.492000000000001</v>
      </c>
      <c r="F879" s="743">
        <v>8.2688000000000006</v>
      </c>
      <c r="G879" s="915">
        <v>39640</v>
      </c>
      <c r="H879" s="743">
        <v>2.3769</v>
      </c>
      <c r="I879" s="743">
        <v>1.4029</v>
      </c>
      <c r="J879" s="916">
        <v>-0.50600000000000001</v>
      </c>
      <c r="K879" s="916">
        <v>-0.33800000000000002</v>
      </c>
      <c r="L879" s="916">
        <v>-0.41</v>
      </c>
    </row>
    <row r="880" spans="1:12" ht="14.5" x14ac:dyDescent="0.35">
      <c r="A880" s="915">
        <v>39633</v>
      </c>
      <c r="B880" s="743">
        <v>23.274899999999999</v>
      </c>
      <c r="C880" s="743">
        <v>11.561199999999999</v>
      </c>
      <c r="D880" s="915">
        <v>39633</v>
      </c>
      <c r="E880" s="743">
        <v>12.492100000000001</v>
      </c>
      <c r="F880" s="743">
        <v>8.1587999999999994</v>
      </c>
      <c r="G880" s="915">
        <v>39633</v>
      </c>
      <c r="H880" s="743">
        <v>2.3851</v>
      </c>
      <c r="I880" s="743">
        <v>1.4040999999999999</v>
      </c>
      <c r="J880" s="916">
        <v>-0.503</v>
      </c>
      <c r="K880" s="916">
        <v>-0.34699999999999998</v>
      </c>
      <c r="L880" s="916">
        <v>-0.41099999999999998</v>
      </c>
    </row>
    <row r="881" spans="1:12" ht="14.5" x14ac:dyDescent="0.35">
      <c r="A881" s="915">
        <v>39626</v>
      </c>
      <c r="B881" s="743">
        <v>24.368099999999998</v>
      </c>
      <c r="C881" s="743">
        <v>13.9186</v>
      </c>
      <c r="D881" s="915">
        <v>39626</v>
      </c>
      <c r="E881" s="743">
        <v>15.2059</v>
      </c>
      <c r="F881" s="743">
        <v>7.3874000000000004</v>
      </c>
      <c r="G881" s="915">
        <v>39626</v>
      </c>
      <c r="H881" s="743">
        <v>2.5329000000000002</v>
      </c>
      <c r="I881" s="743">
        <v>1.1748000000000001</v>
      </c>
      <c r="J881" s="916">
        <v>-0.42899999999999999</v>
      </c>
      <c r="K881" s="916">
        <v>-0.51400000000000001</v>
      </c>
      <c r="L881" s="916">
        <v>-0.53600000000000003</v>
      </c>
    </row>
    <row r="882" spans="1:12" ht="14.5" x14ac:dyDescent="0.35">
      <c r="A882" s="915">
        <v>39619</v>
      </c>
      <c r="B882" s="743">
        <v>25.322299999999998</v>
      </c>
      <c r="C882" s="743">
        <v>14.2788</v>
      </c>
      <c r="D882" s="915">
        <v>39619</v>
      </c>
      <c r="E882" s="743">
        <v>15.2059</v>
      </c>
      <c r="F882" s="743">
        <v>7.3602999999999996</v>
      </c>
      <c r="G882" s="915">
        <v>39619</v>
      </c>
      <c r="H882" s="743">
        <v>2.6347</v>
      </c>
      <c r="I882" s="743">
        <v>1.1908000000000001</v>
      </c>
      <c r="J882" s="916">
        <v>-0.436</v>
      </c>
      <c r="K882" s="916">
        <v>-0.51600000000000001</v>
      </c>
      <c r="L882" s="916">
        <v>-0.54800000000000004</v>
      </c>
    </row>
    <row r="883" spans="1:12" ht="14.5" x14ac:dyDescent="0.35">
      <c r="A883" s="915">
        <v>39612</v>
      </c>
      <c r="B883" s="743">
        <v>25.816299999999998</v>
      </c>
      <c r="C883" s="743">
        <v>14.406599999999999</v>
      </c>
      <c r="D883" s="915">
        <v>39612</v>
      </c>
      <c r="E883" s="743">
        <v>15.205500000000001</v>
      </c>
      <c r="F883" s="743">
        <v>7.3602999999999996</v>
      </c>
      <c r="G883" s="915">
        <v>39612</v>
      </c>
      <c r="H883" s="743">
        <v>2.6913</v>
      </c>
      <c r="I883" s="743">
        <v>1.1758999999999999</v>
      </c>
      <c r="J883" s="916">
        <v>-0.442</v>
      </c>
      <c r="K883" s="916">
        <v>-0.51600000000000001</v>
      </c>
      <c r="L883" s="916">
        <v>-0.56299999999999994</v>
      </c>
    </row>
    <row r="884" spans="1:12" ht="14.5" x14ac:dyDescent="0.35">
      <c r="A884" s="915">
        <v>39605</v>
      </c>
      <c r="B884" s="743">
        <v>26.136500000000002</v>
      </c>
      <c r="C884" s="743">
        <v>15.170299999999999</v>
      </c>
      <c r="D884" s="915">
        <v>39605</v>
      </c>
      <c r="E884" s="743">
        <v>15.205500000000001</v>
      </c>
      <c r="F884" s="743">
        <v>7.3602999999999996</v>
      </c>
      <c r="G884" s="915">
        <v>39605</v>
      </c>
      <c r="H884" s="743">
        <v>2.7254999999999998</v>
      </c>
      <c r="I884" s="743">
        <v>1.2142999999999999</v>
      </c>
      <c r="J884" s="916">
        <v>-0.42</v>
      </c>
      <c r="K884" s="916">
        <v>-0.51600000000000001</v>
      </c>
      <c r="L884" s="916">
        <v>-0.55400000000000005</v>
      </c>
    </row>
    <row r="885" spans="1:12" ht="14.5" x14ac:dyDescent="0.35">
      <c r="A885" s="915">
        <v>39598</v>
      </c>
      <c r="B885" s="743">
        <v>26.6692</v>
      </c>
      <c r="C885" s="743">
        <v>15.3423</v>
      </c>
      <c r="D885" s="915">
        <v>39598</v>
      </c>
      <c r="E885" s="743">
        <v>15.1609</v>
      </c>
      <c r="F885" s="743">
        <v>7.3602999999999996</v>
      </c>
      <c r="G885" s="915">
        <v>39598</v>
      </c>
      <c r="H885" s="743">
        <v>2.7848000000000002</v>
      </c>
      <c r="I885" s="743">
        <v>1.2226999999999999</v>
      </c>
      <c r="J885" s="916">
        <v>-0.42499999999999999</v>
      </c>
      <c r="K885" s="916">
        <v>-0.51500000000000001</v>
      </c>
      <c r="L885" s="916">
        <v>-0.56100000000000005</v>
      </c>
    </row>
    <row r="886" spans="1:12" ht="14.5" x14ac:dyDescent="0.35">
      <c r="A886" s="915">
        <v>39591</v>
      </c>
      <c r="B886" s="743">
        <v>25.703299999999999</v>
      </c>
      <c r="C886" s="743">
        <v>15.1111</v>
      </c>
      <c r="D886" s="915">
        <v>39591</v>
      </c>
      <c r="E886" s="743">
        <v>15.1609</v>
      </c>
      <c r="F886" s="743">
        <v>7.3602999999999996</v>
      </c>
      <c r="G886" s="915">
        <v>39591</v>
      </c>
      <c r="H886" s="743">
        <v>2.6819000000000002</v>
      </c>
      <c r="I886" s="743">
        <v>1.2111000000000001</v>
      </c>
      <c r="J886" s="916">
        <v>-0.41199999999999998</v>
      </c>
      <c r="K886" s="916">
        <v>-0.51500000000000001</v>
      </c>
      <c r="L886" s="916">
        <v>-0.54800000000000004</v>
      </c>
    </row>
    <row r="887" spans="1:12" ht="14.5" x14ac:dyDescent="0.35">
      <c r="A887" s="915">
        <v>39584</v>
      </c>
      <c r="B887" s="743">
        <v>26.652100000000001</v>
      </c>
      <c r="C887" s="743">
        <v>15.7431</v>
      </c>
      <c r="D887" s="915">
        <v>39584</v>
      </c>
      <c r="E887" s="743">
        <v>15.1609</v>
      </c>
      <c r="F887" s="743">
        <v>7.3602999999999996</v>
      </c>
      <c r="G887" s="915">
        <v>39584</v>
      </c>
      <c r="H887" s="743">
        <v>2.7652000000000001</v>
      </c>
      <c r="I887" s="743">
        <v>1.2427999999999999</v>
      </c>
      <c r="J887" s="916">
        <v>-0.40899999999999997</v>
      </c>
      <c r="K887" s="916">
        <v>-0.51500000000000001</v>
      </c>
      <c r="L887" s="916">
        <v>-0.55100000000000005</v>
      </c>
    </row>
    <row r="888" spans="1:12" ht="14.5" x14ac:dyDescent="0.35">
      <c r="A888" s="915">
        <v>39577</v>
      </c>
      <c r="B888" s="743">
        <v>25.720800000000001</v>
      </c>
      <c r="C888" s="743">
        <v>15.1074</v>
      </c>
      <c r="D888" s="915">
        <v>39577</v>
      </c>
      <c r="E888" s="743">
        <v>15.161199999999999</v>
      </c>
      <c r="F888" s="743">
        <v>7.3602999999999996</v>
      </c>
      <c r="G888" s="915">
        <v>39577</v>
      </c>
      <c r="H888" s="743">
        <v>2.6659999999999999</v>
      </c>
      <c r="I888" s="743">
        <v>1.2109000000000001</v>
      </c>
      <c r="J888" s="916">
        <v>-0.41299999999999998</v>
      </c>
      <c r="K888" s="916">
        <v>-0.51500000000000001</v>
      </c>
      <c r="L888" s="916">
        <v>-0.54600000000000004</v>
      </c>
    </row>
    <row r="889" spans="1:12" ht="14.5" x14ac:dyDescent="0.35">
      <c r="A889" s="915">
        <v>39570</v>
      </c>
      <c r="B889" s="743">
        <v>26.004899999999999</v>
      </c>
      <c r="C889" s="743">
        <v>15.3706</v>
      </c>
      <c r="D889" s="915">
        <v>39570</v>
      </c>
      <c r="E889" s="743">
        <v>15.162000000000001</v>
      </c>
      <c r="F889" s="743">
        <v>7.3602999999999996</v>
      </c>
      <c r="G889" s="915">
        <v>39570</v>
      </c>
      <c r="H889" s="743">
        <v>2.6970999999999998</v>
      </c>
      <c r="I889" s="743">
        <v>1.2241</v>
      </c>
      <c r="J889" s="916">
        <v>-0.40899999999999997</v>
      </c>
      <c r="K889" s="916">
        <v>-0.51500000000000001</v>
      </c>
      <c r="L889" s="916">
        <v>-0.54600000000000004</v>
      </c>
    </row>
    <row r="890" spans="1:12" ht="14.5" x14ac:dyDescent="0.35">
      <c r="A890" s="915">
        <v>39563</v>
      </c>
      <c r="B890" s="743">
        <v>25.173100000000002</v>
      </c>
      <c r="C890" s="743">
        <v>14.895899999999999</v>
      </c>
      <c r="D890" s="915">
        <v>39563</v>
      </c>
      <c r="E890" s="743">
        <v>15.161300000000001</v>
      </c>
      <c r="F890" s="743">
        <v>7.2995999999999999</v>
      </c>
      <c r="G890" s="915">
        <v>39563</v>
      </c>
      <c r="H890" s="743">
        <v>2.5859999999999999</v>
      </c>
      <c r="I890" s="743">
        <v>1.2356</v>
      </c>
      <c r="J890" s="916">
        <v>-0.40799999999999997</v>
      </c>
      <c r="K890" s="916">
        <v>-0.51900000000000002</v>
      </c>
      <c r="L890" s="916">
        <v>-0.52200000000000002</v>
      </c>
    </row>
    <row r="891" spans="1:12" ht="14.5" x14ac:dyDescent="0.35">
      <c r="A891" s="915">
        <v>39556</v>
      </c>
      <c r="B891" s="743">
        <v>24.921399999999998</v>
      </c>
      <c r="C891" s="743">
        <v>14.375999999999999</v>
      </c>
      <c r="D891" s="915">
        <v>39556</v>
      </c>
      <c r="E891" s="743">
        <v>15.1569</v>
      </c>
      <c r="F891" s="743">
        <v>7.2823000000000002</v>
      </c>
      <c r="G891" s="915">
        <v>39556</v>
      </c>
      <c r="H891" s="743">
        <v>2.5606</v>
      </c>
      <c r="I891" s="743">
        <v>1.21</v>
      </c>
      <c r="J891" s="916">
        <v>-0.42299999999999999</v>
      </c>
      <c r="K891" s="916">
        <v>-0.52</v>
      </c>
      <c r="L891" s="916">
        <v>-0.52700000000000002</v>
      </c>
    </row>
    <row r="892" spans="1:12" ht="14.5" x14ac:dyDescent="0.35">
      <c r="A892" s="915">
        <v>39549</v>
      </c>
      <c r="B892" s="743">
        <v>23.589600000000001</v>
      </c>
      <c r="C892" s="743">
        <v>14.475199999999999</v>
      </c>
      <c r="D892" s="915">
        <v>39549</v>
      </c>
      <c r="E892" s="743">
        <v>15.1708</v>
      </c>
      <c r="F892" s="743">
        <v>7.2823000000000002</v>
      </c>
      <c r="G892" s="915">
        <v>39549</v>
      </c>
      <c r="H892" s="743">
        <v>2.4203000000000001</v>
      </c>
      <c r="I892" s="743">
        <v>1.2151000000000001</v>
      </c>
      <c r="J892" s="916">
        <v>-0.38600000000000001</v>
      </c>
      <c r="K892" s="916">
        <v>-0.52</v>
      </c>
      <c r="L892" s="916">
        <v>-0.498</v>
      </c>
    </row>
    <row r="893" spans="1:12" ht="14.5" x14ac:dyDescent="0.35">
      <c r="A893" s="915">
        <v>39542</v>
      </c>
      <c r="B893" s="743">
        <v>24.470300000000002</v>
      </c>
      <c r="C893" s="743">
        <v>14.3241</v>
      </c>
      <c r="D893" s="915">
        <v>39542</v>
      </c>
      <c r="E893" s="743">
        <v>15.1708</v>
      </c>
      <c r="F893" s="743">
        <v>7.2925000000000004</v>
      </c>
      <c r="G893" s="915">
        <v>39542</v>
      </c>
      <c r="H893" s="743">
        <v>2.5154000000000001</v>
      </c>
      <c r="I893" s="743">
        <v>1.2177</v>
      </c>
      <c r="J893" s="916">
        <v>-0.41499999999999998</v>
      </c>
      <c r="K893" s="916">
        <v>-0.51900000000000002</v>
      </c>
      <c r="L893" s="916">
        <v>-0.51600000000000001</v>
      </c>
    </row>
    <row r="894" spans="1:12" ht="14.5" x14ac:dyDescent="0.35">
      <c r="A894" s="915">
        <v>39535</v>
      </c>
      <c r="B894" s="743">
        <v>23.799199999999999</v>
      </c>
      <c r="C894" s="743">
        <v>12.7704</v>
      </c>
      <c r="D894" s="915">
        <v>39535</v>
      </c>
      <c r="E894" s="743">
        <v>15.6967</v>
      </c>
      <c r="F894" s="743">
        <v>8.8902000000000001</v>
      </c>
      <c r="G894" s="915">
        <v>39535</v>
      </c>
      <c r="H894" s="743">
        <v>2.4148000000000001</v>
      </c>
      <c r="I894" s="743">
        <v>0.50900000000000001</v>
      </c>
      <c r="J894" s="916">
        <v>-0.46300000000000002</v>
      </c>
      <c r="K894" s="916">
        <v>-0.434</v>
      </c>
      <c r="L894" s="916">
        <v>-0.78900000000000003</v>
      </c>
    </row>
    <row r="895" spans="1:12" ht="14.5" x14ac:dyDescent="0.35">
      <c r="A895" s="915">
        <v>39528</v>
      </c>
      <c r="B895" s="743">
        <v>23.589500000000001</v>
      </c>
      <c r="C895" s="743">
        <v>12.1904</v>
      </c>
      <c r="D895" s="915">
        <v>39528</v>
      </c>
      <c r="E895" s="743">
        <v>15.6709</v>
      </c>
      <c r="F895" s="743">
        <v>8.7131000000000007</v>
      </c>
      <c r="G895" s="915">
        <v>39528</v>
      </c>
      <c r="H895" s="743">
        <v>2.3929</v>
      </c>
      <c r="I895" s="743">
        <v>0.496</v>
      </c>
      <c r="J895" s="916">
        <v>-0.48299999999999998</v>
      </c>
      <c r="K895" s="916">
        <v>-0.44400000000000001</v>
      </c>
      <c r="L895" s="916">
        <v>-0.79300000000000004</v>
      </c>
    </row>
    <row r="896" spans="1:12" ht="14.5" x14ac:dyDescent="0.35">
      <c r="A896" s="915">
        <v>39521</v>
      </c>
      <c r="B896" s="743">
        <v>23.075600000000001</v>
      </c>
      <c r="C896" s="743">
        <v>11.7509</v>
      </c>
      <c r="D896" s="915">
        <v>39521</v>
      </c>
      <c r="E896" s="743">
        <v>15.6646</v>
      </c>
      <c r="F896" s="743">
        <v>8.7110000000000003</v>
      </c>
      <c r="G896" s="915">
        <v>39521</v>
      </c>
      <c r="H896" s="743">
        <v>2.3479000000000001</v>
      </c>
      <c r="I896" s="743">
        <v>0.48630000000000001</v>
      </c>
      <c r="J896" s="916">
        <v>-0.49099999999999999</v>
      </c>
      <c r="K896" s="916">
        <v>-0.44400000000000001</v>
      </c>
      <c r="L896" s="916">
        <v>-0.79300000000000004</v>
      </c>
    </row>
    <row r="897" spans="1:12" ht="14.5" x14ac:dyDescent="0.35">
      <c r="A897" s="915">
        <v>39514</v>
      </c>
      <c r="B897" s="743">
        <v>22.983000000000001</v>
      </c>
      <c r="C897" s="743">
        <v>12.212300000000001</v>
      </c>
      <c r="D897" s="915">
        <v>39514</v>
      </c>
      <c r="E897" s="743">
        <v>15.6646</v>
      </c>
      <c r="F897" s="743">
        <v>8.7110000000000003</v>
      </c>
      <c r="G897" s="915">
        <v>39514</v>
      </c>
      <c r="H897" s="743">
        <v>2.339</v>
      </c>
      <c r="I897" s="743">
        <v>0.4965</v>
      </c>
      <c r="J897" s="916">
        <v>-0.46899999999999997</v>
      </c>
      <c r="K897" s="916">
        <v>-0.44400000000000001</v>
      </c>
      <c r="L897" s="916">
        <v>-0.78800000000000003</v>
      </c>
    </row>
    <row r="898" spans="1:12" ht="14.5" x14ac:dyDescent="0.35">
      <c r="A898" s="915">
        <v>39507</v>
      </c>
      <c r="B898" s="743">
        <v>23.4604</v>
      </c>
      <c r="C898" s="743">
        <v>12.597799999999999</v>
      </c>
      <c r="D898" s="915">
        <v>39507</v>
      </c>
      <c r="E898" s="743">
        <v>15.6713</v>
      </c>
      <c r="F898" s="743">
        <v>8.9132999999999996</v>
      </c>
      <c r="G898" s="915">
        <v>39507</v>
      </c>
      <c r="H898" s="743">
        <v>2.3946000000000001</v>
      </c>
      <c r="I898" s="743">
        <v>0.50470000000000004</v>
      </c>
      <c r="J898" s="916">
        <v>-0.46300000000000002</v>
      </c>
      <c r="K898" s="916">
        <v>-0.43099999999999999</v>
      </c>
      <c r="L898" s="916">
        <v>-0.78900000000000003</v>
      </c>
    </row>
    <row r="899" spans="1:12" ht="14.5" x14ac:dyDescent="0.35">
      <c r="A899" s="915">
        <v>39500</v>
      </c>
      <c r="B899" s="743">
        <v>23.8124</v>
      </c>
      <c r="C899" s="743">
        <v>12.446300000000001</v>
      </c>
      <c r="D899" s="915">
        <v>39500</v>
      </c>
      <c r="E899" s="743">
        <v>15.660399999999999</v>
      </c>
      <c r="F899" s="743">
        <v>8.9132999999999996</v>
      </c>
      <c r="G899" s="915">
        <v>39500</v>
      </c>
      <c r="H899" s="743">
        <v>2.4346999999999999</v>
      </c>
      <c r="I899" s="743">
        <v>0.501</v>
      </c>
      <c r="J899" s="916">
        <v>-0.47699999999999998</v>
      </c>
      <c r="K899" s="916">
        <v>-0.43099999999999999</v>
      </c>
      <c r="L899" s="916">
        <v>-0.79400000000000004</v>
      </c>
    </row>
    <row r="900" spans="1:12" ht="14.5" x14ac:dyDescent="0.35">
      <c r="A900" s="915">
        <v>39493</v>
      </c>
      <c r="B900" s="743">
        <v>23.904599999999999</v>
      </c>
      <c r="C900" s="743">
        <v>12.438000000000001</v>
      </c>
      <c r="D900" s="915">
        <v>39493</v>
      </c>
      <c r="E900" s="743">
        <v>15.683400000000001</v>
      </c>
      <c r="F900" s="743">
        <v>9.0129999999999999</v>
      </c>
      <c r="G900" s="915">
        <v>39493</v>
      </c>
      <c r="H900" s="743">
        <v>2.4455</v>
      </c>
      <c r="I900" s="743">
        <v>0.50739999999999996</v>
      </c>
      <c r="J900" s="916">
        <v>-0.48</v>
      </c>
      <c r="K900" s="916">
        <v>-0.42499999999999999</v>
      </c>
      <c r="L900" s="916">
        <v>-0.79300000000000004</v>
      </c>
    </row>
    <row r="901" spans="1:12" ht="14.5" x14ac:dyDescent="0.35">
      <c r="A901" s="915">
        <v>39486</v>
      </c>
      <c r="B901" s="743">
        <v>23.815899999999999</v>
      </c>
      <c r="C901" s="743">
        <v>12.553900000000001</v>
      </c>
      <c r="D901" s="915">
        <v>39486</v>
      </c>
      <c r="E901" s="743">
        <v>15.6829</v>
      </c>
      <c r="F901" s="743">
        <v>9.0108999999999995</v>
      </c>
      <c r="G901" s="915">
        <v>39486</v>
      </c>
      <c r="H901" s="743">
        <v>2.4350000000000001</v>
      </c>
      <c r="I901" s="743">
        <v>0.50449999999999995</v>
      </c>
      <c r="J901" s="916">
        <v>-0.47299999999999998</v>
      </c>
      <c r="K901" s="916">
        <v>-0.42499999999999999</v>
      </c>
      <c r="L901" s="916">
        <v>-0.79300000000000004</v>
      </c>
    </row>
    <row r="902" spans="1:12" ht="14.5" x14ac:dyDescent="0.35">
      <c r="A902" s="915">
        <v>39479</v>
      </c>
      <c r="B902" s="743">
        <v>24.912199999999999</v>
      </c>
      <c r="C902" s="743">
        <v>12.1188</v>
      </c>
      <c r="D902" s="915">
        <v>39479</v>
      </c>
      <c r="E902" s="743">
        <v>15.6821</v>
      </c>
      <c r="F902" s="743">
        <v>9.0109999999999992</v>
      </c>
      <c r="G902" s="915">
        <v>39479</v>
      </c>
      <c r="H902" s="743">
        <v>2.5508000000000002</v>
      </c>
      <c r="I902" s="743">
        <v>0.49469999999999997</v>
      </c>
      <c r="J902" s="916">
        <v>-0.51400000000000001</v>
      </c>
      <c r="K902" s="916">
        <v>-0.42499999999999999</v>
      </c>
      <c r="L902" s="916">
        <v>-0.80600000000000005</v>
      </c>
    </row>
    <row r="903" spans="1:12" ht="14.5" x14ac:dyDescent="0.35">
      <c r="A903" s="915">
        <v>39472</v>
      </c>
      <c r="B903" s="743">
        <v>24.0441</v>
      </c>
      <c r="C903" s="743">
        <v>12.409000000000001</v>
      </c>
      <c r="D903" s="915">
        <v>39472</v>
      </c>
      <c r="E903" s="743">
        <v>15.6911</v>
      </c>
      <c r="F903" s="743">
        <v>8.9977999999999998</v>
      </c>
      <c r="G903" s="915">
        <v>39472</v>
      </c>
      <c r="H903" s="743">
        <v>2.4561000000000002</v>
      </c>
      <c r="I903" s="743">
        <v>1.1889000000000001</v>
      </c>
      <c r="J903" s="916">
        <v>-0.48399999999999999</v>
      </c>
      <c r="K903" s="916">
        <v>-0.42699999999999999</v>
      </c>
      <c r="L903" s="916">
        <v>-0.51600000000000001</v>
      </c>
    </row>
    <row r="904" spans="1:12" ht="14.5" x14ac:dyDescent="0.35">
      <c r="A904" s="915">
        <v>39465</v>
      </c>
      <c r="B904" s="743">
        <v>24.7822</v>
      </c>
      <c r="C904" s="743">
        <v>12.6746</v>
      </c>
      <c r="D904" s="915">
        <v>39465</v>
      </c>
      <c r="E904" s="743">
        <v>15.6905</v>
      </c>
      <c r="F904" s="743">
        <v>9.0043000000000006</v>
      </c>
      <c r="G904" s="915">
        <v>39465</v>
      </c>
      <c r="H904" s="743">
        <v>2.5339999999999998</v>
      </c>
      <c r="I904" s="743">
        <v>1.2029000000000001</v>
      </c>
      <c r="J904" s="916">
        <v>-0.48899999999999999</v>
      </c>
      <c r="K904" s="916">
        <v>-0.42599999999999999</v>
      </c>
      <c r="L904" s="916">
        <v>-0.52500000000000002</v>
      </c>
    </row>
    <row r="905" spans="1:12" ht="14.5" x14ac:dyDescent="0.35">
      <c r="A905" s="915">
        <v>39458</v>
      </c>
      <c r="B905" s="743">
        <v>25.706399999999999</v>
      </c>
      <c r="C905" s="743">
        <v>12.8377</v>
      </c>
      <c r="D905" s="915">
        <v>39458</v>
      </c>
      <c r="E905" s="743">
        <v>15.6904</v>
      </c>
      <c r="F905" s="743">
        <v>9</v>
      </c>
      <c r="G905" s="915">
        <v>39458</v>
      </c>
      <c r="H905" s="743">
        <v>2.6314000000000002</v>
      </c>
      <c r="I905" s="743">
        <v>1.2158</v>
      </c>
      <c r="J905" s="916">
        <v>-0.501</v>
      </c>
      <c r="K905" s="916">
        <v>-0.42599999999999999</v>
      </c>
      <c r="L905" s="916">
        <v>-0.53800000000000003</v>
      </c>
    </row>
    <row r="906" spans="1:12" ht="14.5" x14ac:dyDescent="0.35">
      <c r="A906" s="915">
        <v>39451</v>
      </c>
      <c r="B906" s="743">
        <v>26.386800000000001</v>
      </c>
      <c r="C906" s="743">
        <v>13.497400000000001</v>
      </c>
      <c r="D906" s="915">
        <v>39451</v>
      </c>
      <c r="E906" s="743">
        <v>15.688700000000001</v>
      </c>
      <c r="F906" s="743">
        <v>9.0015999999999998</v>
      </c>
      <c r="G906" s="915">
        <v>39451</v>
      </c>
      <c r="H906" s="743">
        <v>2.7037</v>
      </c>
      <c r="I906" s="743">
        <v>1.2524</v>
      </c>
      <c r="J906" s="916">
        <v>-0.48799999999999999</v>
      </c>
      <c r="K906" s="916">
        <v>-0.42599999999999999</v>
      </c>
      <c r="L906" s="916">
        <v>-0.53700000000000003</v>
      </c>
    </row>
    <row r="907" spans="1:12" ht="14.5" x14ac:dyDescent="0.35">
      <c r="A907" s="915">
        <v>39444</v>
      </c>
      <c r="B907" s="743">
        <v>28.221800000000002</v>
      </c>
      <c r="C907" s="743">
        <v>14.627000000000001</v>
      </c>
      <c r="D907" s="915">
        <v>39444</v>
      </c>
      <c r="E907" s="743">
        <v>15.6554</v>
      </c>
      <c r="F907" s="743">
        <v>8.0807000000000002</v>
      </c>
      <c r="G907" s="915">
        <v>39444</v>
      </c>
      <c r="H907" s="743">
        <v>2.9051999999999998</v>
      </c>
      <c r="I907" s="743">
        <v>1.274</v>
      </c>
      <c r="J907" s="916">
        <v>-0.48199999999999998</v>
      </c>
      <c r="K907" s="916">
        <v>-0.48399999999999999</v>
      </c>
      <c r="L907" s="916">
        <v>-0.56100000000000005</v>
      </c>
    </row>
    <row r="908" spans="1:12" ht="14.5" x14ac:dyDescent="0.35">
      <c r="A908" s="915">
        <v>39437</v>
      </c>
      <c r="B908" s="743">
        <v>28.285</v>
      </c>
      <c r="C908" s="743">
        <v>14.542299999999999</v>
      </c>
      <c r="D908" s="915">
        <v>39437</v>
      </c>
      <c r="E908" s="743">
        <v>15.6554</v>
      </c>
      <c r="F908" s="743">
        <v>8.0807000000000002</v>
      </c>
      <c r="G908" s="915">
        <v>39437</v>
      </c>
      <c r="H908" s="743">
        <v>2.8910999999999998</v>
      </c>
      <c r="I908" s="743">
        <v>1.2695000000000001</v>
      </c>
      <c r="J908" s="916">
        <v>-0.48599999999999999</v>
      </c>
      <c r="K908" s="916">
        <v>-0.48399999999999999</v>
      </c>
      <c r="L908" s="916">
        <v>-0.56100000000000005</v>
      </c>
    </row>
    <row r="909" spans="1:12" ht="14.5" x14ac:dyDescent="0.35">
      <c r="A909" s="915">
        <v>39430</v>
      </c>
      <c r="B909" s="743">
        <v>29.605599999999999</v>
      </c>
      <c r="C909" s="743">
        <v>14.6395</v>
      </c>
      <c r="D909" s="915">
        <v>39430</v>
      </c>
      <c r="E909" s="743">
        <v>15.151400000000001</v>
      </c>
      <c r="F909" s="743">
        <v>8.0791000000000004</v>
      </c>
      <c r="G909" s="915">
        <v>39430</v>
      </c>
      <c r="H909" s="743">
        <v>2.9291</v>
      </c>
      <c r="I909" s="743">
        <v>1.2694000000000001</v>
      </c>
      <c r="J909" s="916">
        <v>-0.50600000000000001</v>
      </c>
      <c r="K909" s="916">
        <v>-0.46700000000000003</v>
      </c>
      <c r="L909" s="916">
        <v>-0.56699999999999995</v>
      </c>
    </row>
    <row r="910" spans="1:12" ht="14.5" x14ac:dyDescent="0.35">
      <c r="A910" s="915">
        <v>39423</v>
      </c>
      <c r="B910" s="743">
        <v>30.4313</v>
      </c>
      <c r="C910" s="743">
        <v>15.2667</v>
      </c>
      <c r="D910" s="915">
        <v>39423</v>
      </c>
      <c r="E910" s="743">
        <v>15.152799999999999</v>
      </c>
      <c r="F910" s="743">
        <v>7.9642999999999997</v>
      </c>
      <c r="G910" s="915">
        <v>39423</v>
      </c>
      <c r="H910" s="743">
        <v>3.0133000000000001</v>
      </c>
      <c r="I910" s="743">
        <v>1.6332</v>
      </c>
      <c r="J910" s="916">
        <v>-0.498</v>
      </c>
      <c r="K910" s="916">
        <v>-0.47399999999999998</v>
      </c>
      <c r="L910" s="916">
        <v>-0.45800000000000002</v>
      </c>
    </row>
    <row r="911" spans="1:12" ht="14.5" x14ac:dyDescent="0.35">
      <c r="A911" s="915">
        <v>39416</v>
      </c>
      <c r="B911" s="743">
        <v>29.848099999999999</v>
      </c>
      <c r="C911" s="743">
        <v>14.861800000000001</v>
      </c>
      <c r="D911" s="915">
        <v>39416</v>
      </c>
      <c r="E911" s="743">
        <v>15.1503</v>
      </c>
      <c r="F911" s="743">
        <v>7.9642999999999997</v>
      </c>
      <c r="G911" s="915">
        <v>39416</v>
      </c>
      <c r="H911" s="743">
        <v>2.9449000000000001</v>
      </c>
      <c r="I911" s="743">
        <v>1.605</v>
      </c>
      <c r="J911" s="916">
        <v>-0.502</v>
      </c>
      <c r="K911" s="916">
        <v>-0.47399999999999998</v>
      </c>
      <c r="L911" s="916">
        <v>-0.45500000000000002</v>
      </c>
    </row>
    <row r="912" spans="1:12" ht="14.5" x14ac:dyDescent="0.35">
      <c r="A912" s="915">
        <v>39409</v>
      </c>
      <c r="B912" s="743">
        <v>28.990400000000001</v>
      </c>
      <c r="C912" s="743">
        <v>14.0428</v>
      </c>
      <c r="D912" s="915">
        <v>39409</v>
      </c>
      <c r="E912" s="743">
        <v>15.15</v>
      </c>
      <c r="F912" s="743">
        <v>7.9642999999999997</v>
      </c>
      <c r="G912" s="915">
        <v>39409</v>
      </c>
      <c r="H912" s="743">
        <v>2.8578000000000001</v>
      </c>
      <c r="I912" s="743">
        <v>1.5408999999999999</v>
      </c>
      <c r="J912" s="916">
        <v>-0.51600000000000001</v>
      </c>
      <c r="K912" s="916">
        <v>-0.47399999999999998</v>
      </c>
      <c r="L912" s="916">
        <v>-0.46100000000000002</v>
      </c>
    </row>
    <row r="913" spans="1:12" ht="14.5" x14ac:dyDescent="0.35">
      <c r="A913" s="915">
        <v>39402</v>
      </c>
      <c r="B913" s="743">
        <v>29.274000000000001</v>
      </c>
      <c r="C913" s="743">
        <v>15.1272</v>
      </c>
      <c r="D913" s="915">
        <v>39402</v>
      </c>
      <c r="E913" s="743">
        <v>15.149800000000001</v>
      </c>
      <c r="F913" s="743">
        <v>7.9642999999999997</v>
      </c>
      <c r="G913" s="915">
        <v>39402</v>
      </c>
      <c r="H913" s="743">
        <v>2.8864000000000001</v>
      </c>
      <c r="I913" s="743">
        <v>1.6229</v>
      </c>
      <c r="J913" s="916">
        <v>-0.48299999999999998</v>
      </c>
      <c r="K913" s="916">
        <v>-0.47399999999999998</v>
      </c>
      <c r="L913" s="916">
        <v>-0.438</v>
      </c>
    </row>
    <row r="914" spans="1:12" ht="14.5" x14ac:dyDescent="0.35">
      <c r="A914" s="915">
        <v>39395</v>
      </c>
      <c r="B914" s="743">
        <v>29.0517</v>
      </c>
      <c r="C914" s="743">
        <v>15.4262</v>
      </c>
      <c r="D914" s="915">
        <v>39395</v>
      </c>
      <c r="E914" s="743">
        <v>15.1584</v>
      </c>
      <c r="F914" s="743">
        <v>7.9642999999999997</v>
      </c>
      <c r="G914" s="915">
        <v>39395</v>
      </c>
      <c r="H914" s="743">
        <v>2.8666</v>
      </c>
      <c r="I914" s="743">
        <v>1.6479999999999999</v>
      </c>
      <c r="J914" s="916">
        <v>-0.46899999999999997</v>
      </c>
      <c r="K914" s="916">
        <v>-0.47499999999999998</v>
      </c>
      <c r="L914" s="916">
        <v>-0.42499999999999999</v>
      </c>
    </row>
    <row r="915" spans="1:12" ht="14.5" x14ac:dyDescent="0.35">
      <c r="A915" s="915">
        <v>39388</v>
      </c>
      <c r="B915" s="743">
        <v>31.613199999999999</v>
      </c>
      <c r="C915" s="743">
        <v>15.5008</v>
      </c>
      <c r="D915" s="915">
        <v>39388</v>
      </c>
      <c r="E915" s="743">
        <v>15.1561</v>
      </c>
      <c r="F915" s="743">
        <v>7.9642999999999997</v>
      </c>
      <c r="G915" s="915">
        <v>39388</v>
      </c>
      <c r="H915" s="743">
        <v>3.1265999999999998</v>
      </c>
      <c r="I915" s="743">
        <v>1.6545000000000001</v>
      </c>
      <c r="J915" s="916">
        <v>-0.51</v>
      </c>
      <c r="K915" s="916">
        <v>-0.47499999999999998</v>
      </c>
      <c r="L915" s="916">
        <v>-0.47099999999999997</v>
      </c>
    </row>
    <row r="916" spans="1:12" ht="14.5" x14ac:dyDescent="0.35">
      <c r="A916" s="915">
        <v>39381</v>
      </c>
      <c r="B916" s="743">
        <v>31.332899999999999</v>
      </c>
      <c r="C916" s="743">
        <v>15.3371</v>
      </c>
      <c r="D916" s="915">
        <v>39381</v>
      </c>
      <c r="E916" s="743">
        <v>15.158300000000001</v>
      </c>
      <c r="F916" s="743">
        <v>7.9550000000000001</v>
      </c>
      <c r="G916" s="915">
        <v>39381</v>
      </c>
      <c r="H916" s="743">
        <v>3.1021999999999998</v>
      </c>
      <c r="I916" s="743">
        <v>1.6667000000000001</v>
      </c>
      <c r="J916" s="916">
        <v>-0.51100000000000001</v>
      </c>
      <c r="K916" s="916">
        <v>-0.47499999999999998</v>
      </c>
      <c r="L916" s="916">
        <v>-0.46300000000000002</v>
      </c>
    </row>
    <row r="917" spans="1:12" ht="14.5" x14ac:dyDescent="0.35">
      <c r="A917" s="915">
        <v>39374</v>
      </c>
      <c r="B917" s="743">
        <v>30.413699999999999</v>
      </c>
      <c r="C917" s="743">
        <v>14.9221</v>
      </c>
      <c r="D917" s="915">
        <v>39374</v>
      </c>
      <c r="E917" s="743">
        <v>15.1524</v>
      </c>
      <c r="F917" s="743">
        <v>7.8832000000000004</v>
      </c>
      <c r="G917" s="915">
        <v>39374</v>
      </c>
      <c r="H917" s="743">
        <v>3.0070000000000001</v>
      </c>
      <c r="I917" s="743">
        <v>1.6336999999999999</v>
      </c>
      <c r="J917" s="916">
        <v>-0.50900000000000001</v>
      </c>
      <c r="K917" s="916">
        <v>-0.48</v>
      </c>
      <c r="L917" s="916">
        <v>-0.45700000000000002</v>
      </c>
    </row>
    <row r="918" spans="1:12" ht="14.5" x14ac:dyDescent="0.35">
      <c r="A918" s="915">
        <v>39367</v>
      </c>
      <c r="B918" s="743">
        <v>31.082899999999999</v>
      </c>
      <c r="C918" s="743">
        <v>15.4687</v>
      </c>
      <c r="D918" s="915">
        <v>39367</v>
      </c>
      <c r="E918" s="743">
        <v>15.1523</v>
      </c>
      <c r="F918" s="743">
        <v>7.9001999999999999</v>
      </c>
      <c r="G918" s="915">
        <v>39367</v>
      </c>
      <c r="H918" s="743">
        <v>3.0749</v>
      </c>
      <c r="I918" s="743">
        <v>1.6747000000000001</v>
      </c>
      <c r="J918" s="916">
        <v>-0.502</v>
      </c>
      <c r="K918" s="916">
        <v>-0.47899999999999998</v>
      </c>
      <c r="L918" s="916">
        <v>-0.45500000000000002</v>
      </c>
    </row>
    <row r="919" spans="1:12" ht="14.5" x14ac:dyDescent="0.35">
      <c r="A919" s="915">
        <v>39360</v>
      </c>
      <c r="B919" s="743">
        <v>30.6812</v>
      </c>
      <c r="C919" s="743">
        <v>15.1084</v>
      </c>
      <c r="D919" s="915">
        <v>39360</v>
      </c>
      <c r="E919" s="743">
        <v>15.1526</v>
      </c>
      <c r="F919" s="743">
        <v>7.8975999999999997</v>
      </c>
      <c r="G919" s="915">
        <v>39360</v>
      </c>
      <c r="H919" s="743">
        <v>3.0375000000000001</v>
      </c>
      <c r="I919" s="743">
        <v>1.6576</v>
      </c>
      <c r="J919" s="916">
        <v>-0.50800000000000001</v>
      </c>
      <c r="K919" s="916">
        <v>-0.47899999999999998</v>
      </c>
      <c r="L919" s="916">
        <v>-0.45400000000000001</v>
      </c>
    </row>
    <row r="920" spans="1:12" ht="14.5" x14ac:dyDescent="0.35">
      <c r="A920" s="915">
        <v>39353</v>
      </c>
      <c r="B920" s="743">
        <v>29.755099999999999</v>
      </c>
      <c r="C920" s="743">
        <v>15.5464</v>
      </c>
      <c r="D920" s="915">
        <v>39353</v>
      </c>
      <c r="E920" s="743">
        <v>15.111599999999999</v>
      </c>
      <c r="F920" s="743">
        <v>7.3852000000000002</v>
      </c>
      <c r="G920" s="915">
        <v>39353</v>
      </c>
      <c r="H920" s="743">
        <v>2.9596</v>
      </c>
      <c r="I920" s="743">
        <v>1.6585000000000001</v>
      </c>
      <c r="J920" s="916">
        <v>-0.47799999999999998</v>
      </c>
      <c r="K920" s="916">
        <v>-0.51100000000000001</v>
      </c>
      <c r="L920" s="916">
        <v>-0.44</v>
      </c>
    </row>
    <row r="921" spans="1:12" ht="14.5" x14ac:dyDescent="0.35">
      <c r="A921" s="915">
        <v>39346</v>
      </c>
      <c r="B921" s="743">
        <v>29.152699999999999</v>
      </c>
      <c r="C921" s="743">
        <v>15.276300000000001</v>
      </c>
      <c r="D921" s="915">
        <v>39346</v>
      </c>
      <c r="E921" s="743">
        <v>15.1051</v>
      </c>
      <c r="F921" s="743">
        <v>7.3472999999999997</v>
      </c>
      <c r="G921" s="915">
        <v>39346</v>
      </c>
      <c r="H921" s="743">
        <v>2.8997000000000002</v>
      </c>
      <c r="I921" s="743">
        <v>1.6326000000000001</v>
      </c>
      <c r="J921" s="916">
        <v>-0.47599999999999998</v>
      </c>
      <c r="K921" s="916">
        <v>-0.51400000000000001</v>
      </c>
      <c r="L921" s="916">
        <v>-0.437</v>
      </c>
    </row>
    <row r="922" spans="1:12" ht="14.5" x14ac:dyDescent="0.35">
      <c r="A922" s="915">
        <v>39339</v>
      </c>
      <c r="B922" s="743">
        <v>28.4588</v>
      </c>
      <c r="C922" s="743">
        <v>14.8499</v>
      </c>
      <c r="D922" s="915">
        <v>39339</v>
      </c>
      <c r="E922" s="743">
        <v>15.110200000000001</v>
      </c>
      <c r="F922" s="743">
        <v>7.3712999999999997</v>
      </c>
      <c r="G922" s="915">
        <v>39339</v>
      </c>
      <c r="H922" s="743">
        <v>2.8292000000000002</v>
      </c>
      <c r="I922" s="743">
        <v>1.5895999999999999</v>
      </c>
      <c r="J922" s="916">
        <v>-0.47799999999999998</v>
      </c>
      <c r="K922" s="916">
        <v>-0.51200000000000001</v>
      </c>
      <c r="L922" s="916">
        <v>-0.438</v>
      </c>
    </row>
    <row r="923" spans="1:12" ht="14.5" x14ac:dyDescent="0.35">
      <c r="A923" s="915">
        <v>39332</v>
      </c>
      <c r="B923" s="743">
        <v>27.857199999999999</v>
      </c>
      <c r="C923" s="743">
        <v>14.9617</v>
      </c>
      <c r="D923" s="915">
        <v>39332</v>
      </c>
      <c r="E923" s="743">
        <v>15.110200000000001</v>
      </c>
      <c r="F923" s="743">
        <v>7.3705999999999996</v>
      </c>
      <c r="G923" s="915">
        <v>39332</v>
      </c>
      <c r="H923" s="743">
        <v>2.77</v>
      </c>
      <c r="I923" s="743">
        <v>1.5773999999999999</v>
      </c>
      <c r="J923" s="916">
        <v>-0.46300000000000002</v>
      </c>
      <c r="K923" s="916">
        <v>-0.51200000000000001</v>
      </c>
      <c r="L923" s="916">
        <v>-0.43099999999999999</v>
      </c>
    </row>
    <row r="924" spans="1:12" ht="14.5" x14ac:dyDescent="0.35">
      <c r="A924" s="915">
        <v>39325</v>
      </c>
      <c r="B924" s="743">
        <v>28.282900000000001</v>
      </c>
      <c r="C924" s="743">
        <v>14.8592</v>
      </c>
      <c r="D924" s="915">
        <v>39325</v>
      </c>
      <c r="E924" s="743">
        <v>15.082000000000001</v>
      </c>
      <c r="F924" s="743">
        <v>7.3800999999999997</v>
      </c>
      <c r="G924" s="915">
        <v>39325</v>
      </c>
      <c r="H924" s="743">
        <v>2.8172000000000001</v>
      </c>
      <c r="I924" s="743">
        <v>1.5719000000000001</v>
      </c>
      <c r="J924" s="916">
        <v>-0.47499999999999998</v>
      </c>
      <c r="K924" s="916">
        <v>-0.51100000000000001</v>
      </c>
      <c r="L924" s="916">
        <v>-0.442</v>
      </c>
    </row>
    <row r="925" spans="1:12" ht="14.5" x14ac:dyDescent="0.35">
      <c r="A925" s="915">
        <v>39318</v>
      </c>
      <c r="B925" s="743">
        <v>27.857199999999999</v>
      </c>
      <c r="C925" s="743">
        <v>14.152100000000001</v>
      </c>
      <c r="D925" s="915">
        <v>39318</v>
      </c>
      <c r="E925" s="743">
        <v>15.088100000000001</v>
      </c>
      <c r="F925" s="743">
        <v>7.3986000000000001</v>
      </c>
      <c r="G925" s="915">
        <v>39318</v>
      </c>
      <c r="H925" s="743">
        <v>2.7768000000000002</v>
      </c>
      <c r="I925" s="743">
        <v>1.5357000000000001</v>
      </c>
      <c r="J925" s="916">
        <v>-0.49199999999999999</v>
      </c>
      <c r="K925" s="916">
        <v>-0.51</v>
      </c>
      <c r="L925" s="916">
        <v>-0.44700000000000001</v>
      </c>
    </row>
    <row r="926" spans="1:12" ht="14.5" x14ac:dyDescent="0.35">
      <c r="A926" s="915">
        <v>39311</v>
      </c>
      <c r="B926" s="743">
        <v>26.836200000000002</v>
      </c>
      <c r="C926" s="743">
        <v>13.0327</v>
      </c>
      <c r="D926" s="915">
        <v>39311</v>
      </c>
      <c r="E926" s="743">
        <v>15.040800000000001</v>
      </c>
      <c r="F926" s="743">
        <v>7.4440999999999997</v>
      </c>
      <c r="G926" s="915">
        <v>39311</v>
      </c>
      <c r="H926" s="743">
        <v>2.6688000000000001</v>
      </c>
      <c r="I926" s="743">
        <v>1.4567000000000001</v>
      </c>
      <c r="J926" s="916">
        <v>-0.51400000000000001</v>
      </c>
      <c r="K926" s="916">
        <v>-0.505</v>
      </c>
      <c r="L926" s="916">
        <v>-0.45400000000000001</v>
      </c>
    </row>
    <row r="927" spans="1:12" ht="14.5" x14ac:dyDescent="0.35">
      <c r="A927" s="915">
        <v>39304</v>
      </c>
      <c r="B927" s="743">
        <v>28.9801</v>
      </c>
      <c r="C927" s="743">
        <v>14.3477</v>
      </c>
      <c r="D927" s="915">
        <v>39304</v>
      </c>
      <c r="E927" s="743">
        <v>14.379</v>
      </c>
      <c r="F927" s="743">
        <v>7.4718999999999998</v>
      </c>
      <c r="G927" s="915">
        <v>39304</v>
      </c>
      <c r="H927" s="743">
        <v>2.794</v>
      </c>
      <c r="I927" s="743">
        <v>1.5561</v>
      </c>
      <c r="J927" s="916">
        <v>-0.505</v>
      </c>
      <c r="K927" s="916">
        <v>-0.48</v>
      </c>
      <c r="L927" s="916">
        <v>-0.443</v>
      </c>
    </row>
    <row r="928" spans="1:12" ht="14.5" x14ac:dyDescent="0.35">
      <c r="A928" s="915">
        <v>39297</v>
      </c>
      <c r="B928" s="743">
        <v>28.881</v>
      </c>
      <c r="C928" s="743">
        <v>14.8613</v>
      </c>
      <c r="D928" s="915">
        <v>39297</v>
      </c>
      <c r="E928" s="743">
        <v>14.3789</v>
      </c>
      <c r="F928" s="743">
        <v>7.4810999999999996</v>
      </c>
      <c r="G928" s="915">
        <v>39297</v>
      </c>
      <c r="H928" s="743">
        <v>2.7871000000000001</v>
      </c>
      <c r="I928" s="743">
        <v>1.5873999999999999</v>
      </c>
      <c r="J928" s="916">
        <v>-0.48499999999999999</v>
      </c>
      <c r="K928" s="916">
        <v>-0.48</v>
      </c>
      <c r="L928" s="916">
        <v>-0.43</v>
      </c>
    </row>
    <row r="929" spans="1:12" ht="14.5" x14ac:dyDescent="0.35">
      <c r="A929" s="915">
        <v>39290</v>
      </c>
      <c r="B929" s="743">
        <v>29.447700000000001</v>
      </c>
      <c r="C929" s="743">
        <v>14.975099999999999</v>
      </c>
      <c r="D929" s="915">
        <v>39290</v>
      </c>
      <c r="E929" s="743">
        <v>14.380800000000001</v>
      </c>
      <c r="F929" s="743">
        <v>7.5106000000000002</v>
      </c>
      <c r="G929" s="915">
        <v>39290</v>
      </c>
      <c r="H929" s="743">
        <v>2.8462000000000001</v>
      </c>
      <c r="I929" s="743">
        <v>1.6205000000000001</v>
      </c>
      <c r="J929" s="916">
        <v>-0.49099999999999999</v>
      </c>
      <c r="K929" s="916">
        <v>-0.47799999999999998</v>
      </c>
      <c r="L929" s="916">
        <v>-0.43099999999999999</v>
      </c>
    </row>
    <row r="930" spans="1:12" ht="14.5" x14ac:dyDescent="0.35">
      <c r="A930" s="915">
        <v>39283</v>
      </c>
      <c r="B930" s="743">
        <v>30.654399999999999</v>
      </c>
      <c r="C930" s="743">
        <v>15.743</v>
      </c>
      <c r="D930" s="915">
        <v>39283</v>
      </c>
      <c r="E930" s="743">
        <v>14.385</v>
      </c>
      <c r="F930" s="743">
        <v>7.5153999999999996</v>
      </c>
      <c r="G930" s="915">
        <v>39283</v>
      </c>
      <c r="H930" s="743">
        <v>2.9662999999999999</v>
      </c>
      <c r="I930" s="743">
        <v>1.7448999999999999</v>
      </c>
      <c r="J930" s="916">
        <v>-0.48599999999999999</v>
      </c>
      <c r="K930" s="916">
        <v>-0.47799999999999998</v>
      </c>
      <c r="L930" s="916">
        <v>-0.41199999999999998</v>
      </c>
    </row>
    <row r="931" spans="1:12" ht="14.5" x14ac:dyDescent="0.35">
      <c r="A931" s="915">
        <v>39276</v>
      </c>
      <c r="B931" s="743">
        <v>30.573599999999999</v>
      </c>
      <c r="C931" s="743">
        <v>15.6645</v>
      </c>
      <c r="D931" s="915">
        <v>39276</v>
      </c>
      <c r="E931" s="743">
        <v>14.3893</v>
      </c>
      <c r="F931" s="743">
        <v>7.4718</v>
      </c>
      <c r="G931" s="915">
        <v>39276</v>
      </c>
      <c r="H931" s="743">
        <v>2.9607999999999999</v>
      </c>
      <c r="I931" s="743">
        <v>1.7307999999999999</v>
      </c>
      <c r="J931" s="916">
        <v>-0.48799999999999999</v>
      </c>
      <c r="K931" s="916">
        <v>-0.48099999999999998</v>
      </c>
      <c r="L931" s="916">
        <v>-0.41499999999999998</v>
      </c>
    </row>
    <row r="932" spans="1:12" ht="14.5" x14ac:dyDescent="0.35">
      <c r="A932" s="915">
        <v>39269</v>
      </c>
      <c r="B932" s="743">
        <v>29.903500000000001</v>
      </c>
      <c r="C932" s="743">
        <v>14.6778</v>
      </c>
      <c r="D932" s="915">
        <v>39269</v>
      </c>
      <c r="E932" s="743">
        <v>14.3712</v>
      </c>
      <c r="F932" s="743">
        <v>7.2709000000000001</v>
      </c>
      <c r="G932" s="915">
        <v>39269</v>
      </c>
      <c r="H932" s="743">
        <v>2.9125000000000001</v>
      </c>
      <c r="I932" s="743">
        <v>1.6726000000000001</v>
      </c>
      <c r="J932" s="916">
        <v>-0.50900000000000001</v>
      </c>
      <c r="K932" s="916">
        <v>-0.49399999999999999</v>
      </c>
      <c r="L932" s="916">
        <v>-0.42599999999999999</v>
      </c>
    </row>
    <row r="933" spans="1:12" ht="14.5" x14ac:dyDescent="0.35">
      <c r="A933" s="915">
        <v>39262</v>
      </c>
      <c r="B933" s="743">
        <v>28.8019</v>
      </c>
      <c r="C933" s="743">
        <v>14.8255</v>
      </c>
      <c r="D933" s="915">
        <v>39262</v>
      </c>
      <c r="E933" s="743">
        <v>14.2904</v>
      </c>
      <c r="F933" s="743">
        <v>6.6496000000000004</v>
      </c>
      <c r="G933" s="915">
        <v>39262</v>
      </c>
      <c r="H933" s="743">
        <v>2.8241999999999998</v>
      </c>
      <c r="I933" s="743">
        <v>1.2473000000000001</v>
      </c>
      <c r="J933" s="916">
        <v>-0.48499999999999999</v>
      </c>
      <c r="K933" s="916">
        <v>-0.53500000000000003</v>
      </c>
      <c r="L933" s="916">
        <v>-0.55800000000000005</v>
      </c>
    </row>
    <row r="934" spans="1:12" ht="14.5" x14ac:dyDescent="0.35">
      <c r="A934" s="915">
        <v>39255</v>
      </c>
      <c r="B934" s="743">
        <v>28.622900000000001</v>
      </c>
      <c r="C934" s="743">
        <v>15.0787</v>
      </c>
      <c r="D934" s="915">
        <v>39255</v>
      </c>
      <c r="E934" s="743">
        <v>14.282400000000001</v>
      </c>
      <c r="F934" s="743">
        <v>6.6496000000000004</v>
      </c>
      <c r="G934" s="915">
        <v>39255</v>
      </c>
      <c r="H934" s="743">
        <v>2.8056999999999999</v>
      </c>
      <c r="I934" s="743">
        <v>1.2613000000000001</v>
      </c>
      <c r="J934" s="916">
        <v>-0.47299999999999998</v>
      </c>
      <c r="K934" s="916">
        <v>-0.53400000000000003</v>
      </c>
      <c r="L934" s="916">
        <v>-0.55000000000000004</v>
      </c>
    </row>
    <row r="935" spans="1:12" ht="14.5" x14ac:dyDescent="0.35">
      <c r="A935" s="915">
        <v>39248</v>
      </c>
      <c r="B935" s="743">
        <v>28.927700000000002</v>
      </c>
      <c r="C935" s="743">
        <v>15.0502</v>
      </c>
      <c r="D935" s="915">
        <v>39248</v>
      </c>
      <c r="E935" s="743">
        <v>14.282400000000001</v>
      </c>
      <c r="F935" s="743">
        <v>6.6496000000000004</v>
      </c>
      <c r="G935" s="915">
        <v>39248</v>
      </c>
      <c r="H935" s="743">
        <v>2.8437999999999999</v>
      </c>
      <c r="I935" s="743">
        <v>1.2589999999999999</v>
      </c>
      <c r="J935" s="916">
        <v>-0.48</v>
      </c>
      <c r="K935" s="916">
        <v>-0.53400000000000003</v>
      </c>
      <c r="L935" s="916">
        <v>-0.55700000000000005</v>
      </c>
    </row>
    <row r="936" spans="1:12" ht="14.5" x14ac:dyDescent="0.35">
      <c r="A936" s="915">
        <v>39241</v>
      </c>
      <c r="B936" s="743">
        <v>28.387499999999999</v>
      </c>
      <c r="C936" s="743">
        <v>14.7498</v>
      </c>
      <c r="D936" s="915">
        <v>39241</v>
      </c>
      <c r="E936" s="743">
        <v>14.2951</v>
      </c>
      <c r="F936" s="743">
        <v>6.6496000000000004</v>
      </c>
      <c r="G936" s="915">
        <v>39241</v>
      </c>
      <c r="H936" s="743">
        <v>2.7888999999999999</v>
      </c>
      <c r="I936" s="743">
        <v>1.24</v>
      </c>
      <c r="J936" s="916">
        <v>-0.48</v>
      </c>
      <c r="K936" s="916">
        <v>-0.53500000000000003</v>
      </c>
      <c r="L936" s="916">
        <v>-0.55500000000000005</v>
      </c>
    </row>
    <row r="937" spans="1:12" ht="14.5" x14ac:dyDescent="0.35">
      <c r="A937" s="915">
        <v>39234</v>
      </c>
      <c r="B937" s="743">
        <v>28.6998</v>
      </c>
      <c r="C937" s="743">
        <v>14.6656</v>
      </c>
      <c r="D937" s="915">
        <v>39234</v>
      </c>
      <c r="E937" s="743">
        <v>14.276199999999999</v>
      </c>
      <c r="F937" s="743">
        <v>6.6496000000000004</v>
      </c>
      <c r="G937" s="915">
        <v>39234</v>
      </c>
      <c r="H937" s="743">
        <v>2.8237000000000001</v>
      </c>
      <c r="I937" s="743">
        <v>1.2364999999999999</v>
      </c>
      <c r="J937" s="916">
        <v>-0.48899999999999999</v>
      </c>
      <c r="K937" s="916">
        <v>-0.53400000000000003</v>
      </c>
      <c r="L937" s="916">
        <v>-0.56200000000000006</v>
      </c>
    </row>
    <row r="938" spans="1:12" ht="14.5" x14ac:dyDescent="0.35">
      <c r="A938" s="915">
        <v>39227</v>
      </c>
      <c r="B938" s="743">
        <v>28.026399999999999</v>
      </c>
      <c r="C938" s="743">
        <v>14.144</v>
      </c>
      <c r="D938" s="915">
        <v>39227</v>
      </c>
      <c r="E938" s="743">
        <v>14.3056</v>
      </c>
      <c r="F938" s="743">
        <v>6.6496000000000004</v>
      </c>
      <c r="G938" s="915">
        <v>39227</v>
      </c>
      <c r="H938" s="743">
        <v>2.7812999999999999</v>
      </c>
      <c r="I938" s="743">
        <v>1.2078</v>
      </c>
      <c r="J938" s="916">
        <v>-0.495</v>
      </c>
      <c r="K938" s="916">
        <v>-0.53500000000000003</v>
      </c>
      <c r="L938" s="916">
        <v>-0.56599999999999995</v>
      </c>
    </row>
    <row r="939" spans="1:12" ht="14.5" x14ac:dyDescent="0.35">
      <c r="A939" s="915">
        <v>39220</v>
      </c>
      <c r="B939" s="743">
        <v>28.087599999999998</v>
      </c>
      <c r="C939" s="743">
        <v>13.908200000000001</v>
      </c>
      <c r="D939" s="915">
        <v>39220</v>
      </c>
      <c r="E939" s="743">
        <v>14.2668</v>
      </c>
      <c r="F939" s="743">
        <v>6.6496000000000004</v>
      </c>
      <c r="G939" s="915">
        <v>39220</v>
      </c>
      <c r="H939" s="743">
        <v>2.7932000000000001</v>
      </c>
      <c r="I939" s="743">
        <v>1.1948000000000001</v>
      </c>
      <c r="J939" s="916">
        <v>-0.505</v>
      </c>
      <c r="K939" s="916">
        <v>-0.53400000000000003</v>
      </c>
      <c r="L939" s="916">
        <v>-0.57199999999999995</v>
      </c>
    </row>
    <row r="940" spans="1:12" ht="14.5" x14ac:dyDescent="0.35">
      <c r="A940" s="915">
        <v>39213</v>
      </c>
      <c r="B940" s="743">
        <v>30.796299999999999</v>
      </c>
      <c r="C940" s="743">
        <v>13.8659</v>
      </c>
      <c r="D940" s="915">
        <v>39213</v>
      </c>
      <c r="E940" s="743">
        <v>14.9847</v>
      </c>
      <c r="F940" s="743">
        <v>6.6496000000000004</v>
      </c>
      <c r="G940" s="915">
        <v>39213</v>
      </c>
      <c r="H940" s="743">
        <v>2.9597000000000002</v>
      </c>
      <c r="I940" s="743">
        <v>1.1928000000000001</v>
      </c>
      <c r="J940" s="916">
        <v>-0.55000000000000004</v>
      </c>
      <c r="K940" s="916">
        <v>-0.55600000000000005</v>
      </c>
      <c r="L940" s="916">
        <v>-0.59699999999999998</v>
      </c>
    </row>
    <row r="941" spans="1:12" ht="14.5" x14ac:dyDescent="0.35">
      <c r="A941" s="915">
        <v>39206</v>
      </c>
      <c r="B941" s="743">
        <v>30.747299999999999</v>
      </c>
      <c r="C941" s="743">
        <v>13.587400000000001</v>
      </c>
      <c r="D941" s="915">
        <v>39206</v>
      </c>
      <c r="E941" s="743">
        <v>14.984999999999999</v>
      </c>
      <c r="F941" s="743">
        <v>6.6496000000000004</v>
      </c>
      <c r="G941" s="915">
        <v>39206</v>
      </c>
      <c r="H941" s="743">
        <v>2.9586999999999999</v>
      </c>
      <c r="I941" s="743">
        <v>1.179</v>
      </c>
      <c r="J941" s="916">
        <v>-0.55800000000000005</v>
      </c>
      <c r="K941" s="916">
        <v>-0.55600000000000005</v>
      </c>
      <c r="L941" s="916">
        <v>-0.60199999999999998</v>
      </c>
    </row>
    <row r="942" spans="1:12" ht="14.5" x14ac:dyDescent="0.35">
      <c r="A942" s="915">
        <v>39199</v>
      </c>
      <c r="B942" s="743">
        <v>30.674700000000001</v>
      </c>
      <c r="C942" s="743">
        <v>12.7904</v>
      </c>
      <c r="D942" s="915">
        <v>39199</v>
      </c>
      <c r="E942" s="743">
        <v>14.9903</v>
      </c>
      <c r="F942" s="743">
        <v>6.9626000000000001</v>
      </c>
      <c r="G942" s="915">
        <v>39199</v>
      </c>
      <c r="H942" s="743">
        <v>2.9514999999999998</v>
      </c>
      <c r="I942" s="743">
        <v>1.3270999999999999</v>
      </c>
      <c r="J942" s="916">
        <v>-0.58299999999999996</v>
      </c>
      <c r="K942" s="916">
        <v>-0.53600000000000003</v>
      </c>
      <c r="L942" s="916">
        <v>-0.55000000000000004</v>
      </c>
    </row>
    <row r="943" spans="1:12" ht="14.5" x14ac:dyDescent="0.35">
      <c r="A943" s="915">
        <v>39192</v>
      </c>
      <c r="B943" s="743">
        <v>29.948</v>
      </c>
      <c r="C943" s="743">
        <v>12.623900000000001</v>
      </c>
      <c r="D943" s="915">
        <v>39192</v>
      </c>
      <c r="E943" s="743">
        <v>14.992699999999999</v>
      </c>
      <c r="F943" s="743">
        <v>6.3334999999999999</v>
      </c>
      <c r="G943" s="915">
        <v>39192</v>
      </c>
      <c r="H943" s="743">
        <v>2.8782000000000001</v>
      </c>
      <c r="I943" s="743">
        <v>1.3494999999999999</v>
      </c>
      <c r="J943" s="916">
        <v>-0.57799999999999996</v>
      </c>
      <c r="K943" s="916">
        <v>-0.57799999999999996</v>
      </c>
      <c r="L943" s="916">
        <v>-0.53100000000000003</v>
      </c>
    </row>
    <row r="944" spans="1:12" ht="14.5" x14ac:dyDescent="0.35">
      <c r="A944" s="915">
        <v>39185</v>
      </c>
      <c r="B944" s="743">
        <v>29.514399999999998</v>
      </c>
      <c r="C944" s="743">
        <v>12.5862</v>
      </c>
      <c r="D944" s="915">
        <v>39185</v>
      </c>
      <c r="E944" s="743">
        <v>14.9937</v>
      </c>
      <c r="F944" s="743">
        <v>6.3263999999999996</v>
      </c>
      <c r="G944" s="915">
        <v>39185</v>
      </c>
      <c r="H944" s="743">
        <v>2.831</v>
      </c>
      <c r="I944" s="743">
        <v>1.3378000000000001</v>
      </c>
      <c r="J944" s="916">
        <v>-0.57399999999999995</v>
      </c>
      <c r="K944" s="916">
        <v>-0.57799999999999996</v>
      </c>
      <c r="L944" s="916">
        <v>-0.52700000000000002</v>
      </c>
    </row>
    <row r="945" spans="1:12" ht="14.5" x14ac:dyDescent="0.35">
      <c r="A945" s="915">
        <v>39178</v>
      </c>
      <c r="B945" s="743">
        <v>29.466000000000001</v>
      </c>
      <c r="C945" s="743">
        <v>12.2943</v>
      </c>
      <c r="D945" s="915">
        <v>39178</v>
      </c>
      <c r="E945" s="743">
        <v>15.006500000000001</v>
      </c>
      <c r="F945" s="743">
        <v>6.3263999999999996</v>
      </c>
      <c r="G945" s="915">
        <v>39178</v>
      </c>
      <c r="H945" s="743">
        <v>2.8254999999999999</v>
      </c>
      <c r="I945" s="743">
        <v>1.2104999999999999</v>
      </c>
      <c r="J945" s="916">
        <v>-0.58299999999999996</v>
      </c>
      <c r="K945" s="916">
        <v>-0.57799999999999996</v>
      </c>
      <c r="L945" s="916">
        <v>-0.57199999999999995</v>
      </c>
    </row>
    <row r="946" spans="1:12" ht="14.5" x14ac:dyDescent="0.35">
      <c r="A946" s="915">
        <v>39171</v>
      </c>
      <c r="B946" s="743">
        <v>28.796500000000002</v>
      </c>
      <c r="C946" s="743">
        <v>12.0966</v>
      </c>
      <c r="D946" s="915">
        <v>39171</v>
      </c>
      <c r="E946" s="743">
        <v>14.9903</v>
      </c>
      <c r="F946" s="743">
        <v>6.2990000000000004</v>
      </c>
      <c r="G946" s="915">
        <v>39171</v>
      </c>
      <c r="H946" s="743">
        <v>2.7599</v>
      </c>
      <c r="I946" s="743">
        <v>1.0516000000000001</v>
      </c>
      <c r="J946" s="916">
        <v>-0.57999999999999996</v>
      </c>
      <c r="K946" s="916">
        <v>-0.57999999999999996</v>
      </c>
      <c r="L946" s="916">
        <v>-0.61899999999999999</v>
      </c>
    </row>
    <row r="947" spans="1:12" ht="14.5" x14ac:dyDescent="0.35">
      <c r="A947" s="915">
        <v>39164</v>
      </c>
      <c r="B947" s="743">
        <v>29.148700000000002</v>
      </c>
      <c r="C947" s="743">
        <v>12.3017</v>
      </c>
      <c r="D947" s="915">
        <v>39164</v>
      </c>
      <c r="E947" s="743">
        <v>14.9863</v>
      </c>
      <c r="F947" s="743">
        <v>6.2714999999999996</v>
      </c>
      <c r="G947" s="915">
        <v>39164</v>
      </c>
      <c r="H947" s="743">
        <v>2.7955999999999999</v>
      </c>
      <c r="I947" s="743">
        <v>1.0266999999999999</v>
      </c>
      <c r="J947" s="916">
        <v>-0.57799999999999996</v>
      </c>
      <c r="K947" s="916">
        <v>-0.58199999999999996</v>
      </c>
      <c r="L947" s="916">
        <v>-0.63300000000000001</v>
      </c>
    </row>
    <row r="948" spans="1:12" ht="14.5" x14ac:dyDescent="0.35">
      <c r="A948" s="915">
        <v>39157</v>
      </c>
      <c r="B948" s="743">
        <v>28.081800000000001</v>
      </c>
      <c r="C948" s="743">
        <v>12.1587</v>
      </c>
      <c r="D948" s="915">
        <v>39157</v>
      </c>
      <c r="E948" s="743">
        <v>14.5907</v>
      </c>
      <c r="F948" s="743">
        <v>6.2441000000000004</v>
      </c>
      <c r="G948" s="915">
        <v>39157</v>
      </c>
      <c r="H948" s="743">
        <v>2.8332999999999999</v>
      </c>
      <c r="I948" s="743">
        <v>1.0177</v>
      </c>
      <c r="J948" s="916">
        <v>-0.56699999999999995</v>
      </c>
      <c r="K948" s="916">
        <v>-0.57199999999999995</v>
      </c>
      <c r="L948" s="916">
        <v>-0.64100000000000001</v>
      </c>
    </row>
    <row r="949" spans="1:12" ht="14.5" x14ac:dyDescent="0.35">
      <c r="A949" s="915">
        <v>39150</v>
      </c>
      <c r="B949" s="743">
        <v>28.1221</v>
      </c>
      <c r="C949" s="743">
        <v>12.125999999999999</v>
      </c>
      <c r="D949" s="915">
        <v>39150</v>
      </c>
      <c r="E949" s="743">
        <v>14.5799</v>
      </c>
      <c r="F949" s="743">
        <v>6.2167000000000003</v>
      </c>
      <c r="G949" s="915">
        <v>39150</v>
      </c>
      <c r="H949" s="743">
        <v>2.8374999999999999</v>
      </c>
      <c r="I949" s="743">
        <v>1.0149999999999999</v>
      </c>
      <c r="J949" s="916">
        <v>-0.56899999999999995</v>
      </c>
      <c r="K949" s="916">
        <v>-0.57399999999999995</v>
      </c>
      <c r="L949" s="916">
        <v>-0.64200000000000002</v>
      </c>
    </row>
    <row r="950" spans="1:12" ht="14.5" x14ac:dyDescent="0.35">
      <c r="A950" s="915">
        <v>39143</v>
      </c>
      <c r="B950" s="743">
        <v>27.827400000000001</v>
      </c>
      <c r="C950" s="743">
        <v>11.902799999999999</v>
      </c>
      <c r="D950" s="915">
        <v>39143</v>
      </c>
      <c r="E950" s="743">
        <v>14.562799999999999</v>
      </c>
      <c r="F950" s="743">
        <v>6.1893000000000002</v>
      </c>
      <c r="G950" s="915">
        <v>39143</v>
      </c>
      <c r="H950" s="743">
        <v>2.8107000000000002</v>
      </c>
      <c r="I950" s="743">
        <v>0.9859</v>
      </c>
      <c r="J950" s="916">
        <v>-0.57199999999999995</v>
      </c>
      <c r="K950" s="916">
        <v>-0.57499999999999996</v>
      </c>
      <c r="L950" s="916">
        <v>-0.64900000000000002</v>
      </c>
    </row>
    <row r="951" spans="1:12" ht="14.5" x14ac:dyDescent="0.35">
      <c r="A951" s="915">
        <v>39136</v>
      </c>
      <c r="B951" s="743">
        <v>29.6538</v>
      </c>
      <c r="C951" s="743">
        <v>12.263500000000001</v>
      </c>
      <c r="D951" s="915">
        <v>39136</v>
      </c>
      <c r="E951" s="743">
        <v>14.5458</v>
      </c>
      <c r="F951" s="743">
        <v>6.1618000000000004</v>
      </c>
      <c r="G951" s="915">
        <v>39136</v>
      </c>
      <c r="H951" s="743">
        <v>3.0028000000000001</v>
      </c>
      <c r="I951" s="743">
        <v>1.0226</v>
      </c>
      <c r="J951" s="916">
        <v>-0.58599999999999997</v>
      </c>
      <c r="K951" s="916">
        <v>-0.57599999999999996</v>
      </c>
      <c r="L951" s="916">
        <v>-0.65900000000000003</v>
      </c>
    </row>
    <row r="952" spans="1:12" ht="14.5" x14ac:dyDescent="0.35">
      <c r="A952" s="915">
        <v>39129</v>
      </c>
      <c r="B952" s="743">
        <v>29.36</v>
      </c>
      <c r="C952" s="743">
        <v>12.2143</v>
      </c>
      <c r="D952" s="915">
        <v>39129</v>
      </c>
      <c r="E952" s="743">
        <v>14.546200000000001</v>
      </c>
      <c r="F952" s="743">
        <v>6.1344000000000003</v>
      </c>
      <c r="G952" s="915">
        <v>39129</v>
      </c>
      <c r="H952" s="743">
        <v>2.9716999999999998</v>
      </c>
      <c r="I952" s="743">
        <v>1.0230999999999999</v>
      </c>
      <c r="J952" s="916">
        <v>-0.58399999999999996</v>
      </c>
      <c r="K952" s="916">
        <v>-0.57799999999999996</v>
      </c>
      <c r="L952" s="916">
        <v>-0.65600000000000003</v>
      </c>
    </row>
    <row r="953" spans="1:12" ht="14.5" x14ac:dyDescent="0.35">
      <c r="A953" s="915">
        <v>39122</v>
      </c>
      <c r="B953" s="743">
        <v>28.7805</v>
      </c>
      <c r="C953" s="743">
        <v>12.0182</v>
      </c>
      <c r="D953" s="915">
        <v>39122</v>
      </c>
      <c r="E953" s="743">
        <v>14.559900000000001</v>
      </c>
      <c r="F953" s="743">
        <v>6.1070000000000002</v>
      </c>
      <c r="G953" s="915">
        <v>39122</v>
      </c>
      <c r="H953" s="743">
        <v>2.9110999999999998</v>
      </c>
      <c r="I953" s="743">
        <v>1.012</v>
      </c>
      <c r="J953" s="916">
        <v>-0.58199999999999996</v>
      </c>
      <c r="K953" s="916">
        <v>-0.58099999999999996</v>
      </c>
      <c r="L953" s="916">
        <v>-0.65200000000000002</v>
      </c>
    </row>
    <row r="954" spans="1:12" ht="14.5" x14ac:dyDescent="0.35">
      <c r="A954" s="915">
        <v>39115</v>
      </c>
      <c r="B954" s="743">
        <v>28.979500000000002</v>
      </c>
      <c r="C954" s="743">
        <v>11.930899999999999</v>
      </c>
      <c r="D954" s="915">
        <v>39115</v>
      </c>
      <c r="E954" s="743">
        <v>14.5604</v>
      </c>
      <c r="F954" s="743">
        <v>6.0795000000000003</v>
      </c>
      <c r="G954" s="915">
        <v>39115</v>
      </c>
      <c r="H954" s="743">
        <v>2.9293999999999998</v>
      </c>
      <c r="I954" s="743">
        <v>1.0076000000000001</v>
      </c>
      <c r="J954" s="916">
        <v>-0.58799999999999997</v>
      </c>
      <c r="K954" s="916">
        <v>-0.58199999999999996</v>
      </c>
      <c r="L954" s="916">
        <v>-0.65600000000000003</v>
      </c>
    </row>
    <row r="955" spans="1:12" ht="14.5" x14ac:dyDescent="0.35">
      <c r="A955" s="915">
        <v>39108</v>
      </c>
      <c r="B955" s="743">
        <v>28.729500000000002</v>
      </c>
      <c r="C955" s="743">
        <v>11.5154</v>
      </c>
      <c r="D955" s="915">
        <v>39108</v>
      </c>
      <c r="E955" s="743">
        <v>14.562900000000001</v>
      </c>
      <c r="F955" s="743">
        <v>6.0521000000000003</v>
      </c>
      <c r="G955" s="915">
        <v>39108</v>
      </c>
      <c r="H955" s="743">
        <v>2.8887</v>
      </c>
      <c r="I955" s="743">
        <v>0.2989</v>
      </c>
      <c r="J955" s="916">
        <v>-0.59899999999999998</v>
      </c>
      <c r="K955" s="916">
        <v>-0.58399999999999996</v>
      </c>
      <c r="L955" s="916">
        <v>-0.89700000000000002</v>
      </c>
    </row>
    <row r="956" spans="1:12" ht="14.5" x14ac:dyDescent="0.35">
      <c r="A956" s="915">
        <v>39101</v>
      </c>
      <c r="B956" s="743">
        <v>29.077500000000001</v>
      </c>
      <c r="C956" s="743">
        <v>11.368600000000001</v>
      </c>
      <c r="D956" s="915">
        <v>39101</v>
      </c>
      <c r="E956" s="743">
        <v>14.4772</v>
      </c>
      <c r="F956" s="743">
        <v>6.0247000000000002</v>
      </c>
      <c r="G956" s="915">
        <v>39101</v>
      </c>
      <c r="H956" s="743">
        <v>2.9302000000000001</v>
      </c>
      <c r="I956" s="743">
        <v>0.31230000000000002</v>
      </c>
      <c r="J956" s="916">
        <v>-0.60899999999999999</v>
      </c>
      <c r="K956" s="916">
        <v>-0.58399999999999996</v>
      </c>
      <c r="L956" s="916">
        <v>-0.89300000000000002</v>
      </c>
    </row>
    <row r="957" spans="1:12" ht="14.5" x14ac:dyDescent="0.35">
      <c r="A957" s="915">
        <v>39094</v>
      </c>
      <c r="B957" s="743">
        <v>29.8566</v>
      </c>
      <c r="C957" s="743">
        <v>11.4777</v>
      </c>
      <c r="D957" s="915">
        <v>39094</v>
      </c>
      <c r="E957" s="743">
        <v>14.477</v>
      </c>
      <c r="F957" s="743">
        <v>5.9972000000000003</v>
      </c>
      <c r="G957" s="915">
        <v>39094</v>
      </c>
      <c r="H957" s="743">
        <v>3.0118999999999998</v>
      </c>
      <c r="I957" s="743">
        <v>0.30980000000000002</v>
      </c>
      <c r="J957" s="916">
        <v>-0.61599999999999999</v>
      </c>
      <c r="K957" s="916">
        <v>-0.58599999999999997</v>
      </c>
      <c r="L957" s="916">
        <v>-0.89700000000000002</v>
      </c>
    </row>
    <row r="958" spans="1:12" ht="14.5" x14ac:dyDescent="0.35">
      <c r="A958" s="915">
        <v>39087</v>
      </c>
      <c r="B958" s="743">
        <v>28.892700000000001</v>
      </c>
      <c r="C958" s="743">
        <v>11.437900000000001</v>
      </c>
      <c r="D958" s="915">
        <v>39087</v>
      </c>
      <c r="E958" s="743">
        <v>14.4773</v>
      </c>
      <c r="F958" s="743">
        <v>5.9698000000000002</v>
      </c>
      <c r="G958" s="915">
        <v>39087</v>
      </c>
      <c r="H958" s="743">
        <v>2.9106999999999998</v>
      </c>
      <c r="I958" s="743">
        <v>0.3095</v>
      </c>
      <c r="J958" s="916">
        <v>-0.60399999999999998</v>
      </c>
      <c r="K958" s="916">
        <v>-0.58799999999999997</v>
      </c>
      <c r="L958" s="916">
        <v>-0.89400000000000002</v>
      </c>
    </row>
    <row r="959" spans="1:12" ht="14.5" x14ac:dyDescent="0.35">
      <c r="A959" s="915">
        <v>39080</v>
      </c>
      <c r="B959" s="743">
        <v>28.454899999999999</v>
      </c>
      <c r="C959" s="743">
        <v>11.7605</v>
      </c>
      <c r="D959" s="915">
        <v>39080</v>
      </c>
      <c r="E959" s="743">
        <v>14.499700000000001</v>
      </c>
      <c r="F959" s="743">
        <v>5.9424000000000001</v>
      </c>
      <c r="G959" s="915">
        <v>39080</v>
      </c>
      <c r="H959" s="743">
        <v>2.8635000000000002</v>
      </c>
      <c r="I959" s="743">
        <v>1.0185</v>
      </c>
      <c r="J959" s="916">
        <v>-0.58699999999999997</v>
      </c>
      <c r="K959" s="916">
        <v>-0.59</v>
      </c>
      <c r="L959" s="916">
        <v>-0.64400000000000002</v>
      </c>
    </row>
    <row r="960" spans="1:12" ht="14.5" x14ac:dyDescent="0.35">
      <c r="A960" s="915">
        <v>39073</v>
      </c>
      <c r="B960" s="743">
        <v>28.335599999999999</v>
      </c>
      <c r="C960" s="743">
        <v>11.8035</v>
      </c>
      <c r="D960" s="915">
        <v>39073</v>
      </c>
      <c r="E960" s="743">
        <v>14.5375</v>
      </c>
      <c r="F960" s="743">
        <v>5.915</v>
      </c>
      <c r="G960" s="915">
        <v>39073</v>
      </c>
      <c r="H960" s="743">
        <v>2.8500999999999999</v>
      </c>
      <c r="I960" s="743">
        <v>1.0197000000000001</v>
      </c>
      <c r="J960" s="916">
        <v>-0.58299999999999996</v>
      </c>
      <c r="K960" s="916">
        <v>-0.59299999999999997</v>
      </c>
      <c r="L960" s="916">
        <v>-0.64200000000000002</v>
      </c>
    </row>
    <row r="961" spans="1:12" ht="14.5" x14ac:dyDescent="0.35">
      <c r="A961" s="915">
        <v>39066</v>
      </c>
      <c r="B961" s="743">
        <v>29.381499999999999</v>
      </c>
      <c r="C961" s="743">
        <v>11.6633</v>
      </c>
      <c r="D961" s="915">
        <v>39066</v>
      </c>
      <c r="E961" s="743">
        <v>14.547800000000001</v>
      </c>
      <c r="F961" s="743">
        <v>5.8875000000000002</v>
      </c>
      <c r="G961" s="915">
        <v>39066</v>
      </c>
      <c r="H961" s="743">
        <v>2.9481999999999999</v>
      </c>
      <c r="I961" s="743">
        <v>1.0106999999999999</v>
      </c>
      <c r="J961" s="916">
        <v>-0.60299999999999998</v>
      </c>
      <c r="K961" s="916">
        <v>-0.59499999999999997</v>
      </c>
      <c r="L961" s="916">
        <v>-0.65700000000000003</v>
      </c>
    </row>
    <row r="962" spans="1:12" ht="14.5" x14ac:dyDescent="0.35">
      <c r="A962" s="915">
        <v>39059</v>
      </c>
      <c r="B962" s="743">
        <v>29.005500000000001</v>
      </c>
      <c r="C962" s="743">
        <v>11.168699999999999</v>
      </c>
      <c r="D962" s="915">
        <v>39059</v>
      </c>
      <c r="E962" s="743">
        <v>14.518700000000001</v>
      </c>
      <c r="F962" s="743">
        <v>5.8601000000000001</v>
      </c>
      <c r="G962" s="915">
        <v>39059</v>
      </c>
      <c r="H962" s="743">
        <v>2.8957000000000002</v>
      </c>
      <c r="I962" s="743">
        <v>0.99339999999999995</v>
      </c>
      <c r="J962" s="916">
        <v>-0.61499999999999999</v>
      </c>
      <c r="K962" s="916">
        <v>-0.59599999999999997</v>
      </c>
      <c r="L962" s="916">
        <v>-0.65700000000000003</v>
      </c>
    </row>
    <row r="963" spans="1:12" ht="14.5" x14ac:dyDescent="0.35">
      <c r="A963" s="915">
        <v>39052</v>
      </c>
      <c r="B963" s="743">
        <v>28.8264</v>
      </c>
      <c r="C963" s="743">
        <v>11.562900000000001</v>
      </c>
      <c r="D963" s="915">
        <v>39052</v>
      </c>
      <c r="E963" s="743">
        <v>14.535500000000001</v>
      </c>
      <c r="F963" s="743">
        <v>5.8327</v>
      </c>
      <c r="G963" s="915">
        <v>39052</v>
      </c>
      <c r="H963" s="743">
        <v>2.8776000000000002</v>
      </c>
      <c r="I963" s="743">
        <v>1.0175000000000001</v>
      </c>
      <c r="J963" s="916">
        <v>-0.59899999999999998</v>
      </c>
      <c r="K963" s="916">
        <v>-0.59899999999999998</v>
      </c>
      <c r="L963" s="916">
        <v>-0.64600000000000002</v>
      </c>
    </row>
    <row r="964" spans="1:12" ht="14.5" x14ac:dyDescent="0.35">
      <c r="A964" s="915">
        <v>39045</v>
      </c>
      <c r="B964" s="743">
        <v>29.482600000000001</v>
      </c>
      <c r="C964" s="743">
        <v>11.4842</v>
      </c>
      <c r="D964" s="915">
        <v>39045</v>
      </c>
      <c r="E964" s="743">
        <v>14.531700000000001</v>
      </c>
      <c r="F964" s="743">
        <v>5.8052000000000001</v>
      </c>
      <c r="G964" s="915">
        <v>39045</v>
      </c>
      <c r="H964" s="743">
        <v>2.9459</v>
      </c>
      <c r="I964" s="743">
        <v>1.0126999999999999</v>
      </c>
      <c r="J964" s="916">
        <v>-0.61</v>
      </c>
      <c r="K964" s="916">
        <v>-0.60099999999999998</v>
      </c>
      <c r="L964" s="916">
        <v>-0.65600000000000003</v>
      </c>
    </row>
    <row r="965" spans="1:12" ht="14.5" x14ac:dyDescent="0.35">
      <c r="A965" s="915">
        <v>39038</v>
      </c>
      <c r="B965" s="743">
        <v>30.441099999999999</v>
      </c>
      <c r="C965" s="743">
        <v>11.4437</v>
      </c>
      <c r="D965" s="915">
        <v>39038</v>
      </c>
      <c r="E965" s="743">
        <v>14.505100000000001</v>
      </c>
      <c r="F965" s="743">
        <v>5.7778</v>
      </c>
      <c r="G965" s="915">
        <v>39038</v>
      </c>
      <c r="H965" s="743">
        <v>3.0209999999999999</v>
      </c>
      <c r="I965" s="743">
        <v>1.0113000000000001</v>
      </c>
      <c r="J965" s="916">
        <v>-0.624</v>
      </c>
      <c r="K965" s="916">
        <v>-0.60199999999999998</v>
      </c>
      <c r="L965" s="916">
        <v>-0.66500000000000004</v>
      </c>
    </row>
    <row r="966" spans="1:12" ht="14.5" x14ac:dyDescent="0.35">
      <c r="A966" s="915">
        <v>39031</v>
      </c>
      <c r="B966" s="743">
        <v>29.610499999999998</v>
      </c>
      <c r="C966" s="743">
        <v>11.352</v>
      </c>
      <c r="D966" s="915">
        <v>39031</v>
      </c>
      <c r="E966" s="743">
        <v>14.514699999999999</v>
      </c>
      <c r="F966" s="743">
        <v>5.7504</v>
      </c>
      <c r="G966" s="915">
        <v>39031</v>
      </c>
      <c r="H966" s="743">
        <v>2.9350999999999998</v>
      </c>
      <c r="I966" s="743">
        <v>1.0002</v>
      </c>
      <c r="J966" s="916">
        <v>-0.61699999999999999</v>
      </c>
      <c r="K966" s="916">
        <v>-0.60399999999999998</v>
      </c>
      <c r="L966" s="916">
        <v>-0.65900000000000003</v>
      </c>
    </row>
    <row r="967" spans="1:12" ht="14.5" x14ac:dyDescent="0.35">
      <c r="A967" s="915">
        <v>39024</v>
      </c>
      <c r="B967" s="743">
        <v>28.8231</v>
      </c>
      <c r="C967" s="743">
        <v>11.309100000000001</v>
      </c>
      <c r="D967" s="915">
        <v>39024</v>
      </c>
      <c r="E967" s="743">
        <v>14.518599999999999</v>
      </c>
      <c r="F967" s="743">
        <v>5.7229000000000001</v>
      </c>
      <c r="G967" s="915">
        <v>39024</v>
      </c>
      <c r="H967" s="743">
        <v>2.8525</v>
      </c>
      <c r="I967" s="743">
        <v>0.99280000000000002</v>
      </c>
      <c r="J967" s="916">
        <v>-0.60799999999999998</v>
      </c>
      <c r="K967" s="916">
        <v>-0.60599999999999998</v>
      </c>
      <c r="L967" s="916">
        <v>-0.65200000000000002</v>
      </c>
    </row>
    <row r="968" spans="1:12" ht="14.5" x14ac:dyDescent="0.35">
      <c r="A968" s="915">
        <v>39017</v>
      </c>
      <c r="B968" s="743">
        <v>29.054099999999998</v>
      </c>
      <c r="C968" s="743">
        <v>11.2691</v>
      </c>
      <c r="D968" s="915">
        <v>39017</v>
      </c>
      <c r="E968" s="743">
        <v>14.5168</v>
      </c>
      <c r="F968" s="743">
        <v>5.6955</v>
      </c>
      <c r="G968" s="915">
        <v>39017</v>
      </c>
      <c r="H968" s="743">
        <v>2.8754</v>
      </c>
      <c r="I968" s="743">
        <v>0.98919999999999997</v>
      </c>
      <c r="J968" s="916">
        <v>-0.61199999999999999</v>
      </c>
      <c r="K968" s="916">
        <v>-0.60799999999999998</v>
      </c>
      <c r="L968" s="916">
        <v>-0.65600000000000003</v>
      </c>
    </row>
    <row r="969" spans="1:12" ht="14.5" x14ac:dyDescent="0.35">
      <c r="A969" s="915">
        <v>39010</v>
      </c>
      <c r="B969" s="743">
        <v>28.9175</v>
      </c>
      <c r="C969" s="743">
        <v>11.2402</v>
      </c>
      <c r="D969" s="915">
        <v>39010</v>
      </c>
      <c r="E969" s="743">
        <v>14.5192</v>
      </c>
      <c r="F969" s="743">
        <v>5.6680999999999999</v>
      </c>
      <c r="G969" s="915">
        <v>39010</v>
      </c>
      <c r="H969" s="743">
        <v>2.8437000000000001</v>
      </c>
      <c r="I969" s="743">
        <v>0.98729999999999996</v>
      </c>
      <c r="J969" s="916">
        <v>-0.61099999999999999</v>
      </c>
      <c r="K969" s="916">
        <v>-0.61</v>
      </c>
      <c r="L969" s="916">
        <v>-0.65300000000000002</v>
      </c>
    </row>
    <row r="970" spans="1:12" ht="14.5" x14ac:dyDescent="0.35">
      <c r="A970" s="915">
        <v>39003</v>
      </c>
      <c r="B970" s="743">
        <v>29.215199999999999</v>
      </c>
      <c r="C970" s="743">
        <v>11.1365</v>
      </c>
      <c r="D970" s="915">
        <v>39003</v>
      </c>
      <c r="E970" s="743">
        <v>14.5192</v>
      </c>
      <c r="F970" s="743">
        <v>5.6406999999999998</v>
      </c>
      <c r="G970" s="915">
        <v>39003</v>
      </c>
      <c r="H970" s="743">
        <v>2.8744000000000001</v>
      </c>
      <c r="I970" s="743">
        <v>0.98129999999999995</v>
      </c>
      <c r="J970" s="916">
        <v>-0.61899999999999999</v>
      </c>
      <c r="K970" s="916">
        <v>-0.61199999999999999</v>
      </c>
      <c r="L970" s="916">
        <v>-0.65900000000000003</v>
      </c>
    </row>
    <row r="971" spans="1:12" ht="14.5" x14ac:dyDescent="0.35">
      <c r="A971" s="915">
        <v>38996</v>
      </c>
      <c r="B971" s="743">
        <v>28.501000000000001</v>
      </c>
      <c r="C971" s="743">
        <v>11.113200000000001</v>
      </c>
      <c r="D971" s="915">
        <v>38996</v>
      </c>
      <c r="E971" s="743">
        <v>14.5176</v>
      </c>
      <c r="F971" s="743">
        <v>5.6132</v>
      </c>
      <c r="G971" s="915">
        <v>38996</v>
      </c>
      <c r="H971" s="743">
        <v>2.8068</v>
      </c>
      <c r="I971" s="743">
        <v>0.97609999999999997</v>
      </c>
      <c r="J971" s="916">
        <v>-0.61</v>
      </c>
      <c r="K971" s="916">
        <v>-0.61299999999999999</v>
      </c>
      <c r="L971" s="916">
        <v>-0.65200000000000002</v>
      </c>
    </row>
    <row r="972" spans="1:12" ht="14.5" x14ac:dyDescent="0.35">
      <c r="A972" s="915">
        <v>38989</v>
      </c>
      <c r="B972" s="743">
        <v>27.976700000000001</v>
      </c>
      <c r="C972" s="743">
        <v>10.834899999999999</v>
      </c>
      <c r="D972" s="915">
        <v>38989</v>
      </c>
      <c r="E972" s="743">
        <v>14.5166</v>
      </c>
      <c r="F972" s="743">
        <v>5.5857999999999999</v>
      </c>
      <c r="G972" s="915">
        <v>38989</v>
      </c>
      <c r="H972" s="743">
        <v>2.754</v>
      </c>
      <c r="I972" s="743">
        <v>1.0184</v>
      </c>
      <c r="J972" s="916">
        <v>-0.61299999999999999</v>
      </c>
      <c r="K972" s="916">
        <v>-0.61499999999999999</v>
      </c>
      <c r="L972" s="916">
        <v>-0.63</v>
      </c>
    </row>
    <row r="973" spans="1:12" ht="14.5" x14ac:dyDescent="0.35">
      <c r="A973" s="915">
        <v>38982</v>
      </c>
      <c r="B973" s="743">
        <v>27.439399999999999</v>
      </c>
      <c r="C973" s="743">
        <v>10.666600000000001</v>
      </c>
      <c r="D973" s="915">
        <v>38982</v>
      </c>
      <c r="E973" s="743">
        <v>14.5436</v>
      </c>
      <c r="F973" s="743">
        <v>5.5857999999999999</v>
      </c>
      <c r="G973" s="915">
        <v>38982</v>
      </c>
      <c r="H973" s="743">
        <v>2.7018</v>
      </c>
      <c r="I973" s="743">
        <v>1.0097</v>
      </c>
      <c r="J973" s="916">
        <v>-0.61099999999999999</v>
      </c>
      <c r="K973" s="916">
        <v>-0.61599999999999999</v>
      </c>
      <c r="L973" s="916">
        <v>-0.626</v>
      </c>
    </row>
    <row r="974" spans="1:12" ht="14.5" x14ac:dyDescent="0.35">
      <c r="A974" s="915">
        <v>38975</v>
      </c>
      <c r="B974" s="743">
        <v>27.610900000000001</v>
      </c>
      <c r="C974" s="743">
        <v>10.7624</v>
      </c>
      <c r="D974" s="915">
        <v>38975</v>
      </c>
      <c r="E974" s="743">
        <v>14.531499999999999</v>
      </c>
      <c r="F974" s="743">
        <v>5.5857999999999999</v>
      </c>
      <c r="G974" s="915">
        <v>38975</v>
      </c>
      <c r="H974" s="743">
        <v>2.7342</v>
      </c>
      <c r="I974" s="743">
        <v>1.0162</v>
      </c>
      <c r="J974" s="916">
        <v>-0.61</v>
      </c>
      <c r="K974" s="916">
        <v>-0.61599999999999999</v>
      </c>
      <c r="L974" s="916">
        <v>-0.628</v>
      </c>
    </row>
    <row r="975" spans="1:12" ht="14.5" x14ac:dyDescent="0.35">
      <c r="A975" s="915">
        <v>38968</v>
      </c>
      <c r="B975" s="743">
        <v>26.6341</v>
      </c>
      <c r="C975" s="743">
        <v>10.700699999999999</v>
      </c>
      <c r="D975" s="915">
        <v>38968</v>
      </c>
      <c r="E975" s="743">
        <v>14.513299999999999</v>
      </c>
      <c r="F975" s="743">
        <v>5.5857999999999999</v>
      </c>
      <c r="G975" s="915">
        <v>38968</v>
      </c>
      <c r="H975" s="743">
        <v>2.633</v>
      </c>
      <c r="I975" s="743">
        <v>1.0128999999999999</v>
      </c>
      <c r="J975" s="916">
        <v>-0.59799999999999998</v>
      </c>
      <c r="K975" s="916">
        <v>-0.61499999999999999</v>
      </c>
      <c r="L975" s="916">
        <v>-0.61499999999999999</v>
      </c>
    </row>
    <row r="976" spans="1:12" ht="14.5" x14ac:dyDescent="0.35">
      <c r="A976" s="915">
        <v>38961</v>
      </c>
      <c r="B976" s="743">
        <v>26.885300000000001</v>
      </c>
      <c r="C976" s="743">
        <v>10.712899999999999</v>
      </c>
      <c r="D976" s="915">
        <v>38961</v>
      </c>
      <c r="E976" s="743">
        <v>14.5045</v>
      </c>
      <c r="F976" s="743">
        <v>5.5857999999999999</v>
      </c>
      <c r="G976" s="915">
        <v>38961</v>
      </c>
      <c r="H976" s="743">
        <v>2.6583000000000001</v>
      </c>
      <c r="I976" s="743">
        <v>1.0144</v>
      </c>
      <c r="J976" s="916">
        <v>-0.60199999999999998</v>
      </c>
      <c r="K976" s="916">
        <v>-0.61499999999999999</v>
      </c>
      <c r="L976" s="916">
        <v>-0.61799999999999999</v>
      </c>
    </row>
    <row r="977" spans="1:12" ht="14.5" x14ac:dyDescent="0.35">
      <c r="A977" s="915">
        <v>38954</v>
      </c>
      <c r="B977" s="743">
        <v>26.269600000000001</v>
      </c>
      <c r="C977" s="743">
        <v>10.550700000000001</v>
      </c>
      <c r="D977" s="915">
        <v>38954</v>
      </c>
      <c r="E977" s="743">
        <v>14.496700000000001</v>
      </c>
      <c r="F977" s="743">
        <v>5.5857999999999999</v>
      </c>
      <c r="G977" s="915">
        <v>38954</v>
      </c>
      <c r="H977" s="743">
        <v>2.6051000000000002</v>
      </c>
      <c r="I977" s="743">
        <v>1.0012000000000001</v>
      </c>
      <c r="J977" s="916">
        <v>-0.59799999999999998</v>
      </c>
      <c r="K977" s="916">
        <v>-0.61499999999999999</v>
      </c>
      <c r="L977" s="916">
        <v>-0.61599999999999999</v>
      </c>
    </row>
    <row r="978" spans="1:12" ht="14.5" x14ac:dyDescent="0.35">
      <c r="A978" s="915">
        <v>38947</v>
      </c>
      <c r="B978" s="743">
        <v>26.996700000000001</v>
      </c>
      <c r="C978" s="743">
        <v>10.5754</v>
      </c>
      <c r="D978" s="915">
        <v>38947</v>
      </c>
      <c r="E978" s="743">
        <v>16.259399999999999</v>
      </c>
      <c r="F978" s="743">
        <v>5.5857999999999999</v>
      </c>
      <c r="G978" s="915">
        <v>38947</v>
      </c>
      <c r="H978" s="743">
        <v>2.6974999999999998</v>
      </c>
      <c r="I978" s="743">
        <v>1.0031000000000001</v>
      </c>
      <c r="J978" s="916">
        <v>-0.60799999999999998</v>
      </c>
      <c r="K978" s="916">
        <v>-0.65600000000000003</v>
      </c>
      <c r="L978" s="916">
        <v>-0.628</v>
      </c>
    </row>
    <row r="979" spans="1:12" ht="14.5" x14ac:dyDescent="0.35">
      <c r="A979" s="915">
        <v>38940</v>
      </c>
      <c r="B979" s="743">
        <v>25.4605</v>
      </c>
      <c r="C979" s="743">
        <v>10.298999999999999</v>
      </c>
      <c r="D979" s="915">
        <v>38940</v>
      </c>
      <c r="E979" s="743">
        <v>16.259899999999998</v>
      </c>
      <c r="F979" s="743">
        <v>5.5857999999999999</v>
      </c>
      <c r="G979" s="915">
        <v>38940</v>
      </c>
      <c r="H979" s="743">
        <v>2.5350000000000001</v>
      </c>
      <c r="I979" s="743">
        <v>0.97960000000000003</v>
      </c>
      <c r="J979" s="916">
        <v>-0.59499999999999997</v>
      </c>
      <c r="K979" s="916">
        <v>-0.65600000000000003</v>
      </c>
      <c r="L979" s="916">
        <v>-0.61399999999999999</v>
      </c>
    </row>
    <row r="980" spans="1:12" ht="14.5" x14ac:dyDescent="0.35">
      <c r="A980" s="915">
        <v>38933</v>
      </c>
      <c r="B980" s="743">
        <v>25.753299999999999</v>
      </c>
      <c r="C980" s="743">
        <v>10.380800000000001</v>
      </c>
      <c r="D980" s="915">
        <v>38933</v>
      </c>
      <c r="E980" s="743">
        <v>16.265499999999999</v>
      </c>
      <c r="F980" s="743">
        <v>5.5857999999999999</v>
      </c>
      <c r="G980" s="915">
        <v>38933</v>
      </c>
      <c r="H980" s="743">
        <v>2.5659999999999998</v>
      </c>
      <c r="I980" s="743">
        <v>1.0099</v>
      </c>
      <c r="J980" s="916">
        <v>-0.59699999999999998</v>
      </c>
      <c r="K980" s="916">
        <v>-0.65700000000000003</v>
      </c>
      <c r="L980" s="916">
        <v>-0.60599999999999998</v>
      </c>
    </row>
    <row r="981" spans="1:12" ht="14.5" x14ac:dyDescent="0.35">
      <c r="A981" s="915">
        <v>38926</v>
      </c>
      <c r="B981" s="743">
        <v>25.8642</v>
      </c>
      <c r="C981" s="743">
        <v>10.3171</v>
      </c>
      <c r="D981" s="915">
        <v>38926</v>
      </c>
      <c r="E981" s="743">
        <v>16.264600000000002</v>
      </c>
      <c r="F981" s="743">
        <v>5.5857999999999999</v>
      </c>
      <c r="G981" s="915">
        <v>38926</v>
      </c>
      <c r="H981" s="743">
        <v>2.5807000000000002</v>
      </c>
      <c r="I981" s="743">
        <v>1.0039</v>
      </c>
      <c r="J981" s="916">
        <v>-0.60099999999999998</v>
      </c>
      <c r="K981" s="916">
        <v>-0.65700000000000003</v>
      </c>
      <c r="L981" s="916">
        <v>-0.61099999999999999</v>
      </c>
    </row>
    <row r="982" spans="1:12" ht="14.5" x14ac:dyDescent="0.35">
      <c r="A982" s="915">
        <v>38919</v>
      </c>
      <c r="B982" s="743">
        <v>24.863800000000001</v>
      </c>
      <c r="C982" s="743">
        <v>10.113</v>
      </c>
      <c r="D982" s="915">
        <v>38919</v>
      </c>
      <c r="E982" s="743">
        <v>16.2653</v>
      </c>
      <c r="F982" s="743">
        <v>5.5445000000000002</v>
      </c>
      <c r="G982" s="915">
        <v>38919</v>
      </c>
      <c r="H982" s="743">
        <v>2.4746000000000001</v>
      </c>
      <c r="I982" s="743">
        <v>0.98580000000000001</v>
      </c>
      <c r="J982" s="916">
        <v>-0.59299999999999997</v>
      </c>
      <c r="K982" s="916">
        <v>-0.65900000000000003</v>
      </c>
      <c r="L982" s="916">
        <v>-0.60199999999999998</v>
      </c>
    </row>
    <row r="983" spans="1:12" ht="14.5" x14ac:dyDescent="0.35">
      <c r="A983" s="915">
        <v>38912</v>
      </c>
      <c r="B983" s="743">
        <v>25.04</v>
      </c>
      <c r="C983" s="743">
        <v>10.207599999999999</v>
      </c>
      <c r="D983" s="915">
        <v>38912</v>
      </c>
      <c r="E983" s="743">
        <v>16.264700000000001</v>
      </c>
      <c r="F983" s="743">
        <v>5.5445000000000002</v>
      </c>
      <c r="G983" s="915">
        <v>38912</v>
      </c>
      <c r="H983" s="743">
        <v>2.4931999999999999</v>
      </c>
      <c r="I983" s="743">
        <v>0.9738</v>
      </c>
      <c r="J983" s="916">
        <v>-0.59199999999999997</v>
      </c>
      <c r="K983" s="916">
        <v>-0.65900000000000003</v>
      </c>
      <c r="L983" s="916">
        <v>-0.60899999999999999</v>
      </c>
    </row>
    <row r="984" spans="1:12" ht="14.5" x14ac:dyDescent="0.35">
      <c r="A984" s="915">
        <v>38905</v>
      </c>
      <c r="B984" s="743">
        <v>26.2651</v>
      </c>
      <c r="C984" s="743">
        <v>10.3035</v>
      </c>
      <c r="D984" s="915">
        <v>38905</v>
      </c>
      <c r="E984" s="743">
        <v>16.264600000000002</v>
      </c>
      <c r="F984" s="743">
        <v>5.5689000000000002</v>
      </c>
      <c r="G984" s="915">
        <v>38905</v>
      </c>
      <c r="H984" s="743">
        <v>2.6232000000000002</v>
      </c>
      <c r="I984" s="743">
        <v>0.9798</v>
      </c>
      <c r="J984" s="916">
        <v>-0.60799999999999998</v>
      </c>
      <c r="K984" s="916">
        <v>-0.65800000000000003</v>
      </c>
      <c r="L984" s="916">
        <v>-0.626</v>
      </c>
    </row>
    <row r="985" spans="1:12" ht="14.5" x14ac:dyDescent="0.35">
      <c r="A985" s="915">
        <v>38898</v>
      </c>
      <c r="B985" s="743">
        <v>27.028099999999998</v>
      </c>
      <c r="C985" s="743">
        <v>10.8775</v>
      </c>
      <c r="D985" s="915">
        <v>38898</v>
      </c>
      <c r="E985" s="743">
        <v>16.235499999999998</v>
      </c>
      <c r="F985" s="743">
        <v>5.8545999999999996</v>
      </c>
      <c r="G985" s="915">
        <v>38898</v>
      </c>
      <c r="H985" s="743">
        <v>2.7033999999999998</v>
      </c>
      <c r="I985" s="743">
        <v>0.94299999999999995</v>
      </c>
      <c r="J985" s="916">
        <v>-0.59799999999999998</v>
      </c>
      <c r="K985" s="916">
        <v>-0.63900000000000001</v>
      </c>
      <c r="L985" s="916">
        <v>-0.65100000000000002</v>
      </c>
    </row>
    <row r="986" spans="1:12" ht="14.5" x14ac:dyDescent="0.35">
      <c r="A986" s="915">
        <v>38891</v>
      </c>
      <c r="B986" s="743">
        <v>26.613199999999999</v>
      </c>
      <c r="C986" s="743">
        <v>10.3018</v>
      </c>
      <c r="D986" s="915">
        <v>38891</v>
      </c>
      <c r="E986" s="743">
        <v>16.235299999999999</v>
      </c>
      <c r="F986" s="743">
        <v>5.819</v>
      </c>
      <c r="G986" s="915">
        <v>38891</v>
      </c>
      <c r="H986" s="743">
        <v>2.6594000000000002</v>
      </c>
      <c r="I986" s="743">
        <v>0.90469999999999995</v>
      </c>
      <c r="J986" s="916">
        <v>-0.61299999999999999</v>
      </c>
      <c r="K986" s="916">
        <v>-0.64200000000000002</v>
      </c>
      <c r="L986" s="916">
        <v>-0.66</v>
      </c>
    </row>
    <row r="987" spans="1:12" ht="14.5" x14ac:dyDescent="0.35">
      <c r="A987" s="915">
        <v>38884</v>
      </c>
      <c r="B987" s="743">
        <v>26.8155</v>
      </c>
      <c r="C987" s="743">
        <v>10.560700000000001</v>
      </c>
      <c r="D987" s="915">
        <v>38884</v>
      </c>
      <c r="E987" s="743">
        <v>16.235099999999999</v>
      </c>
      <c r="F987" s="743">
        <v>5.819</v>
      </c>
      <c r="G987" s="915">
        <v>38884</v>
      </c>
      <c r="H987" s="743">
        <v>2.6855000000000002</v>
      </c>
      <c r="I987" s="743">
        <v>0.91990000000000005</v>
      </c>
      <c r="J987" s="916">
        <v>-0.60599999999999998</v>
      </c>
      <c r="K987" s="916">
        <v>-0.64200000000000002</v>
      </c>
      <c r="L987" s="916">
        <v>-0.65700000000000003</v>
      </c>
    </row>
    <row r="988" spans="1:12" ht="14.5" x14ac:dyDescent="0.35">
      <c r="A988" s="915">
        <v>38877</v>
      </c>
      <c r="B988" s="743">
        <v>26.6309</v>
      </c>
      <c r="C988" s="743">
        <v>10.326700000000001</v>
      </c>
      <c r="D988" s="915">
        <v>38877</v>
      </c>
      <c r="E988" s="743">
        <v>16.213899999999999</v>
      </c>
      <c r="F988" s="743">
        <v>5.819</v>
      </c>
      <c r="G988" s="915">
        <v>38877</v>
      </c>
      <c r="H988" s="743">
        <v>2.6541999999999999</v>
      </c>
      <c r="I988" s="743">
        <v>0.90710000000000002</v>
      </c>
      <c r="J988" s="916">
        <v>-0.61199999999999999</v>
      </c>
      <c r="K988" s="916">
        <v>-0.64100000000000001</v>
      </c>
      <c r="L988" s="916">
        <v>-0.65800000000000003</v>
      </c>
    </row>
    <row r="989" spans="1:12" ht="14.5" x14ac:dyDescent="0.35">
      <c r="A989" s="915">
        <v>38870</v>
      </c>
      <c r="B989" s="743">
        <v>27.7638</v>
      </c>
      <c r="C989" s="743">
        <v>10.9754</v>
      </c>
      <c r="D989" s="915">
        <v>38870</v>
      </c>
      <c r="E989" s="743">
        <v>16.1844</v>
      </c>
      <c r="F989" s="743">
        <v>5.819</v>
      </c>
      <c r="G989" s="915">
        <v>38870</v>
      </c>
      <c r="H989" s="743">
        <v>2.7749000000000001</v>
      </c>
      <c r="I989" s="743">
        <v>0.91979999999999995</v>
      </c>
      <c r="J989" s="916">
        <v>-0.60499999999999998</v>
      </c>
      <c r="K989" s="916">
        <v>-0.64</v>
      </c>
      <c r="L989" s="916">
        <v>-0.66900000000000004</v>
      </c>
    </row>
    <row r="990" spans="1:12" ht="14.5" x14ac:dyDescent="0.35">
      <c r="A990" s="915">
        <v>38863</v>
      </c>
      <c r="B990" s="743">
        <v>27.694500000000001</v>
      </c>
      <c r="C990" s="743">
        <v>11.093999999999999</v>
      </c>
      <c r="D990" s="915">
        <v>38863</v>
      </c>
      <c r="E990" s="743">
        <v>16.178899999999999</v>
      </c>
      <c r="F990" s="743">
        <v>5.819</v>
      </c>
      <c r="G990" s="915">
        <v>38863</v>
      </c>
      <c r="H990" s="743">
        <v>2.7642000000000002</v>
      </c>
      <c r="I990" s="743">
        <v>0.9264</v>
      </c>
      <c r="J990" s="916">
        <v>-0.59899999999999998</v>
      </c>
      <c r="K990" s="916">
        <v>-0.64</v>
      </c>
      <c r="L990" s="916">
        <v>-0.66500000000000004</v>
      </c>
    </row>
    <row r="991" spans="1:12" ht="14.5" x14ac:dyDescent="0.35">
      <c r="A991" s="915">
        <v>38856</v>
      </c>
      <c r="B991" s="743">
        <v>27.600899999999999</v>
      </c>
      <c r="C991" s="743">
        <v>11.4839</v>
      </c>
      <c r="D991" s="915">
        <v>38856</v>
      </c>
      <c r="E991" s="743">
        <v>16.184100000000001</v>
      </c>
      <c r="F991" s="743">
        <v>5.819</v>
      </c>
      <c r="G991" s="915">
        <v>38856</v>
      </c>
      <c r="H991" s="743">
        <v>2.7496</v>
      </c>
      <c r="I991" s="743">
        <v>0.9486</v>
      </c>
      <c r="J991" s="916">
        <v>-0.58399999999999996</v>
      </c>
      <c r="K991" s="916">
        <v>-0.64</v>
      </c>
      <c r="L991" s="916">
        <v>-0.65500000000000003</v>
      </c>
    </row>
    <row r="992" spans="1:12" ht="14.5" x14ac:dyDescent="0.35">
      <c r="A992" s="915">
        <v>38849</v>
      </c>
      <c r="B992" s="743">
        <v>28.289200000000001</v>
      </c>
      <c r="C992" s="743">
        <v>12.009399999999999</v>
      </c>
      <c r="D992" s="915">
        <v>38849</v>
      </c>
      <c r="E992" s="743">
        <v>15.682600000000001</v>
      </c>
      <c r="F992" s="743">
        <v>5.8070000000000004</v>
      </c>
      <c r="G992" s="915">
        <v>38849</v>
      </c>
      <c r="H992" s="743">
        <v>2.8837999999999999</v>
      </c>
      <c r="I992" s="743">
        <v>0.99590000000000001</v>
      </c>
      <c r="J992" s="916">
        <v>-0.57499999999999996</v>
      </c>
      <c r="K992" s="916">
        <v>-0.63</v>
      </c>
      <c r="L992" s="916">
        <v>-0.65500000000000003</v>
      </c>
    </row>
    <row r="993" spans="1:12" ht="14.5" x14ac:dyDescent="0.35">
      <c r="A993" s="915">
        <v>38842</v>
      </c>
      <c r="B993" s="743">
        <v>29.6386</v>
      </c>
      <c r="C993" s="743">
        <v>11.986000000000001</v>
      </c>
      <c r="D993" s="915">
        <v>38842</v>
      </c>
      <c r="E993" s="743">
        <v>15.682600000000001</v>
      </c>
      <c r="F993" s="743">
        <v>5.8070000000000004</v>
      </c>
      <c r="G993" s="915">
        <v>38842</v>
      </c>
      <c r="H993" s="743">
        <v>3.0394000000000001</v>
      </c>
      <c r="I993" s="743">
        <v>0.99509999999999998</v>
      </c>
      <c r="J993" s="916">
        <v>-0.59599999999999997</v>
      </c>
      <c r="K993" s="916">
        <v>-0.63</v>
      </c>
      <c r="L993" s="916">
        <v>-0.67300000000000004</v>
      </c>
    </row>
    <row r="994" spans="1:12" ht="14.5" x14ac:dyDescent="0.35">
      <c r="A994" s="915">
        <v>38835</v>
      </c>
      <c r="B994" s="743">
        <v>29.408000000000001</v>
      </c>
      <c r="C994" s="743">
        <v>12.665900000000001</v>
      </c>
      <c r="D994" s="915">
        <v>38835</v>
      </c>
      <c r="E994" s="743">
        <v>15.6844</v>
      </c>
      <c r="F994" s="743">
        <v>6.0575999999999999</v>
      </c>
      <c r="G994" s="915">
        <v>38835</v>
      </c>
      <c r="H994" s="743">
        <v>2.8976000000000002</v>
      </c>
      <c r="I994" s="743">
        <v>1.1832</v>
      </c>
      <c r="J994" s="916">
        <v>-0.56899999999999995</v>
      </c>
      <c r="K994" s="916">
        <v>-0.61399999999999999</v>
      </c>
      <c r="L994" s="916">
        <v>-0.59199999999999997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79998168889431442"/>
  </sheetPr>
  <dimension ref="A1:P89"/>
  <sheetViews>
    <sheetView zoomScaleNormal="100" zoomScaleSheetLayoutView="100" workbookViewId="0"/>
  </sheetViews>
  <sheetFormatPr defaultRowHeight="14" x14ac:dyDescent="0.3"/>
  <cols>
    <col min="1" max="1" width="36" bestFit="1" customWidth="1"/>
    <col min="2" max="2" width="10.08203125" customWidth="1"/>
    <col min="11" max="11" width="9" bestFit="1" customWidth="1"/>
    <col min="14" max="15" width="9.75" bestFit="1" customWidth="1"/>
  </cols>
  <sheetData>
    <row r="1" spans="1:16" ht="14.5" x14ac:dyDescent="0.35">
      <c r="A1" s="725" t="s">
        <v>642</v>
      </c>
      <c r="B1" s="725" t="s">
        <v>642</v>
      </c>
      <c r="C1" s="701" t="s">
        <v>642</v>
      </c>
      <c r="D1" s="701" t="s">
        <v>642</v>
      </c>
      <c r="E1" s="701" t="s">
        <v>642</v>
      </c>
      <c r="F1" s="701" t="s">
        <v>642</v>
      </c>
      <c r="G1" s="701" t="s">
        <v>642</v>
      </c>
      <c r="H1" s="701" t="s">
        <v>642</v>
      </c>
      <c r="I1" s="701" t="s">
        <v>642</v>
      </c>
      <c r="J1" s="701" t="s">
        <v>642</v>
      </c>
      <c r="K1" s="701" t="s">
        <v>642</v>
      </c>
      <c r="L1" s="701" t="s">
        <v>642</v>
      </c>
      <c r="M1" s="701" t="s">
        <v>642</v>
      </c>
      <c r="N1" s="701" t="s">
        <v>642</v>
      </c>
      <c r="O1" s="701" t="s">
        <v>642</v>
      </c>
    </row>
    <row r="2" spans="1:16" ht="40" x14ac:dyDescent="0.4">
      <c r="A2" s="726" t="s">
        <v>722</v>
      </c>
      <c r="B2" s="727"/>
      <c r="C2" s="703"/>
      <c r="D2" s="703"/>
      <c r="E2" s="703"/>
      <c r="F2" s="702" t="s">
        <v>642</v>
      </c>
      <c r="G2" s="702" t="s">
        <v>642</v>
      </c>
      <c r="H2" s="702" t="s">
        <v>642</v>
      </c>
      <c r="I2" s="702" t="s">
        <v>642</v>
      </c>
      <c r="J2" s="702" t="s">
        <v>642</v>
      </c>
      <c r="K2" s="702" t="s">
        <v>642</v>
      </c>
      <c r="L2" s="702" t="s">
        <v>642</v>
      </c>
      <c r="M2" s="702" t="s">
        <v>642</v>
      </c>
      <c r="N2" s="702" t="s">
        <v>642</v>
      </c>
      <c r="O2" s="702" t="s">
        <v>642</v>
      </c>
      <c r="P2" s="702" t="s">
        <v>642</v>
      </c>
    </row>
    <row r="3" spans="1:16" x14ac:dyDescent="0.3">
      <c r="A3" s="728" t="s">
        <v>642</v>
      </c>
      <c r="B3" s="728" t="s">
        <v>642</v>
      </c>
      <c r="C3" s="704" t="s">
        <v>642</v>
      </c>
      <c r="D3" s="704" t="s">
        <v>642</v>
      </c>
      <c r="E3" s="704" t="s">
        <v>642</v>
      </c>
      <c r="F3" s="704" t="s">
        <v>642</v>
      </c>
      <c r="G3" s="704" t="s">
        <v>642</v>
      </c>
      <c r="H3" s="704" t="s">
        <v>642</v>
      </c>
      <c r="I3" s="704" t="s">
        <v>642</v>
      </c>
      <c r="J3" s="704" t="s">
        <v>642</v>
      </c>
      <c r="K3" s="704" t="s">
        <v>642</v>
      </c>
      <c r="L3" s="704" t="s">
        <v>642</v>
      </c>
      <c r="M3" s="704" t="s">
        <v>642</v>
      </c>
      <c r="N3" s="704" t="s">
        <v>642</v>
      </c>
      <c r="O3" s="704" t="s">
        <v>642</v>
      </c>
    </row>
    <row r="4" spans="1:16" x14ac:dyDescent="0.3">
      <c r="A4" s="729" t="s">
        <v>723</v>
      </c>
      <c r="B4" s="730" t="s">
        <v>724</v>
      </c>
      <c r="C4" s="706" t="s">
        <v>725</v>
      </c>
      <c r="D4" s="706" t="s">
        <v>726</v>
      </c>
      <c r="E4" s="706" t="s">
        <v>727</v>
      </c>
      <c r="F4" s="706" t="s">
        <v>728</v>
      </c>
      <c r="G4" s="706" t="s">
        <v>729</v>
      </c>
      <c r="H4" s="706" t="s">
        <v>730</v>
      </c>
      <c r="I4" s="706" t="s">
        <v>731</v>
      </c>
      <c r="J4" s="706" t="s">
        <v>732</v>
      </c>
      <c r="K4" s="706" t="s">
        <v>733</v>
      </c>
      <c r="L4" s="706" t="s">
        <v>734</v>
      </c>
      <c r="M4" s="706" t="s">
        <v>735</v>
      </c>
      <c r="N4" s="706" t="s">
        <v>736</v>
      </c>
      <c r="O4" s="706" t="s">
        <v>737</v>
      </c>
    </row>
    <row r="5" spans="1:16" x14ac:dyDescent="0.3">
      <c r="A5" s="731" t="s">
        <v>738</v>
      </c>
      <c r="B5" s="732">
        <v>42004</v>
      </c>
      <c r="C5" s="709">
        <v>42369</v>
      </c>
      <c r="D5" s="709">
        <v>42735</v>
      </c>
      <c r="E5" s="709">
        <v>43100</v>
      </c>
      <c r="F5" s="709">
        <v>43465</v>
      </c>
      <c r="G5" s="709">
        <v>43830</v>
      </c>
      <c r="H5" s="709">
        <v>44196</v>
      </c>
      <c r="I5" s="709">
        <v>44561</v>
      </c>
      <c r="J5" s="709">
        <v>44926</v>
      </c>
      <c r="K5" s="709">
        <v>45291</v>
      </c>
      <c r="L5" s="709">
        <v>45657</v>
      </c>
      <c r="M5" s="709">
        <v>45657</v>
      </c>
      <c r="N5" s="709">
        <v>46022</v>
      </c>
      <c r="O5" s="709">
        <v>46387</v>
      </c>
    </row>
    <row r="6" spans="1:16" x14ac:dyDescent="0.3">
      <c r="A6" s="733" t="s">
        <v>215</v>
      </c>
      <c r="B6" s="734">
        <v>17125.599999999999</v>
      </c>
      <c r="C6" s="711">
        <v>18798</v>
      </c>
      <c r="D6" s="711">
        <v>17198</v>
      </c>
      <c r="E6" s="711">
        <v>30109.4</v>
      </c>
      <c r="F6" s="711">
        <v>40445.1</v>
      </c>
      <c r="G6" s="711">
        <v>26990.7</v>
      </c>
      <c r="H6" s="711">
        <v>31900.400000000001</v>
      </c>
      <c r="I6" s="711">
        <v>42997.8</v>
      </c>
      <c r="J6" s="711">
        <v>44621.599999999999</v>
      </c>
      <c r="K6" s="711">
        <v>32765.7</v>
      </c>
      <c r="L6" s="711">
        <v>66193</v>
      </c>
      <c r="M6" s="713">
        <v>66193</v>
      </c>
      <c r="N6" s="711">
        <v>84615.7</v>
      </c>
      <c r="O6" s="711">
        <v>99002.7</v>
      </c>
    </row>
    <row r="7" spans="1:16" x14ac:dyDescent="0.3">
      <c r="A7" s="735" t="s">
        <v>739</v>
      </c>
      <c r="B7" s="736">
        <v>17125.599999999999</v>
      </c>
      <c r="C7" s="716">
        <v>18798</v>
      </c>
      <c r="D7" s="716">
        <v>17198</v>
      </c>
      <c r="E7" s="716">
        <v>30109.4</v>
      </c>
      <c r="F7" s="716">
        <v>40445.1</v>
      </c>
      <c r="G7" s="716">
        <v>26990.7</v>
      </c>
      <c r="H7" s="716">
        <v>31900.400000000001</v>
      </c>
      <c r="I7" s="716">
        <v>42997.8</v>
      </c>
      <c r="J7" s="716">
        <v>44621.599999999999</v>
      </c>
      <c r="K7" s="716">
        <v>32765.7</v>
      </c>
      <c r="L7" s="716">
        <v>66193</v>
      </c>
      <c r="M7" s="718">
        <v>66193</v>
      </c>
      <c r="N7" s="715" t="s">
        <v>642</v>
      </c>
      <c r="O7" s="715" t="s">
        <v>642</v>
      </c>
    </row>
    <row r="8" spans="1:16" x14ac:dyDescent="0.3">
      <c r="A8" s="735" t="s">
        <v>740</v>
      </c>
      <c r="B8" s="737" t="s">
        <v>741</v>
      </c>
      <c r="C8" s="715" t="s">
        <v>741</v>
      </c>
      <c r="D8" s="715" t="s">
        <v>741</v>
      </c>
      <c r="E8" s="715" t="s">
        <v>741</v>
      </c>
      <c r="F8" s="715" t="s">
        <v>741</v>
      </c>
      <c r="G8" s="715" t="s">
        <v>741</v>
      </c>
      <c r="H8" s="715" t="s">
        <v>741</v>
      </c>
      <c r="I8" s="715" t="s">
        <v>741</v>
      </c>
      <c r="J8" s="715" t="s">
        <v>741</v>
      </c>
      <c r="K8" s="715" t="s">
        <v>741</v>
      </c>
      <c r="L8" s="715" t="s">
        <v>741</v>
      </c>
      <c r="M8" s="717" t="s">
        <v>642</v>
      </c>
      <c r="N8" s="715" t="s">
        <v>642</v>
      </c>
      <c r="O8" s="715" t="s">
        <v>642</v>
      </c>
    </row>
    <row r="9" spans="1:16" x14ac:dyDescent="0.3">
      <c r="A9" s="735" t="s">
        <v>742</v>
      </c>
      <c r="B9" s="736">
        <v>9461.7000000000007</v>
      </c>
      <c r="C9" s="716">
        <v>10515.4</v>
      </c>
      <c r="D9" s="716">
        <v>10787.1</v>
      </c>
      <c r="E9" s="716">
        <v>12701.8</v>
      </c>
      <c r="F9" s="716">
        <v>15180.8</v>
      </c>
      <c r="G9" s="716">
        <v>18818.8</v>
      </c>
      <c r="H9" s="716">
        <v>21089.8</v>
      </c>
      <c r="I9" s="716">
        <v>24045.599999999999</v>
      </c>
      <c r="J9" s="716">
        <v>28993.7</v>
      </c>
      <c r="K9" s="716">
        <v>33299.199999999997</v>
      </c>
      <c r="L9" s="716">
        <v>34364.800000000003</v>
      </c>
      <c r="M9" s="718">
        <v>34364.800000000003</v>
      </c>
      <c r="N9" s="715" t="s">
        <v>642</v>
      </c>
      <c r="O9" s="715" t="s">
        <v>642</v>
      </c>
    </row>
    <row r="10" spans="1:16" x14ac:dyDescent="0.3">
      <c r="A10" s="735" t="s">
        <v>743</v>
      </c>
      <c r="B10" s="736">
        <v>9461.7000000000007</v>
      </c>
      <c r="C10" s="716">
        <v>10515.4</v>
      </c>
      <c r="D10" s="716">
        <v>10787.1</v>
      </c>
      <c r="E10" s="716">
        <v>12701.8</v>
      </c>
      <c r="F10" s="716">
        <v>15180.8</v>
      </c>
      <c r="G10" s="716">
        <v>11852.1</v>
      </c>
      <c r="H10" s="716">
        <v>13120.4</v>
      </c>
      <c r="I10" s="716">
        <v>15053.4</v>
      </c>
      <c r="J10" s="716">
        <v>16479.2</v>
      </c>
      <c r="K10" s="716">
        <v>21254.400000000001</v>
      </c>
      <c r="L10" s="716">
        <v>23357.4</v>
      </c>
      <c r="M10" s="718">
        <v>34364.800000000003</v>
      </c>
      <c r="N10" s="715" t="s">
        <v>642</v>
      </c>
      <c r="O10" s="715" t="s">
        <v>642</v>
      </c>
    </row>
    <row r="11" spans="1:16" x14ac:dyDescent="0.3">
      <c r="A11" s="735" t="s">
        <v>744</v>
      </c>
      <c r="B11" s="737" t="s">
        <v>741</v>
      </c>
      <c r="C11" s="715" t="s">
        <v>741</v>
      </c>
      <c r="D11" s="715" t="s">
        <v>741</v>
      </c>
      <c r="E11" s="715" t="s">
        <v>741</v>
      </c>
      <c r="F11" s="715" t="s">
        <v>741</v>
      </c>
      <c r="G11" s="716">
        <v>6966.7</v>
      </c>
      <c r="H11" s="716">
        <v>7969.4</v>
      </c>
      <c r="I11" s="716">
        <v>8992.2000000000007</v>
      </c>
      <c r="J11" s="716">
        <v>12514.5</v>
      </c>
      <c r="K11" s="716">
        <v>12044.7</v>
      </c>
      <c r="L11" s="716">
        <v>11007.4</v>
      </c>
      <c r="M11" s="717" t="s">
        <v>642</v>
      </c>
      <c r="N11" s="715" t="s">
        <v>642</v>
      </c>
      <c r="O11" s="715" t="s">
        <v>642</v>
      </c>
    </row>
    <row r="12" spans="1:16" x14ac:dyDescent="0.3">
      <c r="A12" s="735" t="s">
        <v>745</v>
      </c>
      <c r="B12" s="737" t="s">
        <v>741</v>
      </c>
      <c r="C12" s="715" t="s">
        <v>741</v>
      </c>
      <c r="D12" s="715" t="s">
        <v>741</v>
      </c>
      <c r="E12" s="715">
        <v>0</v>
      </c>
      <c r="F12" s="715">
        <v>0</v>
      </c>
      <c r="G12" s="715" t="s">
        <v>741</v>
      </c>
      <c r="H12" s="715" t="s">
        <v>741</v>
      </c>
      <c r="I12" s="715" t="s">
        <v>741</v>
      </c>
      <c r="J12" s="715" t="s">
        <v>741</v>
      </c>
      <c r="K12" s="715" t="s">
        <v>741</v>
      </c>
      <c r="L12" s="715" t="s">
        <v>741</v>
      </c>
      <c r="M12" s="717" t="s">
        <v>642</v>
      </c>
      <c r="N12" s="715" t="s">
        <v>642</v>
      </c>
      <c r="O12" s="715" t="s">
        <v>642</v>
      </c>
    </row>
    <row r="13" spans="1:16" x14ac:dyDescent="0.3">
      <c r="A13" s="733" t="s">
        <v>276</v>
      </c>
      <c r="B13" s="734">
        <v>7663.8</v>
      </c>
      <c r="C13" s="711">
        <v>8282.6</v>
      </c>
      <c r="D13" s="711">
        <v>6410.8</v>
      </c>
      <c r="E13" s="711">
        <v>17407.599999999999</v>
      </c>
      <c r="F13" s="711">
        <v>25264.2</v>
      </c>
      <c r="G13" s="711">
        <v>8171.9</v>
      </c>
      <c r="H13" s="711">
        <v>10810.6</v>
      </c>
      <c r="I13" s="711">
        <v>18952.2</v>
      </c>
      <c r="J13" s="711">
        <v>15627.9</v>
      </c>
      <c r="K13" s="710">
        <v>-533.4</v>
      </c>
      <c r="L13" s="711">
        <v>31828.1</v>
      </c>
      <c r="M13" s="713">
        <v>31828.1</v>
      </c>
      <c r="N13" s="711">
        <v>44540</v>
      </c>
      <c r="O13" s="711">
        <v>52276.4</v>
      </c>
    </row>
    <row r="14" spans="1:16" x14ac:dyDescent="0.3">
      <c r="A14" s="735" t="s">
        <v>746</v>
      </c>
      <c r="B14" s="737">
        <v>0</v>
      </c>
      <c r="C14" s="715">
        <v>0</v>
      </c>
      <c r="D14" s="715">
        <v>0</v>
      </c>
      <c r="E14" s="715">
        <v>0</v>
      </c>
      <c r="F14" s="715">
        <v>0</v>
      </c>
      <c r="G14" s="715">
        <v>0</v>
      </c>
      <c r="H14" s="715">
        <v>0</v>
      </c>
      <c r="I14" s="715">
        <v>0</v>
      </c>
      <c r="J14" s="715">
        <v>0</v>
      </c>
      <c r="K14" s="715">
        <v>0</v>
      </c>
      <c r="L14" s="715">
        <v>0</v>
      </c>
      <c r="M14" s="717">
        <v>0</v>
      </c>
      <c r="N14" s="715" t="s">
        <v>642</v>
      </c>
      <c r="O14" s="715" t="s">
        <v>642</v>
      </c>
    </row>
    <row r="15" spans="1:16" x14ac:dyDescent="0.3">
      <c r="A15" s="735" t="s">
        <v>747</v>
      </c>
      <c r="B15" s="736">
        <v>2547.1999999999998</v>
      </c>
      <c r="C15" s="716">
        <v>2938.8</v>
      </c>
      <c r="D15" s="716">
        <v>3124.8</v>
      </c>
      <c r="E15" s="716">
        <v>3653</v>
      </c>
      <c r="F15" s="716">
        <v>4386.3999999999996</v>
      </c>
      <c r="G15" s="716">
        <v>5452.7</v>
      </c>
      <c r="H15" s="716">
        <v>5798</v>
      </c>
      <c r="I15" s="716">
        <v>6541.9</v>
      </c>
      <c r="J15" s="716">
        <v>8818.4</v>
      </c>
      <c r="K15" s="716">
        <v>7196.9</v>
      </c>
      <c r="L15" s="716">
        <v>8360.7999999999993</v>
      </c>
      <c r="M15" s="718">
        <v>8360.7999999999993</v>
      </c>
      <c r="N15" s="715" t="s">
        <v>642</v>
      </c>
      <c r="O15" s="715" t="s">
        <v>642</v>
      </c>
    </row>
    <row r="16" spans="1:16" x14ac:dyDescent="0.3">
      <c r="A16" s="735" t="s">
        <v>748</v>
      </c>
      <c r="B16" s="737">
        <v>909.2</v>
      </c>
      <c r="C16" s="715">
        <v>989.4</v>
      </c>
      <c r="D16" s="716">
        <v>1015.2</v>
      </c>
      <c r="E16" s="716">
        <v>1233</v>
      </c>
      <c r="F16" s="716">
        <v>1529.8</v>
      </c>
      <c r="G16" s="716">
        <v>1703.3</v>
      </c>
      <c r="H16" s="716">
        <v>1721.2</v>
      </c>
      <c r="I16" s="716">
        <v>2245.8000000000002</v>
      </c>
      <c r="J16" s="716">
        <v>3664.5</v>
      </c>
      <c r="K16" s="716">
        <v>2859.1</v>
      </c>
      <c r="L16" s="716">
        <v>3364.9</v>
      </c>
      <c r="M16" s="718">
        <v>3364.9</v>
      </c>
      <c r="N16" s="715" t="s">
        <v>642</v>
      </c>
      <c r="O16" s="715" t="s">
        <v>642</v>
      </c>
    </row>
    <row r="17" spans="1:15" x14ac:dyDescent="0.3">
      <c r="A17" s="738" t="s">
        <v>749</v>
      </c>
      <c r="B17" s="739">
        <v>31</v>
      </c>
      <c r="C17" s="719">
        <v>46.2</v>
      </c>
      <c r="D17" s="719">
        <v>89.2</v>
      </c>
      <c r="E17" s="719">
        <v>140.9</v>
      </c>
      <c r="F17" s="719">
        <v>163.1</v>
      </c>
      <c r="G17" s="719">
        <v>92.8</v>
      </c>
      <c r="H17" s="719">
        <v>95.2</v>
      </c>
      <c r="I17" s="719">
        <v>258.5</v>
      </c>
      <c r="J17" s="719">
        <v>286.10000000000002</v>
      </c>
      <c r="K17" s="719">
        <v>201.4</v>
      </c>
      <c r="L17" s="719">
        <v>339.9</v>
      </c>
      <c r="M17" s="720">
        <v>339.9</v>
      </c>
      <c r="N17" s="719" t="s">
        <v>642</v>
      </c>
      <c r="O17" s="719" t="s">
        <v>642</v>
      </c>
    </row>
    <row r="18" spans="1:15" x14ac:dyDescent="0.3">
      <c r="A18" s="738" t="s">
        <v>750</v>
      </c>
      <c r="B18" s="739">
        <v>878.2</v>
      </c>
      <c r="C18" s="719">
        <v>943.2</v>
      </c>
      <c r="D18" s="719">
        <v>926</v>
      </c>
      <c r="E18" s="721">
        <v>1092</v>
      </c>
      <c r="F18" s="721">
        <v>1366.7</v>
      </c>
      <c r="G18" s="721">
        <v>1610.5</v>
      </c>
      <c r="H18" s="721">
        <v>1626</v>
      </c>
      <c r="I18" s="721">
        <v>1987.3</v>
      </c>
      <c r="J18" s="721">
        <v>3378.4</v>
      </c>
      <c r="K18" s="721">
        <v>2657.7</v>
      </c>
      <c r="L18" s="721">
        <v>3024.9</v>
      </c>
      <c r="M18" s="722">
        <v>3024.9</v>
      </c>
      <c r="N18" s="719" t="s">
        <v>642</v>
      </c>
      <c r="O18" s="719" t="s">
        <v>642</v>
      </c>
    </row>
    <row r="19" spans="1:15" x14ac:dyDescent="0.3">
      <c r="A19" s="735" t="s">
        <v>745</v>
      </c>
      <c r="B19" s="736">
        <v>1409.5</v>
      </c>
      <c r="C19" s="716">
        <v>1620.3</v>
      </c>
      <c r="D19" s="716">
        <v>1744.7</v>
      </c>
      <c r="E19" s="716">
        <v>1975.4</v>
      </c>
      <c r="F19" s="716">
        <v>2284</v>
      </c>
      <c r="G19" s="716">
        <v>2855.6</v>
      </c>
      <c r="H19" s="716">
        <v>3111.3</v>
      </c>
      <c r="I19" s="716">
        <v>3551.2</v>
      </c>
      <c r="J19" s="716">
        <v>4474.6000000000004</v>
      </c>
      <c r="K19" s="716">
        <v>3750.7</v>
      </c>
      <c r="L19" s="716">
        <v>4436.3</v>
      </c>
      <c r="M19" s="718">
        <v>4436.3</v>
      </c>
      <c r="N19" s="715" t="s">
        <v>642</v>
      </c>
      <c r="O19" s="715" t="s">
        <v>642</v>
      </c>
    </row>
    <row r="20" spans="1:15" x14ac:dyDescent="0.3">
      <c r="A20" s="735" t="s">
        <v>744</v>
      </c>
      <c r="B20" s="737">
        <v>228.5</v>
      </c>
      <c r="C20" s="715">
        <v>329.1</v>
      </c>
      <c r="D20" s="715">
        <v>364.9</v>
      </c>
      <c r="E20" s="715">
        <v>444.7</v>
      </c>
      <c r="F20" s="715">
        <v>572.6</v>
      </c>
      <c r="G20" s="715">
        <v>893.8</v>
      </c>
      <c r="H20" s="715">
        <v>965.5</v>
      </c>
      <c r="I20" s="715">
        <v>744.9</v>
      </c>
      <c r="J20" s="715">
        <v>679.4</v>
      </c>
      <c r="K20" s="715">
        <v>587.1</v>
      </c>
      <c r="L20" s="715">
        <v>559.6</v>
      </c>
      <c r="M20" s="717">
        <v>559.6</v>
      </c>
      <c r="N20" s="715" t="s">
        <v>642</v>
      </c>
      <c r="O20" s="715" t="s">
        <v>642</v>
      </c>
    </row>
    <row r="21" spans="1:15" x14ac:dyDescent="0.3">
      <c r="A21" s="735" t="s">
        <v>751</v>
      </c>
      <c r="B21" s="737">
        <v>0</v>
      </c>
      <c r="C21" s="715">
        <v>0</v>
      </c>
      <c r="D21" s="715">
        <v>0</v>
      </c>
      <c r="E21" s="715">
        <v>0</v>
      </c>
      <c r="F21" s="715">
        <v>0</v>
      </c>
      <c r="G21" s="715">
        <v>0</v>
      </c>
      <c r="H21" s="715">
        <v>0</v>
      </c>
      <c r="I21" s="715">
        <v>0</v>
      </c>
      <c r="J21" s="715">
        <v>0</v>
      </c>
      <c r="K21" s="715">
        <v>0</v>
      </c>
      <c r="L21" s="715">
        <v>0</v>
      </c>
      <c r="M21" s="717">
        <v>0</v>
      </c>
      <c r="N21" s="715" t="s">
        <v>642</v>
      </c>
      <c r="O21" s="715" t="s">
        <v>642</v>
      </c>
    </row>
    <row r="22" spans="1:15" x14ac:dyDescent="0.3">
      <c r="A22" s="733" t="s">
        <v>752</v>
      </c>
      <c r="B22" s="734">
        <v>5116.7</v>
      </c>
      <c r="C22" s="711">
        <v>5343.8</v>
      </c>
      <c r="D22" s="711">
        <v>3286</v>
      </c>
      <c r="E22" s="711">
        <v>13754.6</v>
      </c>
      <c r="F22" s="711">
        <v>20877.8</v>
      </c>
      <c r="G22" s="711">
        <v>2719.2</v>
      </c>
      <c r="H22" s="711">
        <v>5012.6000000000004</v>
      </c>
      <c r="I22" s="711">
        <v>12410.3</v>
      </c>
      <c r="J22" s="711">
        <v>6809.4</v>
      </c>
      <c r="K22" s="711">
        <v>-7730.3</v>
      </c>
      <c r="L22" s="711">
        <v>23467.3</v>
      </c>
      <c r="M22" s="713">
        <v>23467.3</v>
      </c>
      <c r="N22" s="711">
        <v>33964.5</v>
      </c>
      <c r="O22" s="711">
        <v>40318.400000000001</v>
      </c>
    </row>
    <row r="23" spans="1:15" x14ac:dyDescent="0.3">
      <c r="A23" s="735" t="s">
        <v>753</v>
      </c>
      <c r="B23" s="737">
        <v>216.8</v>
      </c>
      <c r="C23" s="715">
        <v>70.8</v>
      </c>
      <c r="D23" s="715">
        <v>74.3</v>
      </c>
      <c r="E23" s="715">
        <v>349.9</v>
      </c>
      <c r="F23" s="715">
        <v>-287.89999999999998</v>
      </c>
      <c r="G23" s="715">
        <v>125.2</v>
      </c>
      <c r="H23" s="715">
        <v>511.7</v>
      </c>
      <c r="I23" s="715">
        <v>-380.4</v>
      </c>
      <c r="J23" s="715">
        <v>743.2</v>
      </c>
      <c r="K23" s="716">
        <v>2637.7</v>
      </c>
      <c r="L23" s="715">
        <v>692.9</v>
      </c>
      <c r="M23" s="717">
        <v>682.5</v>
      </c>
      <c r="N23" s="715" t="s">
        <v>642</v>
      </c>
      <c r="O23" s="715" t="s">
        <v>642</v>
      </c>
    </row>
    <row r="24" spans="1:15" x14ac:dyDescent="0.3">
      <c r="A24" s="735" t="s">
        <v>754</v>
      </c>
      <c r="B24" s="737">
        <v>118.2</v>
      </c>
      <c r="C24" s="715">
        <v>77.8</v>
      </c>
      <c r="D24" s="715">
        <v>85.9</v>
      </c>
      <c r="E24" s="715">
        <v>69.599999999999994</v>
      </c>
      <c r="F24" s="715">
        <v>32.200000000000003</v>
      </c>
      <c r="G24" s="715">
        <v>215.4</v>
      </c>
      <c r="H24" s="715">
        <v>225.6</v>
      </c>
      <c r="I24" s="715">
        <v>237.5</v>
      </c>
      <c r="J24" s="715">
        <v>443.6</v>
      </c>
      <c r="K24" s="716">
        <v>1251.8</v>
      </c>
      <c r="L24" s="716">
        <v>1000.4</v>
      </c>
      <c r="M24" s="718">
        <v>1000.4</v>
      </c>
      <c r="N24" s="715" t="s">
        <v>642</v>
      </c>
      <c r="O24" s="715" t="s">
        <v>642</v>
      </c>
    </row>
    <row r="25" spans="1:15" x14ac:dyDescent="0.3">
      <c r="A25" s="738" t="s">
        <v>755</v>
      </c>
      <c r="B25" s="739">
        <v>170.4</v>
      </c>
      <c r="C25" s="719">
        <v>118.5</v>
      </c>
      <c r="D25" s="719">
        <v>120.1</v>
      </c>
      <c r="E25" s="719">
        <v>123.9</v>
      </c>
      <c r="F25" s="719">
        <v>94.6</v>
      </c>
      <c r="G25" s="719">
        <v>245.4</v>
      </c>
      <c r="H25" s="719">
        <v>253.5</v>
      </c>
      <c r="I25" s="719">
        <v>260</v>
      </c>
      <c r="J25" s="719">
        <v>533.1</v>
      </c>
      <c r="K25" s="721">
        <v>1468.3</v>
      </c>
      <c r="L25" s="721">
        <v>1345.2</v>
      </c>
      <c r="M25" s="722">
        <v>1345.2</v>
      </c>
      <c r="N25" s="719" t="s">
        <v>642</v>
      </c>
      <c r="O25" s="719" t="s">
        <v>642</v>
      </c>
    </row>
    <row r="26" spans="1:15" x14ac:dyDescent="0.3">
      <c r="A26" s="738" t="s">
        <v>756</v>
      </c>
      <c r="B26" s="739">
        <v>52.1</v>
      </c>
      <c r="C26" s="719">
        <v>40.700000000000003</v>
      </c>
      <c r="D26" s="719">
        <v>34.200000000000003</v>
      </c>
      <c r="E26" s="719">
        <v>54.3</v>
      </c>
      <c r="F26" s="719">
        <v>62.5</v>
      </c>
      <c r="G26" s="719">
        <v>30.1</v>
      </c>
      <c r="H26" s="719">
        <v>27.9</v>
      </c>
      <c r="I26" s="719">
        <v>22.4</v>
      </c>
      <c r="J26" s="719">
        <v>89.6</v>
      </c>
      <c r="K26" s="719">
        <v>216.4</v>
      </c>
      <c r="L26" s="719">
        <v>344.8</v>
      </c>
      <c r="M26" s="720">
        <v>344.8</v>
      </c>
      <c r="N26" s="719" t="s">
        <v>642</v>
      </c>
      <c r="O26" s="719" t="s">
        <v>642</v>
      </c>
    </row>
    <row r="27" spans="1:15" x14ac:dyDescent="0.3">
      <c r="A27" s="735" t="s">
        <v>757</v>
      </c>
      <c r="B27" s="737">
        <v>-1.2</v>
      </c>
      <c r="C27" s="715">
        <v>-1.3</v>
      </c>
      <c r="D27" s="715">
        <v>0</v>
      </c>
      <c r="E27" s="715">
        <v>0</v>
      </c>
      <c r="F27" s="715">
        <v>-2.1</v>
      </c>
      <c r="G27" s="715">
        <v>-0.4</v>
      </c>
      <c r="H27" s="715">
        <v>-1.3</v>
      </c>
      <c r="I27" s="715">
        <v>-10.199999999999999</v>
      </c>
      <c r="J27" s="715">
        <v>-2.4</v>
      </c>
      <c r="K27" s="715">
        <v>-13.4</v>
      </c>
      <c r="L27" s="715">
        <v>-29.3</v>
      </c>
      <c r="M27" s="717">
        <v>-29.3</v>
      </c>
      <c r="N27" s="715" t="s">
        <v>642</v>
      </c>
      <c r="O27" s="715" t="s">
        <v>642</v>
      </c>
    </row>
    <row r="28" spans="1:15" x14ac:dyDescent="0.3">
      <c r="A28" s="735" t="s">
        <v>758</v>
      </c>
      <c r="B28" s="737">
        <v>-128.5</v>
      </c>
      <c r="C28" s="715">
        <v>-57.6</v>
      </c>
      <c r="D28" s="715">
        <v>-38.1</v>
      </c>
      <c r="E28" s="715">
        <v>231.6</v>
      </c>
      <c r="F28" s="715">
        <v>-340.1</v>
      </c>
      <c r="G28" s="715">
        <v>-99.4</v>
      </c>
      <c r="H28" s="715">
        <v>190.4</v>
      </c>
      <c r="I28" s="715">
        <v>-488.6</v>
      </c>
      <c r="J28" s="715">
        <v>405.2</v>
      </c>
      <c r="K28" s="715">
        <v>318.8</v>
      </c>
      <c r="L28" s="715">
        <v>-268.8</v>
      </c>
      <c r="M28" s="717">
        <v>-268.8</v>
      </c>
      <c r="N28" s="715" t="s">
        <v>642</v>
      </c>
      <c r="O28" s="715" t="s">
        <v>642</v>
      </c>
    </row>
    <row r="29" spans="1:15" x14ac:dyDescent="0.3">
      <c r="A29" s="735" t="s">
        <v>759</v>
      </c>
      <c r="B29" s="737">
        <v>-23.1</v>
      </c>
      <c r="C29" s="715">
        <v>-24.6</v>
      </c>
      <c r="D29" s="715">
        <v>-22.8</v>
      </c>
      <c r="E29" s="715">
        <v>-12.4</v>
      </c>
      <c r="F29" s="715">
        <v>-13</v>
      </c>
      <c r="G29" s="715">
        <v>-22.6</v>
      </c>
      <c r="H29" s="715">
        <v>36.299999999999997</v>
      </c>
      <c r="I29" s="715">
        <v>-162.30000000000001</v>
      </c>
      <c r="J29" s="715">
        <v>-131.19999999999999</v>
      </c>
      <c r="K29" s="715">
        <v>-15.1</v>
      </c>
      <c r="L29" s="715">
        <v>38.200000000000003</v>
      </c>
      <c r="M29" s="717">
        <v>38.200000000000003</v>
      </c>
      <c r="N29" s="715" t="s">
        <v>642</v>
      </c>
      <c r="O29" s="715" t="s">
        <v>642</v>
      </c>
    </row>
    <row r="30" spans="1:15" x14ac:dyDescent="0.3">
      <c r="A30" s="735" t="s">
        <v>760</v>
      </c>
      <c r="B30" s="737">
        <v>251.4</v>
      </c>
      <c r="C30" s="715">
        <v>76.5</v>
      </c>
      <c r="D30" s="715">
        <v>49.2</v>
      </c>
      <c r="E30" s="715">
        <v>61</v>
      </c>
      <c r="F30" s="715">
        <v>35.200000000000003</v>
      </c>
      <c r="G30" s="715">
        <v>32.299999999999997</v>
      </c>
      <c r="H30" s="715">
        <v>60.7</v>
      </c>
      <c r="I30" s="715">
        <v>43.1</v>
      </c>
      <c r="J30" s="715">
        <v>28</v>
      </c>
      <c r="K30" s="716">
        <v>1095.5</v>
      </c>
      <c r="L30" s="715">
        <v>-47.7</v>
      </c>
      <c r="M30" s="717">
        <v>-58</v>
      </c>
      <c r="N30" s="715" t="s">
        <v>642</v>
      </c>
      <c r="O30" s="715" t="s">
        <v>642</v>
      </c>
    </row>
    <row r="31" spans="1:15" x14ac:dyDescent="0.3">
      <c r="A31" s="733" t="s">
        <v>761</v>
      </c>
      <c r="B31" s="734">
        <v>4899.8999999999996</v>
      </c>
      <c r="C31" s="711">
        <v>5273.1</v>
      </c>
      <c r="D31" s="711">
        <v>3211.7</v>
      </c>
      <c r="E31" s="711">
        <v>13404.7</v>
      </c>
      <c r="F31" s="711">
        <v>21165.7</v>
      </c>
      <c r="G31" s="711">
        <v>2594</v>
      </c>
      <c r="H31" s="711">
        <v>4500.8999999999996</v>
      </c>
      <c r="I31" s="711">
        <v>12790.7</v>
      </c>
      <c r="J31" s="711">
        <v>6066.2</v>
      </c>
      <c r="K31" s="711">
        <v>-10368.1</v>
      </c>
      <c r="L31" s="711">
        <v>22774.5</v>
      </c>
      <c r="M31" s="713">
        <v>22784.799999999999</v>
      </c>
      <c r="N31" s="711">
        <v>33491.800000000003</v>
      </c>
      <c r="O31" s="711">
        <v>39412.400000000001</v>
      </c>
    </row>
    <row r="32" spans="1:15" x14ac:dyDescent="0.3">
      <c r="A32" s="735" t="s">
        <v>762</v>
      </c>
      <c r="B32" s="737">
        <v>-147.80000000000001</v>
      </c>
      <c r="C32" s="715">
        <v>3.9</v>
      </c>
      <c r="D32" s="715">
        <v>-4.7</v>
      </c>
      <c r="E32" s="715">
        <v>-34.9</v>
      </c>
      <c r="F32" s="715">
        <v>-175.4</v>
      </c>
      <c r="G32" s="715">
        <v>161.30000000000001</v>
      </c>
      <c r="H32" s="716">
        <v>-1736.1</v>
      </c>
      <c r="I32" s="715">
        <v>-625.29999999999995</v>
      </c>
      <c r="J32" s="716">
        <v>2063.5</v>
      </c>
      <c r="K32" s="716">
        <v>1289.8</v>
      </c>
      <c r="L32" s="716">
        <v>-1110.9000000000001</v>
      </c>
      <c r="M32" s="718">
        <v>-1100.5999999999999</v>
      </c>
      <c r="N32" s="715" t="s">
        <v>642</v>
      </c>
      <c r="O32" s="715" t="s">
        <v>642</v>
      </c>
    </row>
    <row r="33" spans="1:15" x14ac:dyDescent="0.3">
      <c r="A33" s="735" t="s">
        <v>763</v>
      </c>
      <c r="B33" s="737">
        <v>15.4</v>
      </c>
      <c r="C33" s="715">
        <v>8.5</v>
      </c>
      <c r="D33" s="715">
        <v>-1.4</v>
      </c>
      <c r="E33" s="715">
        <v>-20.8</v>
      </c>
      <c r="F33" s="715">
        <v>25.9</v>
      </c>
      <c r="G33" s="715">
        <v>-7</v>
      </c>
      <c r="H33" s="715">
        <v>11.2</v>
      </c>
      <c r="I33" s="715">
        <v>-55.5</v>
      </c>
      <c r="J33" s="715">
        <v>-98.2</v>
      </c>
      <c r="K33" s="715">
        <v>-175.4</v>
      </c>
      <c r="L33" s="715">
        <v>-52.4</v>
      </c>
      <c r="M33" s="717">
        <v>-47.3</v>
      </c>
      <c r="N33" s="715" t="s">
        <v>642</v>
      </c>
      <c r="O33" s="715" t="s">
        <v>642</v>
      </c>
    </row>
    <row r="34" spans="1:15" x14ac:dyDescent="0.3">
      <c r="A34" s="735" t="s">
        <v>764</v>
      </c>
      <c r="B34" s="737">
        <v>2.9</v>
      </c>
      <c r="C34" s="715" t="s">
        <v>741</v>
      </c>
      <c r="D34" s="715" t="s">
        <v>741</v>
      </c>
      <c r="E34" s="715" t="s">
        <v>741</v>
      </c>
      <c r="F34" s="715" t="s">
        <v>741</v>
      </c>
      <c r="G34" s="715" t="s">
        <v>741</v>
      </c>
      <c r="H34" s="715" t="s">
        <v>741</v>
      </c>
      <c r="I34" s="715" t="s">
        <v>741</v>
      </c>
      <c r="J34" s="715" t="s">
        <v>741</v>
      </c>
      <c r="K34" s="715" t="s">
        <v>741</v>
      </c>
      <c r="L34" s="715" t="s">
        <v>741</v>
      </c>
      <c r="M34" s="717" t="s">
        <v>642</v>
      </c>
      <c r="N34" s="715" t="s">
        <v>642</v>
      </c>
      <c r="O34" s="715" t="s">
        <v>642</v>
      </c>
    </row>
    <row r="35" spans="1:15" x14ac:dyDescent="0.3">
      <c r="A35" s="735" t="s">
        <v>765</v>
      </c>
      <c r="B35" s="737">
        <v>25.4</v>
      </c>
      <c r="C35" s="715">
        <v>22.1</v>
      </c>
      <c r="D35" s="715">
        <v>3.7</v>
      </c>
      <c r="E35" s="715" t="s">
        <v>741</v>
      </c>
      <c r="F35" s="715" t="s">
        <v>741</v>
      </c>
      <c r="G35" s="715" t="s">
        <v>741</v>
      </c>
      <c r="H35" s="715" t="s">
        <v>741</v>
      </c>
      <c r="I35" s="715" t="s">
        <v>741</v>
      </c>
      <c r="J35" s="715" t="s">
        <v>741</v>
      </c>
      <c r="K35" s="715">
        <v>165.7</v>
      </c>
      <c r="L35" s="715" t="s">
        <v>741</v>
      </c>
      <c r="M35" s="717" t="s">
        <v>642</v>
      </c>
      <c r="N35" s="715" t="s">
        <v>642</v>
      </c>
      <c r="O35" s="715" t="s">
        <v>642</v>
      </c>
    </row>
    <row r="36" spans="1:15" x14ac:dyDescent="0.3">
      <c r="A36" s="735" t="s">
        <v>766</v>
      </c>
      <c r="B36" s="737">
        <v>0.5</v>
      </c>
      <c r="C36" s="715">
        <v>1.8</v>
      </c>
      <c r="D36" s="715">
        <v>0.1</v>
      </c>
      <c r="E36" s="715">
        <v>0.8</v>
      </c>
      <c r="F36" s="715">
        <v>4.5</v>
      </c>
      <c r="G36" s="715">
        <v>0.1</v>
      </c>
      <c r="H36" s="715">
        <v>16.5</v>
      </c>
      <c r="I36" s="715">
        <v>43.8</v>
      </c>
      <c r="J36" s="716">
        <v>1602.2</v>
      </c>
      <c r="K36" s="715">
        <v>-156.69999999999999</v>
      </c>
      <c r="L36" s="715">
        <v>0.2</v>
      </c>
      <c r="M36" s="717">
        <v>0</v>
      </c>
      <c r="N36" s="715" t="s">
        <v>642</v>
      </c>
      <c r="O36" s="715" t="s">
        <v>642</v>
      </c>
    </row>
    <row r="37" spans="1:15" x14ac:dyDescent="0.3">
      <c r="A37" s="735" t="s">
        <v>767</v>
      </c>
      <c r="B37" s="737" t="s">
        <v>741</v>
      </c>
      <c r="C37" s="715" t="s">
        <v>741</v>
      </c>
      <c r="D37" s="715" t="s">
        <v>741</v>
      </c>
      <c r="E37" s="715" t="s">
        <v>741</v>
      </c>
      <c r="F37" s="715" t="s">
        <v>741</v>
      </c>
      <c r="G37" s="715" t="s">
        <v>741</v>
      </c>
      <c r="H37" s="715" t="s">
        <v>741</v>
      </c>
      <c r="I37" s="715" t="s">
        <v>741</v>
      </c>
      <c r="J37" s="715" t="s">
        <v>741</v>
      </c>
      <c r="K37" s="715" t="s">
        <v>741</v>
      </c>
      <c r="L37" s="716">
        <v>-1352.5</v>
      </c>
      <c r="M37" s="718">
        <v>-1352.5</v>
      </c>
      <c r="N37" s="715" t="s">
        <v>642</v>
      </c>
      <c r="O37" s="715" t="s">
        <v>642</v>
      </c>
    </row>
    <row r="38" spans="1:15" x14ac:dyDescent="0.3">
      <c r="A38" s="735" t="s">
        <v>768</v>
      </c>
      <c r="B38" s="737">
        <v>313.39999999999998</v>
      </c>
      <c r="C38" s="715">
        <v>7.7</v>
      </c>
      <c r="D38" s="715">
        <v>9.3000000000000007</v>
      </c>
      <c r="E38" s="715">
        <v>33.299999999999997</v>
      </c>
      <c r="F38" s="715">
        <v>34</v>
      </c>
      <c r="G38" s="715" t="s">
        <v>741</v>
      </c>
      <c r="H38" s="715" t="s">
        <v>741</v>
      </c>
      <c r="I38" s="715" t="s">
        <v>741</v>
      </c>
      <c r="J38" s="715" t="s">
        <v>741</v>
      </c>
      <c r="K38" s="715" t="s">
        <v>741</v>
      </c>
      <c r="L38" s="715" t="s">
        <v>741</v>
      </c>
      <c r="M38" s="717" t="s">
        <v>642</v>
      </c>
      <c r="N38" s="715" t="s">
        <v>642</v>
      </c>
      <c r="O38" s="715" t="s">
        <v>642</v>
      </c>
    </row>
    <row r="39" spans="1:15" x14ac:dyDescent="0.3">
      <c r="A39" s="735" t="s">
        <v>769</v>
      </c>
      <c r="B39" s="737">
        <v>-35</v>
      </c>
      <c r="C39" s="715">
        <v>-33.799999999999997</v>
      </c>
      <c r="D39" s="715">
        <v>-15.3</v>
      </c>
      <c r="E39" s="715">
        <v>-46.7</v>
      </c>
      <c r="F39" s="715">
        <v>-41.9</v>
      </c>
      <c r="G39" s="715">
        <v>-59.2</v>
      </c>
      <c r="H39" s="715">
        <v>-27.5</v>
      </c>
      <c r="I39" s="715">
        <v>-81.8</v>
      </c>
      <c r="J39" s="715">
        <v>-64.400000000000006</v>
      </c>
      <c r="K39" s="715" t="s">
        <v>741</v>
      </c>
      <c r="L39" s="715" t="s">
        <v>741</v>
      </c>
      <c r="M39" s="717" t="s">
        <v>642</v>
      </c>
      <c r="N39" s="715" t="s">
        <v>642</v>
      </c>
      <c r="O39" s="715" t="s">
        <v>642</v>
      </c>
    </row>
    <row r="40" spans="1:15" x14ac:dyDescent="0.3">
      <c r="A40" s="735" t="s">
        <v>770</v>
      </c>
      <c r="B40" s="737">
        <v>-6.9</v>
      </c>
      <c r="C40" s="715">
        <v>-2.2999999999999998</v>
      </c>
      <c r="D40" s="715">
        <v>-1.1000000000000001</v>
      </c>
      <c r="E40" s="715">
        <v>-1.4</v>
      </c>
      <c r="F40" s="715">
        <v>-197.9</v>
      </c>
      <c r="G40" s="715">
        <v>227.4</v>
      </c>
      <c r="H40" s="716">
        <v>-1736.3</v>
      </c>
      <c r="I40" s="715">
        <v>-531.79999999999995</v>
      </c>
      <c r="J40" s="715">
        <v>623.9</v>
      </c>
      <c r="K40" s="716">
        <v>1456.2</v>
      </c>
      <c r="L40" s="715">
        <v>293.7</v>
      </c>
      <c r="M40" s="717">
        <v>299.10000000000002</v>
      </c>
      <c r="N40" s="715" t="s">
        <v>642</v>
      </c>
      <c r="O40" s="715" t="s">
        <v>642</v>
      </c>
    </row>
    <row r="41" spans="1:15" x14ac:dyDescent="0.3">
      <c r="A41" s="735" t="s">
        <v>771</v>
      </c>
      <c r="B41" s="737">
        <v>-587.4</v>
      </c>
      <c r="C41" s="715" t="s">
        <v>741</v>
      </c>
      <c r="D41" s="715" t="s">
        <v>741</v>
      </c>
      <c r="E41" s="715" t="s">
        <v>741</v>
      </c>
      <c r="F41" s="715" t="s">
        <v>741</v>
      </c>
      <c r="G41" s="715" t="s">
        <v>741</v>
      </c>
      <c r="H41" s="715" t="s">
        <v>741</v>
      </c>
      <c r="I41" s="715" t="s">
        <v>741</v>
      </c>
      <c r="J41" s="715" t="s">
        <v>741</v>
      </c>
      <c r="K41" s="715" t="s">
        <v>741</v>
      </c>
      <c r="L41" s="715" t="s">
        <v>741</v>
      </c>
      <c r="M41" s="717" t="s">
        <v>642</v>
      </c>
      <c r="N41" s="715" t="s">
        <v>642</v>
      </c>
      <c r="O41" s="715" t="s">
        <v>642</v>
      </c>
    </row>
    <row r="42" spans="1:15" x14ac:dyDescent="0.3">
      <c r="A42" s="735" t="s">
        <v>772</v>
      </c>
      <c r="B42" s="737">
        <v>124</v>
      </c>
      <c r="C42" s="715" t="s">
        <v>741</v>
      </c>
      <c r="D42" s="715" t="s">
        <v>741</v>
      </c>
      <c r="E42" s="715" t="s">
        <v>741</v>
      </c>
      <c r="F42" s="715" t="s">
        <v>741</v>
      </c>
      <c r="G42" s="715" t="s">
        <v>741</v>
      </c>
      <c r="H42" s="715" t="s">
        <v>741</v>
      </c>
      <c r="I42" s="715" t="s">
        <v>741</v>
      </c>
      <c r="J42" s="715" t="s">
        <v>741</v>
      </c>
      <c r="K42" s="715" t="s">
        <v>741</v>
      </c>
      <c r="L42" s="715" t="s">
        <v>741</v>
      </c>
      <c r="M42" s="717" t="s">
        <v>642</v>
      </c>
      <c r="N42" s="715" t="s">
        <v>642</v>
      </c>
      <c r="O42" s="715" t="s">
        <v>642</v>
      </c>
    </row>
    <row r="43" spans="1:15" x14ac:dyDescent="0.3">
      <c r="A43" s="733" t="s">
        <v>773</v>
      </c>
      <c r="B43" s="734">
        <v>5047.7</v>
      </c>
      <c r="C43" s="711">
        <v>5269.1</v>
      </c>
      <c r="D43" s="711">
        <v>3216.5</v>
      </c>
      <c r="E43" s="711">
        <v>13439.6</v>
      </c>
      <c r="F43" s="711">
        <v>21341</v>
      </c>
      <c r="G43" s="711">
        <v>2432.6</v>
      </c>
      <c r="H43" s="711">
        <v>6237</v>
      </c>
      <c r="I43" s="711">
        <v>13416</v>
      </c>
      <c r="J43" s="711">
        <v>4002.8</v>
      </c>
      <c r="K43" s="711">
        <v>-11657.8</v>
      </c>
      <c r="L43" s="711">
        <v>23885.4</v>
      </c>
      <c r="M43" s="713">
        <v>23885.4</v>
      </c>
      <c r="N43" s="711">
        <v>33491.800000000003</v>
      </c>
      <c r="O43" s="711">
        <v>39412.400000000001</v>
      </c>
    </row>
    <row r="44" spans="1:15" x14ac:dyDescent="0.3">
      <c r="A44" s="735" t="s">
        <v>774</v>
      </c>
      <c r="B44" s="737">
        <v>852.5</v>
      </c>
      <c r="C44" s="715">
        <v>945.5</v>
      </c>
      <c r="D44" s="715">
        <v>256</v>
      </c>
      <c r="E44" s="716">
        <v>2797.3</v>
      </c>
      <c r="F44" s="716">
        <v>5801</v>
      </c>
      <c r="G44" s="715">
        <v>423.6</v>
      </c>
      <c r="H44" s="716">
        <v>1478.1</v>
      </c>
      <c r="I44" s="716">
        <v>3799.8</v>
      </c>
      <c r="J44" s="716">
        <v>1761.1</v>
      </c>
      <c r="K44" s="716">
        <v>-2520.3000000000002</v>
      </c>
      <c r="L44" s="716">
        <v>4088.4</v>
      </c>
      <c r="M44" s="718">
        <v>4088.4</v>
      </c>
      <c r="N44" s="715" t="s">
        <v>642</v>
      </c>
      <c r="O44" s="715" t="s">
        <v>642</v>
      </c>
    </row>
    <row r="45" spans="1:15" x14ac:dyDescent="0.3">
      <c r="A45" s="735" t="s">
        <v>775</v>
      </c>
      <c r="B45" s="737">
        <v>921.7</v>
      </c>
      <c r="C45" s="716">
        <v>1026.8</v>
      </c>
      <c r="D45" s="715">
        <v>621.29999999999995</v>
      </c>
      <c r="E45" s="716">
        <v>2631.3</v>
      </c>
      <c r="F45" s="716">
        <v>5715.1</v>
      </c>
      <c r="G45" s="715">
        <v>518.20000000000005</v>
      </c>
      <c r="H45" s="716">
        <v>1088.5</v>
      </c>
      <c r="I45" s="716">
        <v>3413.7</v>
      </c>
      <c r="J45" s="716">
        <v>2254.6999999999998</v>
      </c>
      <c r="K45" s="715">
        <v>68</v>
      </c>
      <c r="L45" s="716">
        <v>3622.1</v>
      </c>
      <c r="M45" s="717" t="s">
        <v>642</v>
      </c>
      <c r="N45" s="715" t="s">
        <v>642</v>
      </c>
      <c r="O45" s="715" t="s">
        <v>642</v>
      </c>
    </row>
    <row r="46" spans="1:15" x14ac:dyDescent="0.3">
      <c r="A46" s="735" t="s">
        <v>776</v>
      </c>
      <c r="B46" s="737">
        <v>-69.2</v>
      </c>
      <c r="C46" s="715">
        <v>-81.3</v>
      </c>
      <c r="D46" s="715">
        <v>-365.3</v>
      </c>
      <c r="E46" s="715">
        <v>166</v>
      </c>
      <c r="F46" s="715">
        <v>85.9</v>
      </c>
      <c r="G46" s="715">
        <v>-94.6</v>
      </c>
      <c r="H46" s="715">
        <v>389.6</v>
      </c>
      <c r="I46" s="715">
        <v>386.1</v>
      </c>
      <c r="J46" s="715">
        <v>-493.6</v>
      </c>
      <c r="K46" s="716">
        <v>-2588.3000000000002</v>
      </c>
      <c r="L46" s="715">
        <v>466.3</v>
      </c>
      <c r="M46" s="717" t="s">
        <v>642</v>
      </c>
      <c r="N46" s="715" t="s">
        <v>642</v>
      </c>
      <c r="O46" s="715" t="s">
        <v>642</v>
      </c>
    </row>
    <row r="47" spans="1:15" x14ac:dyDescent="0.3">
      <c r="A47" s="735" t="s">
        <v>777</v>
      </c>
      <c r="B47" s="737">
        <v>0</v>
      </c>
      <c r="C47" s="715">
        <v>0</v>
      </c>
      <c r="D47" s="715">
        <v>0</v>
      </c>
      <c r="E47" s="715">
        <v>0</v>
      </c>
      <c r="F47" s="715" t="s">
        <v>741</v>
      </c>
      <c r="G47" s="715" t="s">
        <v>741</v>
      </c>
      <c r="H47" s="715" t="s">
        <v>741</v>
      </c>
      <c r="I47" s="715" t="s">
        <v>741</v>
      </c>
      <c r="J47" s="715" t="s">
        <v>741</v>
      </c>
      <c r="K47" s="715" t="s">
        <v>741</v>
      </c>
      <c r="L47" s="715" t="s">
        <v>741</v>
      </c>
      <c r="M47" s="717" t="s">
        <v>642</v>
      </c>
      <c r="N47" s="715" t="s">
        <v>642</v>
      </c>
      <c r="O47" s="715" t="s">
        <v>642</v>
      </c>
    </row>
    <row r="48" spans="1:15" x14ac:dyDescent="0.3">
      <c r="A48" s="733" t="s">
        <v>778</v>
      </c>
      <c r="B48" s="734">
        <v>4195.2</v>
      </c>
      <c r="C48" s="711">
        <v>4323.6000000000004</v>
      </c>
      <c r="D48" s="711">
        <v>2960.5</v>
      </c>
      <c r="E48" s="711">
        <v>10642.2</v>
      </c>
      <c r="F48" s="711">
        <v>15540</v>
      </c>
      <c r="G48" s="711">
        <v>2009.1</v>
      </c>
      <c r="H48" s="711">
        <v>4758.8999999999996</v>
      </c>
      <c r="I48" s="711">
        <v>9616.2000000000007</v>
      </c>
      <c r="J48" s="711">
        <v>2241.6999999999998</v>
      </c>
      <c r="K48" s="711">
        <v>-9137.5</v>
      </c>
      <c r="L48" s="711">
        <v>19796.900000000001</v>
      </c>
      <c r="M48" s="713">
        <v>19796.900000000001</v>
      </c>
      <c r="N48" s="711">
        <v>25899.7</v>
      </c>
      <c r="O48" s="711">
        <v>31375.5</v>
      </c>
    </row>
    <row r="49" spans="1:15" x14ac:dyDescent="0.3">
      <c r="A49" s="735" t="s">
        <v>779</v>
      </c>
      <c r="B49" s="737">
        <v>0</v>
      </c>
      <c r="C49" s="715">
        <v>0</v>
      </c>
      <c r="D49" s="715">
        <v>0</v>
      </c>
      <c r="E49" s="715">
        <v>0</v>
      </c>
      <c r="F49" s="715">
        <v>0</v>
      </c>
      <c r="G49" s="715">
        <v>0</v>
      </c>
      <c r="H49" s="715">
        <v>0</v>
      </c>
      <c r="I49" s="715">
        <v>0</v>
      </c>
      <c r="J49" s="715">
        <v>0</v>
      </c>
      <c r="K49" s="715">
        <v>0</v>
      </c>
      <c r="L49" s="715">
        <v>0</v>
      </c>
      <c r="M49" s="717">
        <v>0</v>
      </c>
      <c r="N49" s="715" t="s">
        <v>642</v>
      </c>
      <c r="O49" s="715" t="s">
        <v>642</v>
      </c>
    </row>
    <row r="50" spans="1:15" x14ac:dyDescent="0.3">
      <c r="A50" s="735" t="s">
        <v>780</v>
      </c>
      <c r="B50" s="737">
        <v>0</v>
      </c>
      <c r="C50" s="715">
        <v>0</v>
      </c>
      <c r="D50" s="715">
        <v>0</v>
      </c>
      <c r="E50" s="715">
        <v>0</v>
      </c>
      <c r="F50" s="715">
        <v>0</v>
      </c>
      <c r="G50" s="715">
        <v>0</v>
      </c>
      <c r="H50" s="715">
        <v>0</v>
      </c>
      <c r="I50" s="715">
        <v>0</v>
      </c>
      <c r="J50" s="715">
        <v>0</v>
      </c>
      <c r="K50" s="715">
        <v>0</v>
      </c>
      <c r="L50" s="715">
        <v>0</v>
      </c>
      <c r="M50" s="717">
        <v>0</v>
      </c>
      <c r="N50" s="715" t="s">
        <v>642</v>
      </c>
      <c r="O50" s="715" t="s">
        <v>642</v>
      </c>
    </row>
    <row r="51" spans="1:15" x14ac:dyDescent="0.3">
      <c r="A51" s="735" t="s">
        <v>781</v>
      </c>
      <c r="B51" s="737">
        <v>0</v>
      </c>
      <c r="C51" s="715">
        <v>0</v>
      </c>
      <c r="D51" s="715">
        <v>0</v>
      </c>
      <c r="E51" s="715">
        <v>0</v>
      </c>
      <c r="F51" s="715">
        <v>0</v>
      </c>
      <c r="G51" s="715">
        <v>0</v>
      </c>
      <c r="H51" s="715">
        <v>0</v>
      </c>
      <c r="I51" s="715">
        <v>0</v>
      </c>
      <c r="J51" s="715">
        <v>0</v>
      </c>
      <c r="K51" s="715">
        <v>0</v>
      </c>
      <c r="L51" s="715">
        <v>0</v>
      </c>
      <c r="M51" s="717">
        <v>0</v>
      </c>
      <c r="N51" s="715" t="s">
        <v>642</v>
      </c>
      <c r="O51" s="715" t="s">
        <v>642</v>
      </c>
    </row>
    <row r="52" spans="1:15" x14ac:dyDescent="0.3">
      <c r="A52" s="733" t="s">
        <v>782</v>
      </c>
      <c r="B52" s="734">
        <v>4195.2</v>
      </c>
      <c r="C52" s="711">
        <v>4323.6000000000004</v>
      </c>
      <c r="D52" s="711">
        <v>2960.5</v>
      </c>
      <c r="E52" s="711">
        <v>10642.2</v>
      </c>
      <c r="F52" s="711">
        <v>15540</v>
      </c>
      <c r="G52" s="711">
        <v>2009.1</v>
      </c>
      <c r="H52" s="711">
        <v>4758.8999999999996</v>
      </c>
      <c r="I52" s="711">
        <v>9616.2000000000007</v>
      </c>
      <c r="J52" s="711">
        <v>2241.6999999999998</v>
      </c>
      <c r="K52" s="711">
        <v>-9137.5</v>
      </c>
      <c r="L52" s="711">
        <v>19796.900000000001</v>
      </c>
      <c r="M52" s="713">
        <v>19796.900000000001</v>
      </c>
      <c r="N52" s="710" t="s">
        <v>642</v>
      </c>
      <c r="O52" s="710" t="s">
        <v>642</v>
      </c>
    </row>
    <row r="53" spans="1:15" x14ac:dyDescent="0.3">
      <c r="A53" s="735" t="s">
        <v>783</v>
      </c>
      <c r="B53" s="737">
        <v>-0.3</v>
      </c>
      <c r="C53" s="715">
        <v>1.2</v>
      </c>
      <c r="D53" s="715">
        <v>6.7</v>
      </c>
      <c r="E53" s="715">
        <v>0.7</v>
      </c>
      <c r="F53" s="715">
        <v>-0.1</v>
      </c>
      <c r="G53" s="715">
        <v>3.1</v>
      </c>
      <c r="H53" s="715">
        <v>3.8</v>
      </c>
      <c r="I53" s="715">
        <v>13.9</v>
      </c>
      <c r="J53" s="715">
        <v>12.1</v>
      </c>
      <c r="K53" s="715">
        <v>-25.1</v>
      </c>
      <c r="L53" s="715">
        <v>8.1999999999999993</v>
      </c>
      <c r="M53" s="717">
        <v>8.1999999999999993</v>
      </c>
      <c r="N53" s="715" t="s">
        <v>642</v>
      </c>
      <c r="O53" s="715" t="s">
        <v>642</v>
      </c>
    </row>
    <row r="54" spans="1:15" x14ac:dyDescent="0.3">
      <c r="A54" s="733" t="s">
        <v>784</v>
      </c>
      <c r="B54" s="734">
        <v>4195.5</v>
      </c>
      <c r="C54" s="711">
        <v>4322.3999999999996</v>
      </c>
      <c r="D54" s="711">
        <v>2953.8</v>
      </c>
      <c r="E54" s="711">
        <v>10641.5</v>
      </c>
      <c r="F54" s="711">
        <v>15540.1</v>
      </c>
      <c r="G54" s="711">
        <v>2006</v>
      </c>
      <c r="H54" s="711">
        <v>4755.1000000000004</v>
      </c>
      <c r="I54" s="711">
        <v>9602.2999999999993</v>
      </c>
      <c r="J54" s="711">
        <v>2229.6</v>
      </c>
      <c r="K54" s="711">
        <v>-9112.4</v>
      </c>
      <c r="L54" s="711">
        <v>19788.7</v>
      </c>
      <c r="M54" s="713">
        <v>19788.7</v>
      </c>
      <c r="N54" s="711">
        <v>25899.7</v>
      </c>
      <c r="O54" s="711">
        <v>31375.5</v>
      </c>
    </row>
    <row r="55" spans="1:15" x14ac:dyDescent="0.3">
      <c r="A55" s="735" t="s">
        <v>785</v>
      </c>
      <c r="B55" s="737">
        <v>0</v>
      </c>
      <c r="C55" s="715">
        <v>0</v>
      </c>
      <c r="D55" s="715">
        <v>0</v>
      </c>
      <c r="E55" s="715">
        <v>0</v>
      </c>
      <c r="F55" s="715">
        <v>0</v>
      </c>
      <c r="G55" s="715">
        <v>0</v>
      </c>
      <c r="H55" s="715">
        <v>0</v>
      </c>
      <c r="I55" s="715">
        <v>0</v>
      </c>
      <c r="J55" s="715">
        <v>0</v>
      </c>
      <c r="K55" s="715">
        <v>0</v>
      </c>
      <c r="L55" s="715">
        <v>0</v>
      </c>
      <c r="M55" s="717">
        <v>0</v>
      </c>
      <c r="N55" s="715" t="s">
        <v>642</v>
      </c>
      <c r="O55" s="715" t="s">
        <v>642</v>
      </c>
    </row>
    <row r="56" spans="1:15" x14ac:dyDescent="0.3">
      <c r="A56" s="735" t="s">
        <v>786</v>
      </c>
      <c r="B56" s="737">
        <v>-0.3</v>
      </c>
      <c r="C56" s="715">
        <v>0.1</v>
      </c>
      <c r="D56" s="715">
        <v>-0.1</v>
      </c>
      <c r="E56" s="715">
        <v>-0.1</v>
      </c>
      <c r="F56" s="715">
        <v>-0.1</v>
      </c>
      <c r="G56" s="715">
        <v>-0.2</v>
      </c>
      <c r="H56" s="715">
        <v>-0.1</v>
      </c>
      <c r="I56" s="715">
        <v>0.1</v>
      </c>
      <c r="J56" s="715">
        <v>0.2</v>
      </c>
      <c r="K56" s="715">
        <v>0.1</v>
      </c>
      <c r="L56" s="715">
        <v>0.1</v>
      </c>
      <c r="M56" s="717">
        <v>0.4</v>
      </c>
      <c r="N56" s="715" t="s">
        <v>642</v>
      </c>
      <c r="O56" s="715" t="s">
        <v>642</v>
      </c>
    </row>
    <row r="57" spans="1:15" x14ac:dyDescent="0.3">
      <c r="A57" s="733" t="s">
        <v>787</v>
      </c>
      <c r="B57" s="734">
        <v>4195.7</v>
      </c>
      <c r="C57" s="711">
        <v>4322.3</v>
      </c>
      <c r="D57" s="711">
        <v>2953.9</v>
      </c>
      <c r="E57" s="711">
        <v>10641.6</v>
      </c>
      <c r="F57" s="711">
        <v>15540.2</v>
      </c>
      <c r="G57" s="711">
        <v>2006.2</v>
      </c>
      <c r="H57" s="711">
        <v>4755.2</v>
      </c>
      <c r="I57" s="711">
        <v>9602.2000000000007</v>
      </c>
      <c r="J57" s="711">
        <v>2229.3000000000002</v>
      </c>
      <c r="K57" s="711">
        <v>-9112.6</v>
      </c>
      <c r="L57" s="711">
        <v>19788.599999999999</v>
      </c>
      <c r="M57" s="713">
        <v>19788.3</v>
      </c>
      <c r="N57" s="711">
        <v>25899.7</v>
      </c>
      <c r="O57" s="711">
        <v>31375.5</v>
      </c>
    </row>
    <row r="58" spans="1:15" x14ac:dyDescent="0.3">
      <c r="A58" s="733" t="s">
        <v>642</v>
      </c>
      <c r="B58" s="740" t="s">
        <v>642</v>
      </c>
      <c r="C58" s="710" t="s">
        <v>642</v>
      </c>
      <c r="D58" s="710" t="s">
        <v>642</v>
      </c>
      <c r="E58" s="710" t="s">
        <v>642</v>
      </c>
      <c r="F58" s="710" t="s">
        <v>642</v>
      </c>
      <c r="G58" s="710" t="s">
        <v>642</v>
      </c>
      <c r="H58" s="710" t="s">
        <v>642</v>
      </c>
      <c r="I58" s="710" t="s">
        <v>642</v>
      </c>
      <c r="J58" s="710" t="s">
        <v>642</v>
      </c>
      <c r="K58" s="710" t="s">
        <v>642</v>
      </c>
      <c r="L58" s="710" t="s">
        <v>642</v>
      </c>
      <c r="M58" s="712" t="s">
        <v>642</v>
      </c>
      <c r="N58" s="710" t="s">
        <v>642</v>
      </c>
      <c r="O58" s="710" t="s">
        <v>642</v>
      </c>
    </row>
    <row r="59" spans="1:15" x14ac:dyDescent="0.3">
      <c r="A59" s="733" t="s">
        <v>788</v>
      </c>
      <c r="B59" s="734">
        <v>4080.4</v>
      </c>
      <c r="C59" s="711">
        <v>4325.3999999999996</v>
      </c>
      <c r="D59" s="711">
        <v>2950.2</v>
      </c>
      <c r="E59" s="711">
        <v>10614.4</v>
      </c>
      <c r="F59" s="711">
        <v>15408.6</v>
      </c>
      <c r="G59" s="711">
        <v>2127.1999999999998</v>
      </c>
      <c r="H59" s="711">
        <v>3453.1</v>
      </c>
      <c r="I59" s="711">
        <v>9133.2999999999993</v>
      </c>
      <c r="J59" s="711">
        <v>3776.9</v>
      </c>
      <c r="K59" s="711">
        <v>-7938.9</v>
      </c>
      <c r="L59" s="711">
        <v>18944.3</v>
      </c>
      <c r="M59" s="713">
        <v>18951.900000000001</v>
      </c>
      <c r="N59" s="711">
        <v>26129.7</v>
      </c>
      <c r="O59" s="711">
        <v>31007.1</v>
      </c>
    </row>
    <row r="60" spans="1:15" x14ac:dyDescent="0.3">
      <c r="A60" s="735" t="s">
        <v>789</v>
      </c>
      <c r="B60" s="737">
        <v>-115.3</v>
      </c>
      <c r="C60" s="715">
        <v>3.1</v>
      </c>
      <c r="D60" s="715">
        <v>-3.7</v>
      </c>
      <c r="E60" s="715">
        <v>-27.2</v>
      </c>
      <c r="F60" s="715">
        <v>-131.5</v>
      </c>
      <c r="G60" s="715">
        <v>121</v>
      </c>
      <c r="H60" s="716">
        <v>-1302.0999999999999</v>
      </c>
      <c r="I60" s="715">
        <v>-468.9</v>
      </c>
      <c r="J60" s="716">
        <v>1547.6</v>
      </c>
      <c r="K60" s="716">
        <v>1173.7</v>
      </c>
      <c r="L60" s="715">
        <v>-844.3</v>
      </c>
      <c r="M60" s="717">
        <v>-836.4</v>
      </c>
      <c r="N60" s="715" t="s">
        <v>642</v>
      </c>
      <c r="O60" s="715" t="s">
        <v>642</v>
      </c>
    </row>
    <row r="61" spans="1:15" x14ac:dyDescent="0.3">
      <c r="A61" s="735" t="s">
        <v>790</v>
      </c>
      <c r="B61" s="737">
        <v>0</v>
      </c>
      <c r="C61" s="715">
        <v>0</v>
      </c>
      <c r="D61" s="715">
        <v>0</v>
      </c>
      <c r="E61" s="715">
        <v>0</v>
      </c>
      <c r="F61" s="715">
        <v>0</v>
      </c>
      <c r="G61" s="715">
        <v>0</v>
      </c>
      <c r="H61" s="715">
        <v>0</v>
      </c>
      <c r="I61" s="715">
        <v>0</v>
      </c>
      <c r="J61" s="715">
        <v>0</v>
      </c>
      <c r="K61" s="715">
        <v>0</v>
      </c>
      <c r="L61" s="715">
        <v>0</v>
      </c>
      <c r="M61" s="717">
        <v>0</v>
      </c>
      <c r="N61" s="715" t="s">
        <v>642</v>
      </c>
      <c r="O61" s="715" t="s">
        <v>642</v>
      </c>
    </row>
    <row r="62" spans="1:15" x14ac:dyDescent="0.3">
      <c r="A62" s="733" t="s">
        <v>642</v>
      </c>
      <c r="B62" s="740" t="s">
        <v>642</v>
      </c>
      <c r="C62" s="710" t="s">
        <v>642</v>
      </c>
      <c r="D62" s="710" t="s">
        <v>642</v>
      </c>
      <c r="E62" s="710" t="s">
        <v>642</v>
      </c>
      <c r="F62" s="710" t="s">
        <v>642</v>
      </c>
      <c r="G62" s="710" t="s">
        <v>642</v>
      </c>
      <c r="H62" s="710" t="s">
        <v>642</v>
      </c>
      <c r="I62" s="710" t="s">
        <v>642</v>
      </c>
      <c r="J62" s="710" t="s">
        <v>642</v>
      </c>
      <c r="K62" s="710" t="s">
        <v>642</v>
      </c>
      <c r="L62" s="710" t="s">
        <v>642</v>
      </c>
      <c r="M62" s="712" t="s">
        <v>642</v>
      </c>
      <c r="N62" s="710" t="s">
        <v>642</v>
      </c>
      <c r="O62" s="710" t="s">
        <v>642</v>
      </c>
    </row>
    <row r="63" spans="1:15" x14ac:dyDescent="0.3">
      <c r="A63" s="735" t="s">
        <v>791</v>
      </c>
      <c r="B63" s="737">
        <v>718.2</v>
      </c>
      <c r="C63" s="715">
        <v>720.1</v>
      </c>
      <c r="D63" s="715">
        <v>706</v>
      </c>
      <c r="E63" s="715">
        <v>706</v>
      </c>
      <c r="F63" s="715">
        <v>698.3</v>
      </c>
      <c r="G63" s="715">
        <v>684</v>
      </c>
      <c r="H63" s="715">
        <v>684</v>
      </c>
      <c r="I63" s="715">
        <v>686.4</v>
      </c>
      <c r="J63" s="715">
        <v>687.6</v>
      </c>
      <c r="K63" s="715">
        <v>688.1</v>
      </c>
      <c r="L63" s="715">
        <v>688.7</v>
      </c>
      <c r="M63" s="717">
        <v>689</v>
      </c>
      <c r="N63" s="715" t="s">
        <v>642</v>
      </c>
      <c r="O63" s="715" t="s">
        <v>642</v>
      </c>
    </row>
    <row r="64" spans="1:15" x14ac:dyDescent="0.3">
      <c r="A64" s="733" t="s">
        <v>792</v>
      </c>
      <c r="B64" s="734">
        <v>5842</v>
      </c>
      <c r="C64" s="711">
        <v>6002</v>
      </c>
      <c r="D64" s="711">
        <v>4184</v>
      </c>
      <c r="E64" s="711">
        <v>15073</v>
      </c>
      <c r="F64" s="711">
        <v>22255</v>
      </c>
      <c r="G64" s="711">
        <v>2933</v>
      </c>
      <c r="H64" s="711">
        <v>6952</v>
      </c>
      <c r="I64" s="711">
        <v>13989</v>
      </c>
      <c r="J64" s="711">
        <v>3242</v>
      </c>
      <c r="K64" s="711">
        <v>-13244</v>
      </c>
      <c r="L64" s="711">
        <v>28732</v>
      </c>
      <c r="M64" s="713">
        <v>28726.38</v>
      </c>
      <c r="N64" s="711">
        <v>36126.54</v>
      </c>
      <c r="O64" s="711">
        <v>43075.26</v>
      </c>
    </row>
    <row r="65" spans="1:15" x14ac:dyDescent="0.3">
      <c r="A65" s="733" t="s">
        <v>793</v>
      </c>
      <c r="B65" s="734">
        <v>5842</v>
      </c>
      <c r="C65" s="711">
        <v>6002</v>
      </c>
      <c r="D65" s="711">
        <v>4184</v>
      </c>
      <c r="E65" s="711">
        <v>15073</v>
      </c>
      <c r="F65" s="711">
        <v>22255</v>
      </c>
      <c r="G65" s="711">
        <v>2933</v>
      </c>
      <c r="H65" s="711">
        <v>6952</v>
      </c>
      <c r="I65" s="711">
        <v>13989</v>
      </c>
      <c r="J65" s="711">
        <v>3242</v>
      </c>
      <c r="K65" s="711">
        <v>-13244</v>
      </c>
      <c r="L65" s="711">
        <v>28732</v>
      </c>
      <c r="M65" s="713">
        <v>28726.38</v>
      </c>
      <c r="N65" s="711">
        <v>36126.54</v>
      </c>
      <c r="O65" s="711">
        <v>43075.26</v>
      </c>
    </row>
    <row r="66" spans="1:15" x14ac:dyDescent="0.3">
      <c r="A66" s="733" t="s">
        <v>794</v>
      </c>
      <c r="B66" s="734">
        <v>5681.5</v>
      </c>
      <c r="C66" s="711">
        <v>6006.26</v>
      </c>
      <c r="D66" s="711">
        <v>4178.7700000000004</v>
      </c>
      <c r="E66" s="711">
        <v>15034.47</v>
      </c>
      <c r="F66" s="711">
        <v>22066.63</v>
      </c>
      <c r="G66" s="711">
        <v>3109.88</v>
      </c>
      <c r="H66" s="711">
        <v>5048.3900000000003</v>
      </c>
      <c r="I66" s="711">
        <v>13305.81</v>
      </c>
      <c r="J66" s="711">
        <v>5492.57</v>
      </c>
      <c r="K66" s="711">
        <v>-11538.2</v>
      </c>
      <c r="L66" s="711">
        <v>27506.16</v>
      </c>
      <c r="M66" s="713">
        <v>27512.46</v>
      </c>
      <c r="N66" s="711">
        <v>36508.550000000003</v>
      </c>
      <c r="O66" s="711">
        <v>43432.51</v>
      </c>
    </row>
    <row r="67" spans="1:15" x14ac:dyDescent="0.3">
      <c r="A67" s="733" t="s">
        <v>642</v>
      </c>
      <c r="B67" s="740" t="s">
        <v>642</v>
      </c>
      <c r="C67" s="710" t="s">
        <v>642</v>
      </c>
      <c r="D67" s="710" t="s">
        <v>642</v>
      </c>
      <c r="E67" s="710" t="s">
        <v>642</v>
      </c>
      <c r="F67" s="710" t="s">
        <v>642</v>
      </c>
      <c r="G67" s="710" t="s">
        <v>642</v>
      </c>
      <c r="H67" s="710" t="s">
        <v>642</v>
      </c>
      <c r="I67" s="710" t="s">
        <v>642</v>
      </c>
      <c r="J67" s="710" t="s">
        <v>642</v>
      </c>
      <c r="K67" s="710" t="s">
        <v>642</v>
      </c>
      <c r="L67" s="710" t="s">
        <v>642</v>
      </c>
      <c r="M67" s="712" t="s">
        <v>642</v>
      </c>
      <c r="N67" s="710" t="s">
        <v>642</v>
      </c>
      <c r="O67" s="710" t="s">
        <v>642</v>
      </c>
    </row>
    <row r="68" spans="1:15" x14ac:dyDescent="0.3">
      <c r="A68" s="735" t="s">
        <v>795</v>
      </c>
      <c r="B68" s="737">
        <v>718.2</v>
      </c>
      <c r="C68" s="715">
        <v>720.1</v>
      </c>
      <c r="D68" s="715">
        <v>706</v>
      </c>
      <c r="E68" s="715">
        <v>706</v>
      </c>
      <c r="F68" s="715">
        <v>698.4</v>
      </c>
      <c r="G68" s="715">
        <v>684.1</v>
      </c>
      <c r="H68" s="715">
        <v>684.1</v>
      </c>
      <c r="I68" s="715">
        <v>686.7</v>
      </c>
      <c r="J68" s="715">
        <v>687.8</v>
      </c>
      <c r="K68" s="715">
        <v>688.1</v>
      </c>
      <c r="L68" s="715">
        <v>709.8</v>
      </c>
      <c r="M68" s="717">
        <v>689</v>
      </c>
      <c r="N68" s="715" t="s">
        <v>642</v>
      </c>
      <c r="O68" s="715" t="s">
        <v>642</v>
      </c>
    </row>
    <row r="69" spans="1:15" x14ac:dyDescent="0.3">
      <c r="A69" s="733" t="s">
        <v>796</v>
      </c>
      <c r="B69" s="734">
        <v>5842</v>
      </c>
      <c r="C69" s="711">
        <v>6002</v>
      </c>
      <c r="D69" s="711">
        <v>4184</v>
      </c>
      <c r="E69" s="711">
        <v>15072</v>
      </c>
      <c r="F69" s="711">
        <v>22252</v>
      </c>
      <c r="G69" s="711">
        <v>2932</v>
      </c>
      <c r="H69" s="711">
        <v>6950</v>
      </c>
      <c r="I69" s="711">
        <v>13984</v>
      </c>
      <c r="J69" s="711">
        <v>3242</v>
      </c>
      <c r="K69" s="711">
        <v>-13244</v>
      </c>
      <c r="L69" s="711">
        <v>28419</v>
      </c>
      <c r="M69" s="713">
        <v>28261.38</v>
      </c>
      <c r="N69" s="711">
        <v>36126.54</v>
      </c>
      <c r="O69" s="711">
        <v>43075.26</v>
      </c>
    </row>
    <row r="70" spans="1:15" x14ac:dyDescent="0.3">
      <c r="A70" s="733" t="s">
        <v>797</v>
      </c>
      <c r="B70" s="734">
        <v>5842</v>
      </c>
      <c r="C70" s="711">
        <v>6002</v>
      </c>
      <c r="D70" s="711">
        <v>4184</v>
      </c>
      <c r="E70" s="711">
        <v>15072</v>
      </c>
      <c r="F70" s="711">
        <v>22252</v>
      </c>
      <c r="G70" s="711">
        <v>2932</v>
      </c>
      <c r="H70" s="711">
        <v>6950</v>
      </c>
      <c r="I70" s="711">
        <v>13984</v>
      </c>
      <c r="J70" s="711">
        <v>3242</v>
      </c>
      <c r="K70" s="711">
        <v>-13244</v>
      </c>
      <c r="L70" s="711">
        <v>28419</v>
      </c>
      <c r="M70" s="713">
        <v>28261.38</v>
      </c>
      <c r="N70" s="711">
        <v>36126.54</v>
      </c>
      <c r="O70" s="711">
        <v>43075.26</v>
      </c>
    </row>
    <row r="71" spans="1:15" x14ac:dyDescent="0.3">
      <c r="A71" s="733" t="s">
        <v>798</v>
      </c>
      <c r="B71" s="734">
        <v>5681.5</v>
      </c>
      <c r="C71" s="711">
        <v>6006.26</v>
      </c>
      <c r="D71" s="711">
        <v>4178.7700000000004</v>
      </c>
      <c r="E71" s="711">
        <v>15033.48</v>
      </c>
      <c r="F71" s="711">
        <v>22063.66</v>
      </c>
      <c r="G71" s="711">
        <v>3108.86</v>
      </c>
      <c r="H71" s="711">
        <v>5046.7700000000004</v>
      </c>
      <c r="I71" s="711">
        <v>13301.06</v>
      </c>
      <c r="J71" s="711">
        <v>5492.57</v>
      </c>
      <c r="K71" s="711">
        <v>-11538.2</v>
      </c>
      <c r="L71" s="711">
        <v>27229.61</v>
      </c>
      <c r="M71" s="713">
        <v>27048.77</v>
      </c>
      <c r="N71" s="711">
        <v>36508.550000000003</v>
      </c>
      <c r="O71" s="711">
        <v>43432.51</v>
      </c>
    </row>
    <row r="72" spans="1:15" x14ac:dyDescent="0.3">
      <c r="A72" s="733" t="s">
        <v>642</v>
      </c>
      <c r="B72" s="740" t="s">
        <v>642</v>
      </c>
      <c r="C72" s="710" t="s">
        <v>642</v>
      </c>
      <c r="D72" s="710" t="s">
        <v>642</v>
      </c>
      <c r="E72" s="710" t="s">
        <v>642</v>
      </c>
      <c r="F72" s="710" t="s">
        <v>642</v>
      </c>
      <c r="G72" s="710" t="s">
        <v>642</v>
      </c>
      <c r="H72" s="710" t="s">
        <v>642</v>
      </c>
      <c r="I72" s="710" t="s">
        <v>642</v>
      </c>
      <c r="J72" s="710" t="s">
        <v>642</v>
      </c>
      <c r="K72" s="710" t="s">
        <v>642</v>
      </c>
      <c r="L72" s="710" t="s">
        <v>642</v>
      </c>
      <c r="M72" s="712" t="s">
        <v>642</v>
      </c>
      <c r="N72" s="710" t="s">
        <v>642</v>
      </c>
      <c r="O72" s="710" t="s">
        <v>642</v>
      </c>
    </row>
    <row r="73" spans="1:15" x14ac:dyDescent="0.3">
      <c r="A73" s="733" t="s">
        <v>799</v>
      </c>
      <c r="B73" s="740" t="s">
        <v>642</v>
      </c>
      <c r="C73" s="710" t="s">
        <v>642</v>
      </c>
      <c r="D73" s="710" t="s">
        <v>642</v>
      </c>
      <c r="E73" s="710" t="s">
        <v>642</v>
      </c>
      <c r="F73" s="710" t="s">
        <v>642</v>
      </c>
      <c r="G73" s="710" t="s">
        <v>642</v>
      </c>
      <c r="H73" s="710" t="s">
        <v>642</v>
      </c>
      <c r="I73" s="710" t="s">
        <v>642</v>
      </c>
      <c r="J73" s="710" t="s">
        <v>642</v>
      </c>
      <c r="K73" s="710" t="s">
        <v>642</v>
      </c>
      <c r="L73" s="710" t="s">
        <v>642</v>
      </c>
      <c r="M73" s="712" t="s">
        <v>642</v>
      </c>
      <c r="N73" s="710" t="s">
        <v>642</v>
      </c>
      <c r="O73" s="710" t="s">
        <v>642</v>
      </c>
    </row>
    <row r="74" spans="1:15" x14ac:dyDescent="0.3">
      <c r="A74" s="735" t="s">
        <v>800</v>
      </c>
      <c r="B74" s="737" t="s">
        <v>801</v>
      </c>
      <c r="C74" s="715" t="s">
        <v>801</v>
      </c>
      <c r="D74" s="715" t="s">
        <v>801</v>
      </c>
      <c r="E74" s="715" t="s">
        <v>801</v>
      </c>
      <c r="F74" s="715" t="s">
        <v>801</v>
      </c>
      <c r="G74" s="715" t="s">
        <v>801</v>
      </c>
      <c r="H74" s="715" t="s">
        <v>801</v>
      </c>
      <c r="I74" s="715" t="s">
        <v>801</v>
      </c>
      <c r="J74" s="715" t="s">
        <v>801</v>
      </c>
      <c r="K74" s="715" t="s">
        <v>801</v>
      </c>
      <c r="L74" s="715" t="s">
        <v>801</v>
      </c>
      <c r="M74" s="717" t="s">
        <v>642</v>
      </c>
      <c r="N74" s="715" t="s">
        <v>642</v>
      </c>
      <c r="O74" s="715" t="s">
        <v>642</v>
      </c>
    </row>
    <row r="75" spans="1:15" x14ac:dyDescent="0.3">
      <c r="A75" s="735" t="s">
        <v>216</v>
      </c>
      <c r="B75" s="736">
        <v>8560.7000000000007</v>
      </c>
      <c r="C75" s="716">
        <v>9297.1</v>
      </c>
      <c r="D75" s="716">
        <v>7742.4</v>
      </c>
      <c r="E75" s="716">
        <v>18780.7</v>
      </c>
      <c r="F75" s="716">
        <v>27306</v>
      </c>
      <c r="G75" s="716">
        <v>11339.6</v>
      </c>
      <c r="H75" s="716">
        <v>14784.5</v>
      </c>
      <c r="I75" s="716">
        <v>23067.1</v>
      </c>
      <c r="J75" s="716">
        <v>20960.900000000001</v>
      </c>
      <c r="K75" s="716">
        <v>5943.4</v>
      </c>
      <c r="L75" s="716">
        <v>36048.800000000003</v>
      </c>
      <c r="M75" s="718">
        <v>36048.800000000003</v>
      </c>
      <c r="N75" s="716">
        <v>48191.1</v>
      </c>
      <c r="O75" s="716">
        <v>55987.5</v>
      </c>
    </row>
    <row r="76" spans="1:15" x14ac:dyDescent="0.3">
      <c r="A76" s="735" t="s">
        <v>802</v>
      </c>
      <c r="B76" s="737">
        <v>49.99</v>
      </c>
      <c r="C76" s="715">
        <v>49.46</v>
      </c>
      <c r="D76" s="715">
        <v>45.02</v>
      </c>
      <c r="E76" s="715">
        <v>62.37</v>
      </c>
      <c r="F76" s="715">
        <v>67.510000000000005</v>
      </c>
      <c r="G76" s="715">
        <v>42.01</v>
      </c>
      <c r="H76" s="715">
        <v>46.35</v>
      </c>
      <c r="I76" s="715">
        <v>53.65</v>
      </c>
      <c r="J76" s="715">
        <v>46.97</v>
      </c>
      <c r="K76" s="715">
        <v>18.14</v>
      </c>
      <c r="L76" s="715">
        <v>54.46</v>
      </c>
      <c r="M76" s="717">
        <v>54.46</v>
      </c>
      <c r="N76" s="715">
        <v>56.95</v>
      </c>
      <c r="O76" s="715">
        <v>56.55</v>
      </c>
    </row>
    <row r="77" spans="1:15" x14ac:dyDescent="0.3">
      <c r="A77" s="735" t="s">
        <v>803</v>
      </c>
      <c r="B77" s="736">
        <v>5291</v>
      </c>
      <c r="C77" s="716">
        <v>5601.9</v>
      </c>
      <c r="D77" s="716">
        <v>3608.6</v>
      </c>
      <c r="E77" s="716">
        <v>14161.9</v>
      </c>
      <c r="F77" s="716">
        <v>21401.9</v>
      </c>
      <c r="G77" s="716">
        <v>3514.3</v>
      </c>
      <c r="H77" s="716">
        <v>5973.2</v>
      </c>
      <c r="I77" s="716">
        <v>13206.3</v>
      </c>
      <c r="J77" s="716">
        <v>7589</v>
      </c>
      <c r="K77" s="716">
        <v>-7177.8</v>
      </c>
      <c r="L77" s="716">
        <v>24063.5</v>
      </c>
      <c r="M77" s="718">
        <v>24063.5</v>
      </c>
      <c r="N77" s="715" t="s">
        <v>642</v>
      </c>
      <c r="O77" s="715" t="s">
        <v>642</v>
      </c>
    </row>
    <row r="78" spans="1:15" x14ac:dyDescent="0.3">
      <c r="A78" s="735" t="s">
        <v>460</v>
      </c>
      <c r="B78" s="736">
        <v>5116.7</v>
      </c>
      <c r="C78" s="716">
        <v>5343.8</v>
      </c>
      <c r="D78" s="716">
        <v>3286</v>
      </c>
      <c r="E78" s="716">
        <v>13754.6</v>
      </c>
      <c r="F78" s="716">
        <v>20877.8</v>
      </c>
      <c r="G78" s="716">
        <v>2719.2</v>
      </c>
      <c r="H78" s="716">
        <v>5012.6000000000004</v>
      </c>
      <c r="I78" s="716">
        <v>12410.3</v>
      </c>
      <c r="J78" s="716">
        <v>6809.4</v>
      </c>
      <c r="K78" s="716">
        <v>-7730.3</v>
      </c>
      <c r="L78" s="716">
        <v>23467.3</v>
      </c>
      <c r="M78" s="718">
        <v>23467.3</v>
      </c>
      <c r="N78" s="716">
        <v>33964.5</v>
      </c>
      <c r="O78" s="716">
        <v>40318.400000000001</v>
      </c>
    </row>
    <row r="79" spans="1:15" x14ac:dyDescent="0.3">
      <c r="A79" s="735" t="s">
        <v>804</v>
      </c>
      <c r="B79" s="737">
        <v>44.75</v>
      </c>
      <c r="C79" s="715">
        <v>44.06</v>
      </c>
      <c r="D79" s="715">
        <v>37.28</v>
      </c>
      <c r="E79" s="715">
        <v>57.81</v>
      </c>
      <c r="F79" s="715">
        <v>62.47</v>
      </c>
      <c r="G79" s="715">
        <v>30.28</v>
      </c>
      <c r="H79" s="715">
        <v>33.89</v>
      </c>
      <c r="I79" s="715">
        <v>44.08</v>
      </c>
      <c r="J79" s="715">
        <v>35.020000000000003</v>
      </c>
      <c r="K79" s="715">
        <v>-1.63</v>
      </c>
      <c r="L79" s="715">
        <v>48.08</v>
      </c>
      <c r="M79" s="717">
        <v>48.08</v>
      </c>
      <c r="N79" s="715">
        <v>52.64</v>
      </c>
      <c r="O79" s="715">
        <v>52.8</v>
      </c>
    </row>
    <row r="80" spans="1:15" x14ac:dyDescent="0.3">
      <c r="A80" s="735" t="s">
        <v>227</v>
      </c>
      <c r="B80" s="737">
        <v>29.88</v>
      </c>
      <c r="C80" s="715">
        <v>28.43</v>
      </c>
      <c r="D80" s="715">
        <v>19.11</v>
      </c>
      <c r="E80" s="715">
        <v>45.68</v>
      </c>
      <c r="F80" s="715">
        <v>51.62</v>
      </c>
      <c r="G80" s="715">
        <v>10.07</v>
      </c>
      <c r="H80" s="715">
        <v>15.71</v>
      </c>
      <c r="I80" s="715">
        <v>28.86</v>
      </c>
      <c r="J80" s="715">
        <v>15.26</v>
      </c>
      <c r="K80" s="715">
        <v>-23.59</v>
      </c>
      <c r="L80" s="715">
        <v>35.450000000000003</v>
      </c>
      <c r="M80" s="717">
        <v>35.450000000000003</v>
      </c>
      <c r="N80" s="715">
        <v>40.14</v>
      </c>
      <c r="O80" s="715">
        <v>40.72</v>
      </c>
    </row>
    <row r="81" spans="1:15" x14ac:dyDescent="0.3">
      <c r="A81" s="735" t="s">
        <v>197</v>
      </c>
      <c r="B81" s="737">
        <v>23.83</v>
      </c>
      <c r="C81" s="715">
        <v>23.01</v>
      </c>
      <c r="D81" s="715">
        <v>17.149999999999999</v>
      </c>
      <c r="E81" s="715">
        <v>35.25</v>
      </c>
      <c r="F81" s="715">
        <v>38.1</v>
      </c>
      <c r="G81" s="715">
        <v>7.88</v>
      </c>
      <c r="H81" s="715">
        <v>10.82</v>
      </c>
      <c r="I81" s="715">
        <v>21.24</v>
      </c>
      <c r="J81" s="715">
        <v>8.4600000000000009</v>
      </c>
      <c r="K81" s="715">
        <v>-24.23</v>
      </c>
      <c r="L81" s="715">
        <v>28.62</v>
      </c>
      <c r="M81" s="717">
        <v>28.63</v>
      </c>
      <c r="N81" s="715">
        <v>30.88</v>
      </c>
      <c r="O81" s="715">
        <v>31.32</v>
      </c>
    </row>
    <row r="82" spans="1:15" x14ac:dyDescent="0.3">
      <c r="A82" s="735" t="s">
        <v>805</v>
      </c>
      <c r="B82" s="737">
        <v>300</v>
      </c>
      <c r="C82" s="715">
        <v>500</v>
      </c>
      <c r="D82" s="715">
        <v>600</v>
      </c>
      <c r="E82" s="716">
        <v>1000</v>
      </c>
      <c r="F82" s="716">
        <v>1500</v>
      </c>
      <c r="G82" s="716">
        <v>1000</v>
      </c>
      <c r="H82" s="716">
        <v>1170</v>
      </c>
      <c r="I82" s="716">
        <v>1540</v>
      </c>
      <c r="J82" s="716">
        <v>1200</v>
      </c>
      <c r="K82" s="716">
        <v>1200</v>
      </c>
      <c r="L82" s="716">
        <v>2204</v>
      </c>
      <c r="M82" s="718">
        <v>2204</v>
      </c>
      <c r="N82" s="716">
        <v>1793.93</v>
      </c>
      <c r="O82" s="716">
        <v>1914.89</v>
      </c>
    </row>
    <row r="83" spans="1:15" x14ac:dyDescent="0.3">
      <c r="A83" s="735" t="s">
        <v>806</v>
      </c>
      <c r="B83" s="737">
        <v>218.4</v>
      </c>
      <c r="C83" s="715">
        <v>353</v>
      </c>
      <c r="D83" s="715">
        <v>423.6</v>
      </c>
      <c r="E83" s="715">
        <v>706</v>
      </c>
      <c r="F83" s="716">
        <v>1026</v>
      </c>
      <c r="G83" s="715">
        <v>684</v>
      </c>
      <c r="H83" s="715">
        <v>800.3</v>
      </c>
      <c r="I83" s="716">
        <v>1058.9000000000001</v>
      </c>
      <c r="J83" s="715">
        <v>825.2</v>
      </c>
      <c r="K83" s="715">
        <v>825.7</v>
      </c>
      <c r="L83" s="716">
        <v>1520.1</v>
      </c>
      <c r="M83" s="718">
        <v>1520.1</v>
      </c>
      <c r="N83" s="715" t="s">
        <v>642</v>
      </c>
      <c r="O83" s="715" t="s">
        <v>642</v>
      </c>
    </row>
    <row r="84" spans="1:15" x14ac:dyDescent="0.3">
      <c r="A84" s="735" t="s">
        <v>807</v>
      </c>
      <c r="B84" s="737">
        <v>20.8</v>
      </c>
      <c r="C84" s="715">
        <v>18.899999999999999</v>
      </c>
      <c r="D84" s="715">
        <v>14.7</v>
      </c>
      <c r="E84" s="715">
        <v>4</v>
      </c>
      <c r="F84" s="715">
        <v>33.1</v>
      </c>
      <c r="G84" s="715">
        <v>36.299999999999997</v>
      </c>
      <c r="H84" s="715">
        <v>53.3</v>
      </c>
      <c r="I84" s="715">
        <v>55.9</v>
      </c>
      <c r="J84" s="715">
        <v>103.2</v>
      </c>
      <c r="K84" s="715">
        <v>136.6</v>
      </c>
      <c r="L84" s="715">
        <v>203</v>
      </c>
      <c r="M84" s="717" t="s">
        <v>642</v>
      </c>
      <c r="N84" s="715" t="s">
        <v>642</v>
      </c>
      <c r="O84" s="715" t="s">
        <v>642</v>
      </c>
    </row>
    <row r="85" spans="1:15" x14ac:dyDescent="0.3">
      <c r="A85" s="735" t="s">
        <v>808</v>
      </c>
      <c r="B85" s="736">
        <v>2429.5</v>
      </c>
      <c r="C85" s="716">
        <v>2485.4</v>
      </c>
      <c r="D85" s="716">
        <v>2333.6</v>
      </c>
      <c r="E85" s="716">
        <v>3059.7</v>
      </c>
      <c r="F85" s="716">
        <v>3669.8</v>
      </c>
      <c r="G85" s="716">
        <v>3411.2</v>
      </c>
      <c r="H85" s="716">
        <v>3833.4</v>
      </c>
      <c r="I85" s="716">
        <v>5311.8</v>
      </c>
      <c r="J85" s="716">
        <v>7854.5</v>
      </c>
      <c r="K85" s="716">
        <v>5406.9</v>
      </c>
      <c r="L85" s="716">
        <v>8215.7999999999993</v>
      </c>
      <c r="M85" s="718">
        <v>8215.7999999999993</v>
      </c>
      <c r="N85" s="715" t="s">
        <v>642</v>
      </c>
      <c r="O85" s="715" t="s">
        <v>642</v>
      </c>
    </row>
    <row r="86" spans="1:15" x14ac:dyDescent="0.3">
      <c r="A86" s="735" t="s">
        <v>809</v>
      </c>
      <c r="B86" s="736">
        <v>15945.6</v>
      </c>
      <c r="C86" s="716">
        <v>17593.400000000001</v>
      </c>
      <c r="D86" s="715" t="s">
        <v>741</v>
      </c>
      <c r="E86" s="716">
        <v>28902</v>
      </c>
      <c r="F86" s="716">
        <v>39604.6</v>
      </c>
      <c r="G86" s="716">
        <v>25543.7</v>
      </c>
      <c r="H86" s="716">
        <v>30448.400000000001</v>
      </c>
      <c r="I86" s="715" t="s">
        <v>741</v>
      </c>
      <c r="J86" s="715" t="s">
        <v>741</v>
      </c>
      <c r="K86" s="715" t="s">
        <v>741</v>
      </c>
      <c r="L86" s="715" t="s">
        <v>741</v>
      </c>
      <c r="M86" s="717" t="s">
        <v>642</v>
      </c>
      <c r="N86" s="715" t="s">
        <v>642</v>
      </c>
      <c r="O86" s="715" t="s">
        <v>642</v>
      </c>
    </row>
    <row r="87" spans="1:15" x14ac:dyDescent="0.3">
      <c r="A87" s="735" t="s">
        <v>484</v>
      </c>
      <c r="B87" s="736">
        <v>3269.7</v>
      </c>
      <c r="C87" s="716">
        <v>3695.2</v>
      </c>
      <c r="D87" s="716">
        <v>4133.8</v>
      </c>
      <c r="E87" s="716">
        <v>4618.8</v>
      </c>
      <c r="F87" s="716">
        <v>5904.2</v>
      </c>
      <c r="G87" s="716">
        <v>7825.2</v>
      </c>
      <c r="H87" s="716">
        <v>8811.4</v>
      </c>
      <c r="I87" s="716">
        <v>9860.7999999999993</v>
      </c>
      <c r="J87" s="716">
        <v>13371.9</v>
      </c>
      <c r="K87" s="716">
        <v>13121.1</v>
      </c>
      <c r="L87" s="716">
        <v>11985.3</v>
      </c>
      <c r="M87" s="718">
        <v>11985.3</v>
      </c>
      <c r="N87" s="715" t="s">
        <v>642</v>
      </c>
      <c r="O87" s="715" t="s">
        <v>642</v>
      </c>
    </row>
    <row r="88" spans="1:15" x14ac:dyDescent="0.3">
      <c r="A88" s="735" t="s">
        <v>810</v>
      </c>
      <c r="B88" s="737" t="s">
        <v>741</v>
      </c>
      <c r="C88" s="715" t="s">
        <v>741</v>
      </c>
      <c r="D88" s="715" t="s">
        <v>741</v>
      </c>
      <c r="E88" s="715" t="s">
        <v>741</v>
      </c>
      <c r="F88" s="715" t="s">
        <v>741</v>
      </c>
      <c r="G88" s="715">
        <v>15.7</v>
      </c>
      <c r="H88" s="715">
        <v>19.600000000000001</v>
      </c>
      <c r="I88" s="715">
        <v>31.1</v>
      </c>
      <c r="J88" s="715">
        <v>65</v>
      </c>
      <c r="K88" s="715">
        <v>5.7</v>
      </c>
      <c r="L88" s="715">
        <v>8</v>
      </c>
      <c r="M88" s="717" t="s">
        <v>642</v>
      </c>
      <c r="N88" s="715" t="s">
        <v>642</v>
      </c>
      <c r="O88" s="715" t="s">
        <v>642</v>
      </c>
    </row>
    <row r="89" spans="1:15" ht="104" x14ac:dyDescent="0.3">
      <c r="A89" s="741" t="s">
        <v>811</v>
      </c>
      <c r="B89" s="741" t="s">
        <v>812</v>
      </c>
      <c r="C89" s="724"/>
      <c r="D89" s="724"/>
      <c r="E89" s="724"/>
      <c r="F89" s="724"/>
      <c r="G89" s="723" t="s">
        <v>642</v>
      </c>
      <c r="H89" s="723" t="s">
        <v>642</v>
      </c>
      <c r="I89" s="723" t="s">
        <v>642</v>
      </c>
      <c r="J89" s="723" t="s">
        <v>642</v>
      </c>
      <c r="K89" s="723" t="s">
        <v>642</v>
      </c>
      <c r="L89" s="723" t="s">
        <v>642</v>
      </c>
      <c r="M89" s="723" t="s">
        <v>642</v>
      </c>
      <c r="N89" s="723" t="s">
        <v>642</v>
      </c>
      <c r="O89" s="723" t="s">
        <v>642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79998168889431442"/>
  </sheetPr>
  <dimension ref="A1:M99"/>
  <sheetViews>
    <sheetView zoomScale="79" zoomScaleNormal="100" zoomScaleSheetLayoutView="100" workbookViewId="0"/>
  </sheetViews>
  <sheetFormatPr defaultRowHeight="14" x14ac:dyDescent="0.3"/>
  <cols>
    <col min="1" max="1" width="36" bestFit="1" customWidth="1"/>
    <col min="2" max="9" width="9.33203125" bestFit="1" customWidth="1"/>
    <col min="10" max="10" width="10.33203125" bestFit="1" customWidth="1"/>
    <col min="11" max="12" width="9.33203125" bestFit="1" customWidth="1"/>
  </cols>
  <sheetData>
    <row r="1" spans="1:13" ht="14.5" x14ac:dyDescent="0.35">
      <c r="A1" s="725" t="s">
        <v>642</v>
      </c>
      <c r="B1" s="701" t="s">
        <v>642</v>
      </c>
      <c r="C1" s="701" t="s">
        <v>642</v>
      </c>
      <c r="D1" s="701" t="s">
        <v>642</v>
      </c>
      <c r="E1" s="701" t="s">
        <v>642</v>
      </c>
      <c r="F1" s="701" t="s">
        <v>642</v>
      </c>
      <c r="G1" s="701" t="s">
        <v>642</v>
      </c>
      <c r="H1" s="701" t="s">
        <v>642</v>
      </c>
      <c r="I1" s="701" t="s">
        <v>642</v>
      </c>
      <c r="J1" s="701" t="s">
        <v>642</v>
      </c>
      <c r="K1" s="701" t="s">
        <v>642</v>
      </c>
      <c r="L1" s="701" t="s">
        <v>642</v>
      </c>
    </row>
    <row r="2" spans="1:13" ht="40" x14ac:dyDescent="0.4">
      <c r="A2" s="726" t="s">
        <v>813</v>
      </c>
      <c r="B2" s="702" t="s">
        <v>642</v>
      </c>
      <c r="C2" s="702" t="s">
        <v>642</v>
      </c>
      <c r="D2" s="702" t="s">
        <v>642</v>
      </c>
      <c r="E2" s="702" t="s">
        <v>642</v>
      </c>
      <c r="F2" s="702" t="s">
        <v>642</v>
      </c>
      <c r="G2" s="702" t="s">
        <v>642</v>
      </c>
      <c r="H2" s="702" t="s">
        <v>642</v>
      </c>
      <c r="I2" s="702" t="s">
        <v>642</v>
      </c>
      <c r="J2" s="702" t="s">
        <v>642</v>
      </c>
      <c r="K2" s="702" t="s">
        <v>642</v>
      </c>
      <c r="L2" s="702" t="s">
        <v>642</v>
      </c>
      <c r="M2" s="702" t="s">
        <v>642</v>
      </c>
    </row>
    <row r="3" spans="1:13" x14ac:dyDescent="0.3">
      <c r="A3" s="728"/>
      <c r="B3" s="704" t="s">
        <v>642</v>
      </c>
      <c r="C3" s="704" t="s">
        <v>642</v>
      </c>
      <c r="D3" s="704" t="s">
        <v>642</v>
      </c>
      <c r="E3" s="704" t="s">
        <v>642</v>
      </c>
      <c r="F3" s="704" t="s">
        <v>642</v>
      </c>
      <c r="G3" s="704" t="s">
        <v>642</v>
      </c>
      <c r="H3" s="704" t="s">
        <v>642</v>
      </c>
      <c r="I3" s="704" t="s">
        <v>642</v>
      </c>
      <c r="J3" s="704" t="s">
        <v>642</v>
      </c>
      <c r="K3" s="704" t="s">
        <v>642</v>
      </c>
      <c r="L3" s="704" t="s">
        <v>642</v>
      </c>
    </row>
    <row r="4" spans="1:13" x14ac:dyDescent="0.3">
      <c r="A4" s="729" t="s">
        <v>723</v>
      </c>
      <c r="B4" s="706" t="s">
        <v>724</v>
      </c>
      <c r="C4" s="706" t="s">
        <v>725</v>
      </c>
      <c r="D4" s="706" t="s">
        <v>726</v>
      </c>
      <c r="E4" s="706" t="s">
        <v>727</v>
      </c>
      <c r="F4" s="706" t="s">
        <v>728</v>
      </c>
      <c r="G4" s="706" t="s">
        <v>729</v>
      </c>
      <c r="H4" s="706" t="s">
        <v>730</v>
      </c>
      <c r="I4" s="706" t="s">
        <v>731</v>
      </c>
      <c r="J4" s="706" t="s">
        <v>732</v>
      </c>
      <c r="K4" s="706" t="s">
        <v>733</v>
      </c>
      <c r="L4" s="706" t="s">
        <v>734</v>
      </c>
    </row>
    <row r="5" spans="1:13" x14ac:dyDescent="0.3">
      <c r="A5" s="731" t="s">
        <v>738</v>
      </c>
      <c r="B5" s="709">
        <v>42004</v>
      </c>
      <c r="C5" s="709">
        <v>42369</v>
      </c>
      <c r="D5" s="709">
        <v>42735</v>
      </c>
      <c r="E5" s="709">
        <v>43100</v>
      </c>
      <c r="F5" s="709">
        <v>43465</v>
      </c>
      <c r="G5" s="709">
        <v>43830</v>
      </c>
      <c r="H5" s="709">
        <v>44196</v>
      </c>
      <c r="I5" s="709">
        <v>44561</v>
      </c>
      <c r="J5" s="709">
        <v>44926</v>
      </c>
      <c r="K5" s="709">
        <v>45291</v>
      </c>
      <c r="L5" s="709">
        <v>45657</v>
      </c>
    </row>
    <row r="6" spans="1:13" x14ac:dyDescent="0.3">
      <c r="A6" s="733" t="s">
        <v>292</v>
      </c>
      <c r="B6" s="710" t="s">
        <v>642</v>
      </c>
      <c r="C6" s="710" t="s">
        <v>642</v>
      </c>
      <c r="D6" s="710" t="s">
        <v>642</v>
      </c>
      <c r="E6" s="710" t="s">
        <v>642</v>
      </c>
      <c r="F6" s="710" t="s">
        <v>642</v>
      </c>
      <c r="G6" s="710" t="s">
        <v>642</v>
      </c>
      <c r="H6" s="710" t="s">
        <v>642</v>
      </c>
      <c r="I6" s="710" t="s">
        <v>642</v>
      </c>
      <c r="J6" s="710" t="s">
        <v>642</v>
      </c>
      <c r="K6" s="710" t="s">
        <v>642</v>
      </c>
      <c r="L6" s="710" t="s">
        <v>642</v>
      </c>
    </row>
    <row r="7" spans="1:13" x14ac:dyDescent="0.3">
      <c r="A7" s="735" t="s">
        <v>814</v>
      </c>
      <c r="B7" s="716">
        <v>3977.2</v>
      </c>
      <c r="C7" s="716">
        <v>4682.8999999999996</v>
      </c>
      <c r="D7" s="716">
        <v>4052</v>
      </c>
      <c r="E7" s="716">
        <v>8320.2000000000007</v>
      </c>
      <c r="F7" s="716">
        <v>8135.8</v>
      </c>
      <c r="G7" s="716">
        <v>3760.8</v>
      </c>
      <c r="H7" s="716">
        <v>4627.8999999999996</v>
      </c>
      <c r="I7" s="716">
        <v>8351.6</v>
      </c>
      <c r="J7" s="716">
        <v>6079.4</v>
      </c>
      <c r="K7" s="716">
        <v>8691.1</v>
      </c>
      <c r="L7" s="716">
        <v>13928</v>
      </c>
    </row>
    <row r="8" spans="1:13" x14ac:dyDescent="0.3">
      <c r="A8" s="735" t="s">
        <v>815</v>
      </c>
      <c r="B8" s="715">
        <v>436.8</v>
      </c>
      <c r="C8" s="716">
        <v>1175.7</v>
      </c>
      <c r="D8" s="715">
        <v>613.79999999999995</v>
      </c>
      <c r="E8" s="716">
        <v>2950</v>
      </c>
      <c r="F8" s="716">
        <v>2349.3000000000002</v>
      </c>
      <c r="G8" s="716">
        <v>2306.1</v>
      </c>
      <c r="H8" s="716">
        <v>2976</v>
      </c>
      <c r="I8" s="716">
        <v>5058</v>
      </c>
      <c r="J8" s="716">
        <v>4977</v>
      </c>
      <c r="K8" s="716">
        <v>7587.3</v>
      </c>
      <c r="L8" s="716">
        <v>11205.1</v>
      </c>
    </row>
    <row r="9" spans="1:13" x14ac:dyDescent="0.3">
      <c r="A9" s="735" t="s">
        <v>816</v>
      </c>
      <c r="B9" s="716">
        <v>3540.4</v>
      </c>
      <c r="C9" s="716">
        <v>3507.2</v>
      </c>
      <c r="D9" s="716">
        <v>3438.2</v>
      </c>
      <c r="E9" s="716">
        <v>5370.2</v>
      </c>
      <c r="F9" s="716">
        <v>5786.5</v>
      </c>
      <c r="G9" s="716">
        <v>1454.8</v>
      </c>
      <c r="H9" s="716">
        <v>1651.9</v>
      </c>
      <c r="I9" s="716">
        <v>3293.6</v>
      </c>
      <c r="J9" s="716">
        <v>1102.4000000000001</v>
      </c>
      <c r="K9" s="716">
        <v>1103.8</v>
      </c>
      <c r="L9" s="716">
        <v>2722.9</v>
      </c>
    </row>
    <row r="10" spans="1:13" x14ac:dyDescent="0.3">
      <c r="A10" s="735" t="s">
        <v>817</v>
      </c>
      <c r="B10" s="716">
        <v>3732.9</v>
      </c>
      <c r="C10" s="716">
        <v>2628.4</v>
      </c>
      <c r="D10" s="716">
        <v>3251.7</v>
      </c>
      <c r="E10" s="716">
        <v>5552.8</v>
      </c>
      <c r="F10" s="716">
        <v>6320</v>
      </c>
      <c r="G10" s="716">
        <v>4261.7</v>
      </c>
      <c r="H10" s="716">
        <v>4931.3</v>
      </c>
      <c r="I10" s="716">
        <v>8267.1</v>
      </c>
      <c r="J10" s="716">
        <v>5186.1000000000004</v>
      </c>
      <c r="K10" s="716">
        <v>6600.3</v>
      </c>
      <c r="L10" s="716">
        <v>13019</v>
      </c>
    </row>
    <row r="11" spans="1:13" x14ac:dyDescent="0.3">
      <c r="A11" s="735" t="s">
        <v>818</v>
      </c>
      <c r="B11" s="716">
        <v>3732.9</v>
      </c>
      <c r="C11" s="716">
        <v>2628.4</v>
      </c>
      <c r="D11" s="716">
        <v>3251.7</v>
      </c>
      <c r="E11" s="716">
        <v>5552.8</v>
      </c>
      <c r="F11" s="716">
        <v>6320</v>
      </c>
      <c r="G11" s="716">
        <v>4261.7</v>
      </c>
      <c r="H11" s="716">
        <v>4931.3</v>
      </c>
      <c r="I11" s="716">
        <v>8267.1</v>
      </c>
      <c r="J11" s="716">
        <v>5186.1000000000004</v>
      </c>
      <c r="K11" s="716">
        <v>6600.3</v>
      </c>
      <c r="L11" s="716">
        <v>13019</v>
      </c>
    </row>
    <row r="12" spans="1:13" x14ac:dyDescent="0.3">
      <c r="A12" s="735" t="s">
        <v>819</v>
      </c>
      <c r="B12" s="715">
        <v>0</v>
      </c>
      <c r="C12" s="715">
        <v>0</v>
      </c>
      <c r="D12" s="715">
        <v>0</v>
      </c>
      <c r="E12" s="715">
        <v>0</v>
      </c>
      <c r="F12" s="715">
        <v>0</v>
      </c>
      <c r="G12" s="715">
        <v>0</v>
      </c>
      <c r="H12" s="715">
        <v>0</v>
      </c>
      <c r="I12" s="715">
        <v>0</v>
      </c>
      <c r="J12" s="715">
        <v>0</v>
      </c>
      <c r="K12" s="715">
        <v>0</v>
      </c>
      <c r="L12" s="715">
        <v>0</v>
      </c>
    </row>
    <row r="13" spans="1:13" x14ac:dyDescent="0.3">
      <c r="A13" s="735" t="s">
        <v>820</v>
      </c>
      <c r="B13" s="715" t="s">
        <v>741</v>
      </c>
      <c r="C13" s="715" t="s">
        <v>741</v>
      </c>
      <c r="D13" s="715" t="s">
        <v>741</v>
      </c>
      <c r="E13" s="715" t="s">
        <v>741</v>
      </c>
      <c r="F13" s="715">
        <v>24.3</v>
      </c>
      <c r="G13" s="715">
        <v>55.7</v>
      </c>
      <c r="H13" s="715">
        <v>53.6</v>
      </c>
      <c r="I13" s="715">
        <v>56.7</v>
      </c>
      <c r="J13" s="715">
        <v>91.9</v>
      </c>
      <c r="K13" s="715">
        <v>137</v>
      </c>
      <c r="L13" s="715">
        <v>123.9</v>
      </c>
    </row>
    <row r="14" spans="1:13" x14ac:dyDescent="0.3">
      <c r="A14" s="735" t="s">
        <v>821</v>
      </c>
      <c r="B14" s="716">
        <v>1497.6</v>
      </c>
      <c r="C14" s="716">
        <v>1923.4</v>
      </c>
      <c r="D14" s="716">
        <v>2026.2</v>
      </c>
      <c r="E14" s="716">
        <v>2640.4</v>
      </c>
      <c r="F14" s="716">
        <v>4422.7</v>
      </c>
      <c r="G14" s="716">
        <v>5295.8</v>
      </c>
      <c r="H14" s="716">
        <v>6136.3</v>
      </c>
      <c r="I14" s="716">
        <v>8950.1</v>
      </c>
      <c r="J14" s="716">
        <v>15664.7</v>
      </c>
      <c r="K14" s="716">
        <v>13480.7</v>
      </c>
      <c r="L14" s="716">
        <v>13313.9</v>
      </c>
    </row>
    <row r="15" spans="1:13" x14ac:dyDescent="0.3">
      <c r="A15" s="735" t="s">
        <v>822</v>
      </c>
      <c r="B15" s="715">
        <v>188</v>
      </c>
      <c r="C15" s="715">
        <v>222.7</v>
      </c>
      <c r="D15" s="715">
        <v>260.7</v>
      </c>
      <c r="E15" s="715">
        <v>296.3</v>
      </c>
      <c r="F15" s="715">
        <v>461.5</v>
      </c>
      <c r="G15" s="715">
        <v>625.79999999999995</v>
      </c>
      <c r="H15" s="715">
        <v>724.5</v>
      </c>
      <c r="I15" s="716">
        <v>1031.3</v>
      </c>
      <c r="J15" s="716">
        <v>1817.4</v>
      </c>
      <c r="K15" s="716">
        <v>1505</v>
      </c>
      <c r="L15" s="716">
        <v>1461</v>
      </c>
    </row>
    <row r="16" spans="1:13" x14ac:dyDescent="0.3">
      <c r="A16" s="735" t="s">
        <v>823</v>
      </c>
      <c r="B16" s="715">
        <v>762.4</v>
      </c>
      <c r="C16" s="715">
        <v>848.2</v>
      </c>
      <c r="D16" s="716">
        <v>1130.5</v>
      </c>
      <c r="E16" s="716">
        <v>1616.9</v>
      </c>
      <c r="F16" s="716">
        <v>2119</v>
      </c>
      <c r="G16" s="716">
        <v>2988.8</v>
      </c>
      <c r="H16" s="716">
        <v>3585</v>
      </c>
      <c r="I16" s="716">
        <v>5812.3</v>
      </c>
      <c r="J16" s="716">
        <v>9094.2000000000007</v>
      </c>
      <c r="K16" s="716">
        <v>7565.1</v>
      </c>
      <c r="L16" s="716">
        <v>8622.7999999999993</v>
      </c>
    </row>
    <row r="17" spans="1:12" x14ac:dyDescent="0.3">
      <c r="A17" s="735" t="s">
        <v>824</v>
      </c>
      <c r="B17" s="715">
        <v>444.4</v>
      </c>
      <c r="C17" s="715">
        <v>688.3</v>
      </c>
      <c r="D17" s="715">
        <v>440.4</v>
      </c>
      <c r="E17" s="715">
        <v>456.5</v>
      </c>
      <c r="F17" s="716">
        <v>1426.3</v>
      </c>
      <c r="G17" s="716">
        <v>1160.2</v>
      </c>
      <c r="H17" s="716">
        <v>1238.9000000000001</v>
      </c>
      <c r="I17" s="716">
        <v>1391.2</v>
      </c>
      <c r="J17" s="716">
        <v>3967.4</v>
      </c>
      <c r="K17" s="716">
        <v>3712.4</v>
      </c>
      <c r="L17" s="716">
        <v>2643.8</v>
      </c>
    </row>
    <row r="18" spans="1:12" x14ac:dyDescent="0.3">
      <c r="A18" s="735" t="s">
        <v>825</v>
      </c>
      <c r="B18" s="715">
        <v>102.7</v>
      </c>
      <c r="C18" s="715">
        <v>164.2</v>
      </c>
      <c r="D18" s="715">
        <v>194.7</v>
      </c>
      <c r="E18" s="715">
        <v>270.8</v>
      </c>
      <c r="F18" s="715">
        <v>415.9</v>
      </c>
      <c r="G18" s="715">
        <v>521.1</v>
      </c>
      <c r="H18" s="715">
        <v>588</v>
      </c>
      <c r="I18" s="715">
        <v>715.3</v>
      </c>
      <c r="J18" s="715">
        <v>785.8</v>
      </c>
      <c r="K18" s="715">
        <v>698.2</v>
      </c>
      <c r="L18" s="715">
        <v>586.29999999999995</v>
      </c>
    </row>
    <row r="19" spans="1:12" x14ac:dyDescent="0.3">
      <c r="A19" s="735" t="s">
        <v>826</v>
      </c>
      <c r="B19" s="716">
        <v>1155.9000000000001</v>
      </c>
      <c r="C19" s="715">
        <v>525.29999999999995</v>
      </c>
      <c r="D19" s="715">
        <v>509.2</v>
      </c>
      <c r="E19" s="715">
        <v>797</v>
      </c>
      <c r="F19" s="715">
        <v>991.4</v>
      </c>
      <c r="G19" s="716">
        <v>1083.5</v>
      </c>
      <c r="H19" s="715">
        <v>821.8</v>
      </c>
      <c r="I19" s="716">
        <v>1281.5999999999999</v>
      </c>
      <c r="J19" s="716">
        <v>1711.3</v>
      </c>
      <c r="K19" s="716">
        <v>1559.1</v>
      </c>
      <c r="L19" s="716">
        <v>1894.1</v>
      </c>
    </row>
    <row r="20" spans="1:12" x14ac:dyDescent="0.3">
      <c r="A20" s="735" t="s">
        <v>827</v>
      </c>
      <c r="B20" s="715">
        <v>156.6</v>
      </c>
      <c r="C20" s="715">
        <v>212.8</v>
      </c>
      <c r="D20" s="715">
        <v>238.8</v>
      </c>
      <c r="E20" s="715">
        <v>222.4</v>
      </c>
      <c r="F20" s="715">
        <v>260.10000000000002</v>
      </c>
      <c r="G20" s="715">
        <v>218.4</v>
      </c>
      <c r="H20" s="715">
        <v>145.30000000000001</v>
      </c>
      <c r="I20" s="715">
        <v>176.2</v>
      </c>
      <c r="J20" s="715">
        <v>241.9</v>
      </c>
      <c r="K20" s="715">
        <v>218.3</v>
      </c>
      <c r="L20" s="715">
        <v>247.2</v>
      </c>
    </row>
    <row r="21" spans="1:12" x14ac:dyDescent="0.3">
      <c r="A21" s="735" t="s">
        <v>828</v>
      </c>
      <c r="B21" s="715">
        <v>0</v>
      </c>
      <c r="C21" s="715">
        <v>0</v>
      </c>
      <c r="D21" s="715">
        <v>0</v>
      </c>
      <c r="E21" s="715">
        <v>0</v>
      </c>
      <c r="F21" s="715">
        <v>0</v>
      </c>
      <c r="G21" s="715">
        <v>0</v>
      </c>
      <c r="H21" s="715">
        <v>0</v>
      </c>
      <c r="I21" s="715">
        <v>0</v>
      </c>
      <c r="J21" s="715" t="s">
        <v>741</v>
      </c>
      <c r="K21" s="715" t="s">
        <v>741</v>
      </c>
      <c r="L21" s="715" t="s">
        <v>741</v>
      </c>
    </row>
    <row r="22" spans="1:12" x14ac:dyDescent="0.3">
      <c r="A22" s="735" t="s">
        <v>829</v>
      </c>
      <c r="B22" s="715">
        <v>1.6</v>
      </c>
      <c r="C22" s="715">
        <v>1.4</v>
      </c>
      <c r="D22" s="715">
        <v>0.5</v>
      </c>
      <c r="E22" s="715">
        <v>1.3</v>
      </c>
      <c r="F22" s="715">
        <v>22.3</v>
      </c>
      <c r="G22" s="715">
        <v>199.8</v>
      </c>
      <c r="H22" s="715">
        <v>0.2</v>
      </c>
      <c r="I22" s="715">
        <v>4.0999999999999996</v>
      </c>
      <c r="J22" s="715">
        <v>14.5</v>
      </c>
      <c r="K22" s="715">
        <v>69.900000000000006</v>
      </c>
      <c r="L22" s="715">
        <v>57.5</v>
      </c>
    </row>
    <row r="23" spans="1:12" x14ac:dyDescent="0.3">
      <c r="A23" s="735" t="s">
        <v>780</v>
      </c>
      <c r="B23" s="715">
        <v>27.7</v>
      </c>
      <c r="C23" s="715" t="s">
        <v>741</v>
      </c>
      <c r="D23" s="715" t="s">
        <v>741</v>
      </c>
      <c r="E23" s="715" t="s">
        <v>741</v>
      </c>
      <c r="F23" s="715" t="s">
        <v>741</v>
      </c>
      <c r="G23" s="715" t="s">
        <v>741</v>
      </c>
      <c r="H23" s="715" t="s">
        <v>741</v>
      </c>
      <c r="I23" s="715" t="s">
        <v>741</v>
      </c>
      <c r="J23" s="715" t="s">
        <v>741</v>
      </c>
      <c r="K23" s="715">
        <v>29.4</v>
      </c>
      <c r="L23" s="715">
        <v>0</v>
      </c>
    </row>
    <row r="24" spans="1:12" x14ac:dyDescent="0.3">
      <c r="A24" s="735" t="s">
        <v>830</v>
      </c>
      <c r="B24" s="715">
        <v>970</v>
      </c>
      <c r="C24" s="715">
        <v>311.10000000000002</v>
      </c>
      <c r="D24" s="715">
        <v>269.89999999999998</v>
      </c>
      <c r="E24" s="715">
        <v>573.29999999999995</v>
      </c>
      <c r="F24" s="715">
        <v>709</v>
      </c>
      <c r="G24" s="715">
        <v>665.4</v>
      </c>
      <c r="H24" s="715">
        <v>676.3</v>
      </c>
      <c r="I24" s="716">
        <v>1101.3</v>
      </c>
      <c r="J24" s="716">
        <v>1454.9</v>
      </c>
      <c r="K24" s="716">
        <v>1241.5</v>
      </c>
      <c r="L24" s="716">
        <v>1589.4</v>
      </c>
    </row>
    <row r="25" spans="1:12" x14ac:dyDescent="0.3">
      <c r="A25" s="733" t="s">
        <v>831</v>
      </c>
      <c r="B25" s="711">
        <v>10363.5</v>
      </c>
      <c r="C25" s="711">
        <v>9760</v>
      </c>
      <c r="D25" s="711">
        <v>9839</v>
      </c>
      <c r="E25" s="711">
        <v>17310.400000000001</v>
      </c>
      <c r="F25" s="711">
        <v>19894.099999999999</v>
      </c>
      <c r="G25" s="711">
        <v>14457.6</v>
      </c>
      <c r="H25" s="711">
        <v>16571</v>
      </c>
      <c r="I25" s="711">
        <v>26907.1</v>
      </c>
      <c r="J25" s="711">
        <v>28733.3</v>
      </c>
      <c r="K25" s="711">
        <v>30468.1</v>
      </c>
      <c r="L25" s="711">
        <v>42278.9</v>
      </c>
    </row>
    <row r="26" spans="1:12" x14ac:dyDescent="0.3">
      <c r="A26" s="735" t="s">
        <v>832</v>
      </c>
      <c r="B26" s="716">
        <v>14090.3</v>
      </c>
      <c r="C26" s="716">
        <v>16966.3</v>
      </c>
      <c r="D26" s="716">
        <v>18777.400000000001</v>
      </c>
      <c r="E26" s="716">
        <v>24062.6</v>
      </c>
      <c r="F26" s="716">
        <v>34952.6</v>
      </c>
      <c r="G26" s="716">
        <v>41656.6</v>
      </c>
      <c r="H26" s="716">
        <v>42938.2</v>
      </c>
      <c r="I26" s="716">
        <v>54823</v>
      </c>
      <c r="J26" s="716">
        <v>62008.5</v>
      </c>
      <c r="K26" s="716">
        <v>55399.7</v>
      </c>
      <c r="L26" s="716">
        <v>62644.3</v>
      </c>
    </row>
    <row r="27" spans="1:12" x14ac:dyDescent="0.3">
      <c r="A27" s="735" t="s">
        <v>833</v>
      </c>
      <c r="B27" s="716">
        <v>40213.199999999997</v>
      </c>
      <c r="C27" s="716">
        <v>46037.9</v>
      </c>
      <c r="D27" s="716">
        <v>50547</v>
      </c>
      <c r="E27" s="716">
        <v>56259.4</v>
      </c>
      <c r="F27" s="716">
        <v>71880.7</v>
      </c>
      <c r="G27" s="716">
        <v>85340.800000000003</v>
      </c>
      <c r="H27" s="716">
        <v>94373.2</v>
      </c>
      <c r="I27" s="716">
        <v>115737.7</v>
      </c>
      <c r="J27" s="716">
        <v>134442.4</v>
      </c>
      <c r="K27" s="716">
        <v>139076.29999999999</v>
      </c>
      <c r="L27" s="716">
        <v>159664.6</v>
      </c>
    </row>
    <row r="28" spans="1:12" x14ac:dyDescent="0.3">
      <c r="A28" s="735" t="s">
        <v>834</v>
      </c>
      <c r="B28" s="716">
        <v>26122.799999999999</v>
      </c>
      <c r="C28" s="716">
        <v>29071.599999999999</v>
      </c>
      <c r="D28" s="716">
        <v>31769.599999999999</v>
      </c>
      <c r="E28" s="716">
        <v>32196.799999999999</v>
      </c>
      <c r="F28" s="716">
        <v>36928.1</v>
      </c>
      <c r="G28" s="716">
        <v>43684.2</v>
      </c>
      <c r="H28" s="716">
        <v>51435</v>
      </c>
      <c r="I28" s="716">
        <v>60914.7</v>
      </c>
      <c r="J28" s="716">
        <v>72433.899999999994</v>
      </c>
      <c r="K28" s="716">
        <v>83676.600000000006</v>
      </c>
      <c r="L28" s="716">
        <v>97020.3</v>
      </c>
    </row>
    <row r="29" spans="1:12" x14ac:dyDescent="0.3">
      <c r="A29" s="735" t="s">
        <v>835</v>
      </c>
      <c r="B29" s="715">
        <v>163</v>
      </c>
      <c r="C29" s="715">
        <v>140.1</v>
      </c>
      <c r="D29" s="715">
        <v>156.80000000000001</v>
      </c>
      <c r="E29" s="715">
        <v>56.8</v>
      </c>
      <c r="F29" s="716">
        <v>4355.1000000000004</v>
      </c>
      <c r="G29" s="716">
        <v>4462.1000000000004</v>
      </c>
      <c r="H29" s="716">
        <v>6386.9</v>
      </c>
      <c r="I29" s="716">
        <v>7122</v>
      </c>
      <c r="J29" s="716">
        <v>6014.4</v>
      </c>
      <c r="K29" s="716">
        <v>4373.2</v>
      </c>
      <c r="L29" s="716">
        <v>4235</v>
      </c>
    </row>
    <row r="30" spans="1:12" x14ac:dyDescent="0.3">
      <c r="A30" s="735" t="s">
        <v>836</v>
      </c>
      <c r="B30" s="715">
        <v>163</v>
      </c>
      <c r="C30" s="715">
        <v>140.1</v>
      </c>
      <c r="D30" s="715">
        <v>156.80000000000001</v>
      </c>
      <c r="E30" s="715">
        <v>56.8</v>
      </c>
      <c r="F30" s="716">
        <v>4355.1000000000004</v>
      </c>
      <c r="G30" s="716">
        <v>4417.3999999999996</v>
      </c>
      <c r="H30" s="716">
        <v>6386.9</v>
      </c>
      <c r="I30" s="716">
        <v>7122</v>
      </c>
      <c r="J30" s="716">
        <v>6014.4</v>
      </c>
      <c r="K30" s="716">
        <v>4373.2</v>
      </c>
      <c r="L30" s="716">
        <v>4235</v>
      </c>
    </row>
    <row r="31" spans="1:12" x14ac:dyDescent="0.3">
      <c r="A31" s="735" t="s">
        <v>837</v>
      </c>
      <c r="B31" s="715" t="s">
        <v>741</v>
      </c>
      <c r="C31" s="715" t="s">
        <v>741</v>
      </c>
      <c r="D31" s="715" t="s">
        <v>741</v>
      </c>
      <c r="E31" s="715" t="s">
        <v>741</v>
      </c>
      <c r="F31" s="715" t="s">
        <v>741</v>
      </c>
      <c r="G31" s="715">
        <v>44.8</v>
      </c>
      <c r="H31" s="715" t="s">
        <v>741</v>
      </c>
      <c r="I31" s="715" t="s">
        <v>741</v>
      </c>
      <c r="J31" s="715" t="s">
        <v>741</v>
      </c>
      <c r="K31" s="715" t="s">
        <v>741</v>
      </c>
      <c r="L31" s="715" t="s">
        <v>741</v>
      </c>
    </row>
    <row r="32" spans="1:12" x14ac:dyDescent="0.3">
      <c r="A32" s="735" t="s">
        <v>838</v>
      </c>
      <c r="B32" s="716">
        <v>2266.5</v>
      </c>
      <c r="C32" s="716">
        <v>2811.5</v>
      </c>
      <c r="D32" s="716">
        <v>3442.9</v>
      </c>
      <c r="E32" s="716">
        <v>3988.6</v>
      </c>
      <c r="F32" s="716">
        <v>4456.5</v>
      </c>
      <c r="G32" s="716">
        <v>4672</v>
      </c>
      <c r="H32" s="716">
        <v>5277.8</v>
      </c>
      <c r="I32" s="716">
        <v>7494.4</v>
      </c>
      <c r="J32" s="716">
        <v>7115.3</v>
      </c>
      <c r="K32" s="716">
        <v>10089.200000000001</v>
      </c>
      <c r="L32" s="716">
        <v>10697</v>
      </c>
    </row>
    <row r="33" spans="1:12" x14ac:dyDescent="0.3">
      <c r="A33" s="735" t="s">
        <v>839</v>
      </c>
      <c r="B33" s="716">
        <v>1336.7</v>
      </c>
      <c r="C33" s="716">
        <v>1704.9</v>
      </c>
      <c r="D33" s="716">
        <v>1915.6</v>
      </c>
      <c r="E33" s="716">
        <v>2247.3000000000002</v>
      </c>
      <c r="F33" s="716">
        <v>2678.8</v>
      </c>
      <c r="G33" s="716">
        <v>2571</v>
      </c>
      <c r="H33" s="716">
        <v>3400.3</v>
      </c>
      <c r="I33" s="716">
        <v>4797.2</v>
      </c>
      <c r="J33" s="716">
        <v>3512.1</v>
      </c>
      <c r="K33" s="716">
        <v>3834.6</v>
      </c>
      <c r="L33" s="716">
        <v>4018.8</v>
      </c>
    </row>
    <row r="34" spans="1:12" x14ac:dyDescent="0.3">
      <c r="A34" s="738" t="s">
        <v>840</v>
      </c>
      <c r="B34" s="719">
        <v>704.2</v>
      </c>
      <c r="C34" s="719">
        <v>720.8</v>
      </c>
      <c r="D34" s="719">
        <v>730.2</v>
      </c>
      <c r="E34" s="719">
        <v>695.1</v>
      </c>
      <c r="F34" s="719">
        <v>709.8</v>
      </c>
      <c r="G34" s="719">
        <v>720.2</v>
      </c>
      <c r="H34" s="719">
        <v>701.6</v>
      </c>
      <c r="I34" s="721">
        <v>1572</v>
      </c>
      <c r="J34" s="719">
        <v>798.7</v>
      </c>
      <c r="K34" s="719">
        <v>803.3</v>
      </c>
      <c r="L34" s="719">
        <v>848.8</v>
      </c>
    </row>
    <row r="35" spans="1:12" x14ac:dyDescent="0.3">
      <c r="A35" s="738" t="s">
        <v>841</v>
      </c>
      <c r="B35" s="719">
        <v>632.5</v>
      </c>
      <c r="C35" s="719">
        <v>984.1</v>
      </c>
      <c r="D35" s="721">
        <v>1185.4000000000001</v>
      </c>
      <c r="E35" s="721">
        <v>1552.2</v>
      </c>
      <c r="F35" s="721">
        <v>1969</v>
      </c>
      <c r="G35" s="721">
        <v>1850.9</v>
      </c>
      <c r="H35" s="721">
        <v>2698.7</v>
      </c>
      <c r="I35" s="721">
        <v>3225.1</v>
      </c>
      <c r="J35" s="721">
        <v>2713.4</v>
      </c>
      <c r="K35" s="721">
        <v>3031.2</v>
      </c>
      <c r="L35" s="721">
        <v>3170</v>
      </c>
    </row>
    <row r="36" spans="1:12" x14ac:dyDescent="0.3">
      <c r="A36" s="735" t="s">
        <v>842</v>
      </c>
      <c r="B36" s="715">
        <v>494.9</v>
      </c>
      <c r="C36" s="715">
        <v>558.1</v>
      </c>
      <c r="D36" s="715">
        <v>568.9</v>
      </c>
      <c r="E36" s="715">
        <v>553.20000000000005</v>
      </c>
      <c r="F36" s="715">
        <v>528.79999999999995</v>
      </c>
      <c r="G36" s="715">
        <v>535.70000000000005</v>
      </c>
      <c r="H36" s="715">
        <v>15</v>
      </c>
      <c r="I36" s="715">
        <v>54.5</v>
      </c>
      <c r="J36" s="715">
        <v>42.7</v>
      </c>
      <c r="K36" s="715">
        <v>46.3</v>
      </c>
      <c r="L36" s="715">
        <v>26</v>
      </c>
    </row>
    <row r="37" spans="1:12" x14ac:dyDescent="0.3">
      <c r="A37" s="735" t="s">
        <v>843</v>
      </c>
      <c r="B37" s="715">
        <v>272.10000000000002</v>
      </c>
      <c r="C37" s="715">
        <v>361.2</v>
      </c>
      <c r="D37" s="715">
        <v>792.4</v>
      </c>
      <c r="E37" s="715">
        <v>599.79999999999995</v>
      </c>
      <c r="F37" s="715">
        <v>544</v>
      </c>
      <c r="G37" s="715">
        <v>673.6</v>
      </c>
      <c r="H37" s="715">
        <v>556.20000000000005</v>
      </c>
      <c r="I37" s="715">
        <v>590.20000000000005</v>
      </c>
      <c r="J37" s="715">
        <v>657.1</v>
      </c>
      <c r="K37" s="716">
        <v>2989.5</v>
      </c>
      <c r="L37" s="716">
        <v>2811.6</v>
      </c>
    </row>
    <row r="38" spans="1:12" x14ac:dyDescent="0.3">
      <c r="A38" s="735" t="s">
        <v>828</v>
      </c>
      <c r="B38" s="715" t="s">
        <v>741</v>
      </c>
      <c r="C38" s="715">
        <v>0</v>
      </c>
      <c r="D38" s="715">
        <v>0</v>
      </c>
      <c r="E38" s="715">
        <v>0</v>
      </c>
      <c r="F38" s="715">
        <v>0</v>
      </c>
      <c r="G38" s="715">
        <v>0</v>
      </c>
      <c r="H38" s="715">
        <v>0</v>
      </c>
      <c r="I38" s="715">
        <v>0</v>
      </c>
      <c r="J38" s="715" t="s">
        <v>741</v>
      </c>
      <c r="K38" s="715" t="s">
        <v>741</v>
      </c>
      <c r="L38" s="715" t="s">
        <v>741</v>
      </c>
    </row>
    <row r="39" spans="1:12" x14ac:dyDescent="0.3">
      <c r="A39" s="735" t="s">
        <v>844</v>
      </c>
      <c r="B39" s="715" t="s">
        <v>741</v>
      </c>
      <c r="C39" s="715" t="s">
        <v>741</v>
      </c>
      <c r="D39" s="715" t="s">
        <v>741</v>
      </c>
      <c r="E39" s="715">
        <v>13.4</v>
      </c>
      <c r="F39" s="715">
        <v>5.2</v>
      </c>
      <c r="G39" s="715">
        <v>3.4</v>
      </c>
      <c r="H39" s="715">
        <v>62</v>
      </c>
      <c r="I39" s="715">
        <v>429</v>
      </c>
      <c r="J39" s="716">
        <v>1332.3</v>
      </c>
      <c r="K39" s="716">
        <v>1404</v>
      </c>
      <c r="L39" s="716">
        <v>1154.3</v>
      </c>
    </row>
    <row r="40" spans="1:12" x14ac:dyDescent="0.3">
      <c r="A40" s="735" t="s">
        <v>845</v>
      </c>
      <c r="B40" s="715">
        <v>97.1</v>
      </c>
      <c r="C40" s="715">
        <v>122.6</v>
      </c>
      <c r="D40" s="715">
        <v>131</v>
      </c>
      <c r="E40" s="715">
        <v>359.9</v>
      </c>
      <c r="F40" s="715">
        <v>562.20000000000005</v>
      </c>
      <c r="G40" s="715">
        <v>768.8</v>
      </c>
      <c r="H40" s="716">
        <v>1166.2</v>
      </c>
      <c r="I40" s="716">
        <v>1410.4</v>
      </c>
      <c r="J40" s="716">
        <v>1352.8</v>
      </c>
      <c r="K40" s="716">
        <v>1367.3</v>
      </c>
      <c r="L40" s="716">
        <v>1940.7</v>
      </c>
    </row>
    <row r="41" spans="1:12" x14ac:dyDescent="0.3">
      <c r="A41" s="735" t="s">
        <v>846</v>
      </c>
      <c r="B41" s="715">
        <v>65.7</v>
      </c>
      <c r="C41" s="715">
        <v>64.7</v>
      </c>
      <c r="D41" s="715">
        <v>35</v>
      </c>
      <c r="E41" s="715">
        <v>215.1</v>
      </c>
      <c r="F41" s="715">
        <v>137.5</v>
      </c>
      <c r="G41" s="715">
        <v>119.4</v>
      </c>
      <c r="H41" s="715">
        <v>78.2</v>
      </c>
      <c r="I41" s="715">
        <v>213.2</v>
      </c>
      <c r="J41" s="715">
        <v>218.2</v>
      </c>
      <c r="K41" s="715">
        <v>447.5</v>
      </c>
      <c r="L41" s="715">
        <v>745.7</v>
      </c>
    </row>
    <row r="42" spans="1:12" x14ac:dyDescent="0.3">
      <c r="A42" s="733" t="s">
        <v>847</v>
      </c>
      <c r="B42" s="711">
        <v>16519.8</v>
      </c>
      <c r="C42" s="711">
        <v>19917.900000000001</v>
      </c>
      <c r="D42" s="711">
        <v>22377</v>
      </c>
      <c r="E42" s="711">
        <v>28108</v>
      </c>
      <c r="F42" s="711">
        <v>43764.2</v>
      </c>
      <c r="G42" s="711">
        <v>50790.7</v>
      </c>
      <c r="H42" s="711">
        <v>54602.9</v>
      </c>
      <c r="I42" s="711">
        <v>69439.5</v>
      </c>
      <c r="J42" s="711">
        <v>75138.2</v>
      </c>
      <c r="K42" s="711">
        <v>69862.100000000006</v>
      </c>
      <c r="L42" s="711">
        <v>77576.3</v>
      </c>
    </row>
    <row r="43" spans="1:12" x14ac:dyDescent="0.3">
      <c r="A43" s="733" t="s">
        <v>292</v>
      </c>
      <c r="B43" s="711">
        <v>26883.3</v>
      </c>
      <c r="C43" s="711">
        <v>29677.9</v>
      </c>
      <c r="D43" s="711">
        <v>32216</v>
      </c>
      <c r="E43" s="711">
        <v>45418.5</v>
      </c>
      <c r="F43" s="711">
        <v>63658.3</v>
      </c>
      <c r="G43" s="711">
        <v>65248.4</v>
      </c>
      <c r="H43" s="711">
        <v>71173.899999999994</v>
      </c>
      <c r="I43" s="711">
        <v>96346.5</v>
      </c>
      <c r="J43" s="711">
        <v>103871.5</v>
      </c>
      <c r="K43" s="711">
        <v>100330.2</v>
      </c>
      <c r="L43" s="711">
        <v>119855.2</v>
      </c>
    </row>
    <row r="44" spans="1:12" x14ac:dyDescent="0.3">
      <c r="A44" s="733" t="s">
        <v>642</v>
      </c>
      <c r="B44" s="710" t="s">
        <v>642</v>
      </c>
      <c r="C44" s="710" t="s">
        <v>642</v>
      </c>
      <c r="D44" s="710" t="s">
        <v>642</v>
      </c>
      <c r="E44" s="710" t="s">
        <v>642</v>
      </c>
      <c r="F44" s="710" t="s">
        <v>642</v>
      </c>
      <c r="G44" s="710" t="s">
        <v>642</v>
      </c>
      <c r="H44" s="710" t="s">
        <v>642</v>
      </c>
      <c r="I44" s="710" t="s">
        <v>642</v>
      </c>
      <c r="J44" s="710" t="s">
        <v>642</v>
      </c>
      <c r="K44" s="710" t="s">
        <v>642</v>
      </c>
      <c r="L44" s="710" t="s">
        <v>642</v>
      </c>
    </row>
    <row r="45" spans="1:12" x14ac:dyDescent="0.3">
      <c r="A45" s="733" t="s">
        <v>848</v>
      </c>
      <c r="B45" s="710" t="s">
        <v>642</v>
      </c>
      <c r="C45" s="710" t="s">
        <v>642</v>
      </c>
      <c r="D45" s="710" t="s">
        <v>642</v>
      </c>
      <c r="E45" s="710" t="s">
        <v>642</v>
      </c>
      <c r="F45" s="710" t="s">
        <v>642</v>
      </c>
      <c r="G45" s="710" t="s">
        <v>642</v>
      </c>
      <c r="H45" s="710" t="s">
        <v>642</v>
      </c>
      <c r="I45" s="710" t="s">
        <v>642</v>
      </c>
      <c r="J45" s="710" t="s">
        <v>642</v>
      </c>
      <c r="K45" s="710" t="s">
        <v>642</v>
      </c>
      <c r="L45" s="710" t="s">
        <v>642</v>
      </c>
    </row>
    <row r="46" spans="1:12" x14ac:dyDescent="0.3">
      <c r="A46" s="735" t="s">
        <v>849</v>
      </c>
      <c r="B46" s="716">
        <v>3913.1</v>
      </c>
      <c r="C46" s="716">
        <v>3757.6</v>
      </c>
      <c r="D46" s="716">
        <v>3362.4</v>
      </c>
      <c r="E46" s="716">
        <v>7209.2</v>
      </c>
      <c r="F46" s="716">
        <v>11213.5</v>
      </c>
      <c r="G46" s="716">
        <v>4757.3</v>
      </c>
      <c r="H46" s="716">
        <v>5398.9</v>
      </c>
      <c r="I46" s="716">
        <v>11241.3</v>
      </c>
      <c r="J46" s="716">
        <v>11342.5</v>
      </c>
      <c r="K46" s="716">
        <v>6863.6</v>
      </c>
      <c r="L46" s="716">
        <v>16305.5</v>
      </c>
    </row>
    <row r="47" spans="1:12" x14ac:dyDescent="0.3">
      <c r="A47" s="735" t="s">
        <v>850</v>
      </c>
      <c r="B47" s="715">
        <v>787.8</v>
      </c>
      <c r="C47" s="715">
        <v>791.4</v>
      </c>
      <c r="D47" s="715">
        <v>696.1</v>
      </c>
      <c r="E47" s="715">
        <v>758.6</v>
      </c>
      <c r="F47" s="716">
        <v>1096.4000000000001</v>
      </c>
      <c r="G47" s="716">
        <v>1042.5</v>
      </c>
      <c r="H47" s="716">
        <v>1046.2</v>
      </c>
      <c r="I47" s="716">
        <v>1359.2</v>
      </c>
      <c r="J47" s="716">
        <v>2186.1999999999998</v>
      </c>
      <c r="K47" s="716">
        <v>1845.5</v>
      </c>
      <c r="L47" s="716">
        <v>2277.3000000000002</v>
      </c>
    </row>
    <row r="48" spans="1:12" x14ac:dyDescent="0.3">
      <c r="A48" s="735" t="s">
        <v>851</v>
      </c>
      <c r="B48" s="715">
        <v>583.5</v>
      </c>
      <c r="C48" s="715">
        <v>627.29999999999995</v>
      </c>
      <c r="D48" s="715">
        <v>374.7</v>
      </c>
      <c r="E48" s="716">
        <v>2385.9</v>
      </c>
      <c r="F48" s="716">
        <v>4555.7</v>
      </c>
      <c r="G48" s="715">
        <v>89.2</v>
      </c>
      <c r="H48" s="715">
        <v>636.6</v>
      </c>
      <c r="I48" s="716">
        <v>3002.7</v>
      </c>
      <c r="J48" s="715">
        <v>696.6</v>
      </c>
      <c r="K48" s="715">
        <v>43.9</v>
      </c>
      <c r="L48" s="716">
        <v>3084</v>
      </c>
    </row>
    <row r="49" spans="1:12" x14ac:dyDescent="0.3">
      <c r="A49" s="735" t="s">
        <v>852</v>
      </c>
      <c r="B49" s="716">
        <v>2541.8000000000002</v>
      </c>
      <c r="C49" s="716">
        <v>2339</v>
      </c>
      <c r="D49" s="716">
        <v>2291.6</v>
      </c>
      <c r="E49" s="716">
        <v>4064.8</v>
      </c>
      <c r="F49" s="716">
        <v>5561.5</v>
      </c>
      <c r="G49" s="716">
        <v>3625.6</v>
      </c>
      <c r="H49" s="716">
        <v>3716.1</v>
      </c>
      <c r="I49" s="716">
        <v>6879.3</v>
      </c>
      <c r="J49" s="716">
        <v>8459.7000000000007</v>
      </c>
      <c r="K49" s="716">
        <v>4974.2</v>
      </c>
      <c r="L49" s="716">
        <v>10944.2</v>
      </c>
    </row>
    <row r="50" spans="1:12" x14ac:dyDescent="0.3">
      <c r="A50" s="735" t="s">
        <v>853</v>
      </c>
      <c r="B50" s="716">
        <v>1755</v>
      </c>
      <c r="C50" s="716">
        <v>1013.4</v>
      </c>
      <c r="D50" s="715">
        <v>704.9</v>
      </c>
      <c r="E50" s="715">
        <v>773.8</v>
      </c>
      <c r="F50" s="716">
        <v>1614.3</v>
      </c>
      <c r="G50" s="716">
        <v>3030.9</v>
      </c>
      <c r="H50" s="716">
        <v>3461.7</v>
      </c>
      <c r="I50" s="716">
        <v>3182.8</v>
      </c>
      <c r="J50" s="716">
        <v>7704.1</v>
      </c>
      <c r="K50" s="716">
        <v>10488.7</v>
      </c>
      <c r="L50" s="716">
        <v>5840.6</v>
      </c>
    </row>
    <row r="51" spans="1:12" x14ac:dyDescent="0.3">
      <c r="A51" s="735" t="s">
        <v>854</v>
      </c>
      <c r="B51" s="715">
        <v>734.2</v>
      </c>
      <c r="C51" s="715">
        <v>147.9</v>
      </c>
      <c r="D51" s="715">
        <v>0</v>
      </c>
      <c r="E51" s="715">
        <v>192.7</v>
      </c>
      <c r="F51" s="715">
        <v>585.79999999999995</v>
      </c>
      <c r="G51" s="716">
        <v>1168.4000000000001</v>
      </c>
      <c r="H51" s="715">
        <v>179.6</v>
      </c>
      <c r="I51" s="715">
        <v>233.2</v>
      </c>
      <c r="J51" s="716">
        <v>3833.3</v>
      </c>
      <c r="K51" s="716">
        <v>4145.6000000000004</v>
      </c>
      <c r="L51" s="716">
        <v>1283.5</v>
      </c>
    </row>
    <row r="52" spans="1:12" x14ac:dyDescent="0.3">
      <c r="A52" s="735" t="s">
        <v>855</v>
      </c>
      <c r="B52" s="715" t="s">
        <v>741</v>
      </c>
      <c r="C52" s="715" t="s">
        <v>741</v>
      </c>
      <c r="D52" s="715" t="s">
        <v>741</v>
      </c>
      <c r="E52" s="715" t="s">
        <v>741</v>
      </c>
      <c r="F52" s="715" t="s">
        <v>741</v>
      </c>
      <c r="G52" s="715">
        <v>293.2</v>
      </c>
      <c r="H52" s="715">
        <v>347.5</v>
      </c>
      <c r="I52" s="715">
        <v>302.10000000000002</v>
      </c>
      <c r="J52" s="715">
        <v>280.89999999999998</v>
      </c>
      <c r="K52" s="715">
        <v>631.5</v>
      </c>
      <c r="L52" s="715">
        <v>588.4</v>
      </c>
    </row>
    <row r="53" spans="1:12" x14ac:dyDescent="0.3">
      <c r="A53" s="735" t="s">
        <v>856</v>
      </c>
      <c r="B53" s="716">
        <v>1020.9</v>
      </c>
      <c r="C53" s="715">
        <v>865.4</v>
      </c>
      <c r="D53" s="715">
        <v>704.9</v>
      </c>
      <c r="E53" s="715">
        <v>581.1</v>
      </c>
      <c r="F53" s="716">
        <v>1028.5</v>
      </c>
      <c r="G53" s="716">
        <v>1569.4</v>
      </c>
      <c r="H53" s="716">
        <v>2934.7</v>
      </c>
      <c r="I53" s="716">
        <v>2647.6</v>
      </c>
      <c r="J53" s="716">
        <v>3590</v>
      </c>
      <c r="K53" s="716">
        <v>5711.5</v>
      </c>
      <c r="L53" s="716">
        <v>3968.8</v>
      </c>
    </row>
    <row r="54" spans="1:12" x14ac:dyDescent="0.3">
      <c r="A54" s="735" t="s">
        <v>857</v>
      </c>
      <c r="B54" s="715">
        <v>97.2</v>
      </c>
      <c r="C54" s="715">
        <v>69.7</v>
      </c>
      <c r="D54" s="715">
        <v>93.6</v>
      </c>
      <c r="E54" s="715">
        <v>133.1</v>
      </c>
      <c r="F54" s="715">
        <v>204</v>
      </c>
      <c r="G54" s="715">
        <v>173.7</v>
      </c>
      <c r="H54" s="715">
        <v>211.7</v>
      </c>
      <c r="I54" s="715">
        <v>311.3</v>
      </c>
      <c r="J54" s="715">
        <v>797.1</v>
      </c>
      <c r="K54" s="716">
        <v>3655.5</v>
      </c>
      <c r="L54" s="716">
        <v>2819.4</v>
      </c>
    </row>
    <row r="55" spans="1:12" x14ac:dyDescent="0.3">
      <c r="A55" s="735" t="s">
        <v>858</v>
      </c>
      <c r="B55" s="715">
        <v>70.2</v>
      </c>
      <c r="C55" s="715">
        <v>39.200000000000003</v>
      </c>
      <c r="D55" s="715">
        <v>46.6</v>
      </c>
      <c r="E55" s="715">
        <v>43</v>
      </c>
      <c r="F55" s="715">
        <v>139.30000000000001</v>
      </c>
      <c r="G55" s="715">
        <v>156.30000000000001</v>
      </c>
      <c r="H55" s="715">
        <v>176.8</v>
      </c>
      <c r="I55" s="715">
        <v>282.89999999999998</v>
      </c>
      <c r="J55" s="715">
        <v>522.5</v>
      </c>
      <c r="K55" s="716">
        <v>1844</v>
      </c>
      <c r="L55" s="715">
        <v>745.3</v>
      </c>
    </row>
    <row r="56" spans="1:12" x14ac:dyDescent="0.3">
      <c r="A56" s="735" t="s">
        <v>859</v>
      </c>
      <c r="B56" s="715">
        <v>0</v>
      </c>
      <c r="C56" s="715">
        <v>0</v>
      </c>
      <c r="D56" s="715">
        <v>0.3</v>
      </c>
      <c r="E56" s="715">
        <v>0</v>
      </c>
      <c r="F56" s="715">
        <v>0</v>
      </c>
      <c r="G56" s="715">
        <v>0</v>
      </c>
      <c r="H56" s="715">
        <v>0</v>
      </c>
      <c r="I56" s="715">
        <v>0</v>
      </c>
      <c r="J56" s="715" t="s">
        <v>741</v>
      </c>
      <c r="K56" s="716">
        <v>1477.6</v>
      </c>
      <c r="L56" s="715" t="s">
        <v>741</v>
      </c>
    </row>
    <row r="57" spans="1:12" x14ac:dyDescent="0.3">
      <c r="A57" s="735" t="s">
        <v>860</v>
      </c>
      <c r="B57" s="715">
        <v>27</v>
      </c>
      <c r="C57" s="715">
        <v>30.5</v>
      </c>
      <c r="D57" s="715">
        <v>46.7</v>
      </c>
      <c r="E57" s="715">
        <v>90.1</v>
      </c>
      <c r="F57" s="715">
        <v>64.7</v>
      </c>
      <c r="G57" s="715">
        <v>17.399999999999999</v>
      </c>
      <c r="H57" s="715">
        <v>34.9</v>
      </c>
      <c r="I57" s="715">
        <v>28.4</v>
      </c>
      <c r="J57" s="715">
        <v>274.60000000000002</v>
      </c>
      <c r="K57" s="715">
        <v>333.8</v>
      </c>
      <c r="L57" s="716">
        <v>2074</v>
      </c>
    </row>
    <row r="58" spans="1:12" x14ac:dyDescent="0.3">
      <c r="A58" s="733" t="s">
        <v>861</v>
      </c>
      <c r="B58" s="711">
        <v>5765.3</v>
      </c>
      <c r="C58" s="711">
        <v>4840.7</v>
      </c>
      <c r="D58" s="711">
        <v>4160.8</v>
      </c>
      <c r="E58" s="711">
        <v>8116.1</v>
      </c>
      <c r="F58" s="711">
        <v>13031.9</v>
      </c>
      <c r="G58" s="711">
        <v>7962</v>
      </c>
      <c r="H58" s="711">
        <v>9072.4</v>
      </c>
      <c r="I58" s="711">
        <v>14735.4</v>
      </c>
      <c r="J58" s="711">
        <v>19843.7</v>
      </c>
      <c r="K58" s="711">
        <v>21007.8</v>
      </c>
      <c r="L58" s="711">
        <v>24965.4</v>
      </c>
    </row>
    <row r="59" spans="1:12" x14ac:dyDescent="0.3">
      <c r="A59" s="735" t="s">
        <v>862</v>
      </c>
      <c r="B59" s="716">
        <v>2419.6999999999998</v>
      </c>
      <c r="C59" s="716">
        <v>2805.2</v>
      </c>
      <c r="D59" s="716">
        <v>3631.1</v>
      </c>
      <c r="E59" s="716">
        <v>3397.5</v>
      </c>
      <c r="F59" s="716">
        <v>3667.6</v>
      </c>
      <c r="G59" s="716">
        <v>9159.6</v>
      </c>
      <c r="H59" s="716">
        <v>9433.7000000000007</v>
      </c>
      <c r="I59" s="716">
        <v>15966.7</v>
      </c>
      <c r="J59" s="716">
        <v>17087.599999999999</v>
      </c>
      <c r="K59" s="716">
        <v>22009.8</v>
      </c>
      <c r="L59" s="716">
        <v>19611.5</v>
      </c>
    </row>
    <row r="60" spans="1:12" x14ac:dyDescent="0.3">
      <c r="A60" s="735" t="s">
        <v>863</v>
      </c>
      <c r="B60" s="716">
        <v>2419.6999999999998</v>
      </c>
      <c r="C60" s="716">
        <v>2805.2</v>
      </c>
      <c r="D60" s="716">
        <v>3631.1</v>
      </c>
      <c r="E60" s="716">
        <v>3397.5</v>
      </c>
      <c r="F60" s="716">
        <v>3667.6</v>
      </c>
      <c r="G60" s="716">
        <v>7785.7</v>
      </c>
      <c r="H60" s="716">
        <v>8137.4</v>
      </c>
      <c r="I60" s="716">
        <v>14743</v>
      </c>
      <c r="J60" s="716">
        <v>15571.4</v>
      </c>
      <c r="K60" s="716">
        <v>19611.400000000001</v>
      </c>
      <c r="L60" s="716">
        <v>17431.5</v>
      </c>
    </row>
    <row r="61" spans="1:12" x14ac:dyDescent="0.3">
      <c r="A61" s="735" t="s">
        <v>864</v>
      </c>
      <c r="B61" s="715" t="s">
        <v>741</v>
      </c>
      <c r="C61" s="715" t="s">
        <v>741</v>
      </c>
      <c r="D61" s="715" t="s">
        <v>741</v>
      </c>
      <c r="E61" s="715" t="s">
        <v>741</v>
      </c>
      <c r="F61" s="715" t="s">
        <v>741</v>
      </c>
      <c r="G61" s="716">
        <v>1373.8</v>
      </c>
      <c r="H61" s="716">
        <v>1296.3</v>
      </c>
      <c r="I61" s="716">
        <v>1223.7</v>
      </c>
      <c r="J61" s="716">
        <v>1516.2</v>
      </c>
      <c r="K61" s="716">
        <v>2398.4</v>
      </c>
      <c r="L61" s="716">
        <v>2180</v>
      </c>
    </row>
    <row r="62" spans="1:12" x14ac:dyDescent="0.3">
      <c r="A62" s="735" t="s">
        <v>865</v>
      </c>
      <c r="B62" s="715">
        <v>661.9</v>
      </c>
      <c r="C62" s="715">
        <v>644.29999999999995</v>
      </c>
      <c r="D62" s="715">
        <v>400.5</v>
      </c>
      <c r="E62" s="715">
        <v>83.9</v>
      </c>
      <c r="F62" s="715">
        <v>106.5</v>
      </c>
      <c r="G62" s="715">
        <v>190.9</v>
      </c>
      <c r="H62" s="715">
        <v>758.7</v>
      </c>
      <c r="I62" s="716">
        <v>3453.3</v>
      </c>
      <c r="J62" s="716">
        <v>3649.7</v>
      </c>
      <c r="K62" s="716">
        <v>3808.8</v>
      </c>
      <c r="L62" s="716">
        <v>1362.5</v>
      </c>
    </row>
    <row r="63" spans="1:12" x14ac:dyDescent="0.3">
      <c r="A63" s="735" t="s">
        <v>866</v>
      </c>
      <c r="B63" s="715">
        <v>130.6</v>
      </c>
      <c r="C63" s="715">
        <v>87</v>
      </c>
      <c r="D63" s="715">
        <v>24.9</v>
      </c>
      <c r="E63" s="715">
        <v>0</v>
      </c>
      <c r="F63" s="715">
        <v>1.1000000000000001</v>
      </c>
      <c r="G63" s="715">
        <v>4.8</v>
      </c>
      <c r="H63" s="715">
        <v>296</v>
      </c>
      <c r="I63" s="716">
        <v>2716.8</v>
      </c>
      <c r="J63" s="716">
        <v>2976.4</v>
      </c>
      <c r="K63" s="716">
        <v>3228.8</v>
      </c>
      <c r="L63" s="715">
        <v>517.6</v>
      </c>
    </row>
    <row r="64" spans="1:12" x14ac:dyDescent="0.3">
      <c r="A64" s="735" t="s">
        <v>867</v>
      </c>
      <c r="B64" s="715">
        <v>465.4</v>
      </c>
      <c r="C64" s="715">
        <v>485</v>
      </c>
      <c r="D64" s="715">
        <v>306.5</v>
      </c>
      <c r="E64" s="715">
        <v>6.1</v>
      </c>
      <c r="F64" s="715">
        <v>5.4</v>
      </c>
      <c r="G64" s="715">
        <v>53.6</v>
      </c>
      <c r="H64" s="715">
        <v>2.7</v>
      </c>
      <c r="I64" s="715">
        <v>1.2</v>
      </c>
      <c r="J64" s="715">
        <v>70</v>
      </c>
      <c r="K64" s="715">
        <v>63.9</v>
      </c>
      <c r="L64" s="715">
        <v>68.099999999999994</v>
      </c>
    </row>
    <row r="65" spans="1:12" x14ac:dyDescent="0.3">
      <c r="A65" s="738" t="s">
        <v>868</v>
      </c>
      <c r="B65" s="719">
        <v>465.4</v>
      </c>
      <c r="C65" s="719">
        <v>485</v>
      </c>
      <c r="D65" s="719">
        <v>306.5</v>
      </c>
      <c r="E65" s="719">
        <v>6.1</v>
      </c>
      <c r="F65" s="719">
        <v>5.4</v>
      </c>
      <c r="G65" s="719">
        <v>53.6</v>
      </c>
      <c r="H65" s="719">
        <v>2.7</v>
      </c>
      <c r="I65" s="719">
        <v>1.2</v>
      </c>
      <c r="J65" s="719">
        <v>70</v>
      </c>
      <c r="K65" s="719">
        <v>63.9</v>
      </c>
      <c r="L65" s="719">
        <v>68.099999999999994</v>
      </c>
    </row>
    <row r="66" spans="1:12" x14ac:dyDescent="0.3">
      <c r="A66" s="738" t="s">
        <v>869</v>
      </c>
      <c r="B66" s="719">
        <v>0</v>
      </c>
      <c r="C66" s="719">
        <v>0</v>
      </c>
      <c r="D66" s="719">
        <v>0</v>
      </c>
      <c r="E66" s="719">
        <v>0</v>
      </c>
      <c r="F66" s="719">
        <v>0</v>
      </c>
      <c r="G66" s="719">
        <v>0</v>
      </c>
      <c r="H66" s="719">
        <v>0</v>
      </c>
      <c r="I66" s="719">
        <v>0</v>
      </c>
      <c r="J66" s="719">
        <v>0</v>
      </c>
      <c r="K66" s="719">
        <v>0</v>
      </c>
      <c r="L66" s="719">
        <v>0</v>
      </c>
    </row>
    <row r="67" spans="1:12" x14ac:dyDescent="0.3">
      <c r="A67" s="735" t="s">
        <v>858</v>
      </c>
      <c r="B67" s="715">
        <v>0</v>
      </c>
      <c r="C67" s="715">
        <v>0</v>
      </c>
      <c r="D67" s="715">
        <v>0</v>
      </c>
      <c r="E67" s="715">
        <v>4.9000000000000004</v>
      </c>
      <c r="F67" s="715">
        <v>4.9000000000000004</v>
      </c>
      <c r="G67" s="715">
        <v>4.9000000000000004</v>
      </c>
      <c r="H67" s="715">
        <v>4.9000000000000004</v>
      </c>
      <c r="I67" s="715">
        <v>0</v>
      </c>
      <c r="J67" s="715">
        <v>0</v>
      </c>
      <c r="K67" s="715">
        <v>14</v>
      </c>
      <c r="L67" s="715">
        <v>0</v>
      </c>
    </row>
    <row r="68" spans="1:12" x14ac:dyDescent="0.3">
      <c r="A68" s="735" t="s">
        <v>870</v>
      </c>
      <c r="B68" s="715">
        <v>3.5</v>
      </c>
      <c r="C68" s="715">
        <v>7.6</v>
      </c>
      <c r="D68" s="715">
        <v>4.7</v>
      </c>
      <c r="E68" s="715">
        <v>5.6</v>
      </c>
      <c r="F68" s="715">
        <v>6.6</v>
      </c>
      <c r="G68" s="715">
        <v>15.7</v>
      </c>
      <c r="H68" s="715">
        <v>266.60000000000002</v>
      </c>
      <c r="I68" s="715">
        <v>628</v>
      </c>
      <c r="J68" s="715">
        <v>382.5</v>
      </c>
      <c r="K68" s="715">
        <v>114.4</v>
      </c>
      <c r="L68" s="715">
        <v>217.9</v>
      </c>
    </row>
    <row r="69" spans="1:12" x14ac:dyDescent="0.3">
      <c r="A69" s="735" t="s">
        <v>859</v>
      </c>
      <c r="B69" s="715">
        <v>0.7</v>
      </c>
      <c r="C69" s="715">
        <v>0.7</v>
      </c>
      <c r="D69" s="715">
        <v>0</v>
      </c>
      <c r="E69" s="715">
        <v>0</v>
      </c>
      <c r="F69" s="715">
        <v>0</v>
      </c>
      <c r="G69" s="715">
        <v>15.5</v>
      </c>
      <c r="H69" s="715">
        <v>84.7</v>
      </c>
      <c r="I69" s="715" t="s">
        <v>741</v>
      </c>
      <c r="J69" s="715" t="s">
        <v>741</v>
      </c>
      <c r="K69" s="715">
        <v>1.4</v>
      </c>
      <c r="L69" s="715" t="s">
        <v>741</v>
      </c>
    </row>
    <row r="70" spans="1:12" x14ac:dyDescent="0.3">
      <c r="A70" s="735" t="s">
        <v>871</v>
      </c>
      <c r="B70" s="715">
        <v>61.8</v>
      </c>
      <c r="C70" s="715">
        <v>64</v>
      </c>
      <c r="D70" s="715">
        <v>64.400000000000006</v>
      </c>
      <c r="E70" s="715">
        <v>67.400000000000006</v>
      </c>
      <c r="F70" s="715">
        <v>88.5</v>
      </c>
      <c r="G70" s="715">
        <v>96.4</v>
      </c>
      <c r="H70" s="715">
        <v>103.8</v>
      </c>
      <c r="I70" s="715">
        <v>107.3</v>
      </c>
      <c r="J70" s="715">
        <v>220.9</v>
      </c>
      <c r="K70" s="715">
        <v>386.3</v>
      </c>
      <c r="L70" s="715">
        <v>559</v>
      </c>
    </row>
    <row r="71" spans="1:12" x14ac:dyDescent="0.3">
      <c r="A71" s="733" t="s">
        <v>872</v>
      </c>
      <c r="B71" s="711">
        <v>3081.7</v>
      </c>
      <c r="C71" s="711">
        <v>3449.5</v>
      </c>
      <c r="D71" s="711">
        <v>4031.6</v>
      </c>
      <c r="E71" s="711">
        <v>3481.4</v>
      </c>
      <c r="F71" s="711">
        <v>3774.2</v>
      </c>
      <c r="G71" s="711">
        <v>9350.5</v>
      </c>
      <c r="H71" s="711">
        <v>10192.4</v>
      </c>
      <c r="I71" s="711">
        <v>19420.099999999999</v>
      </c>
      <c r="J71" s="711">
        <v>20737.3</v>
      </c>
      <c r="K71" s="711">
        <v>25818.6</v>
      </c>
      <c r="L71" s="711">
        <v>20974.1</v>
      </c>
    </row>
    <row r="72" spans="1:12" x14ac:dyDescent="0.3">
      <c r="A72" s="733" t="s">
        <v>458</v>
      </c>
      <c r="B72" s="711">
        <v>8847</v>
      </c>
      <c r="C72" s="711">
        <v>8290.2000000000007</v>
      </c>
      <c r="D72" s="711">
        <v>8192.5</v>
      </c>
      <c r="E72" s="711">
        <v>11597.5</v>
      </c>
      <c r="F72" s="711">
        <v>16806</v>
      </c>
      <c r="G72" s="711">
        <v>17312.5</v>
      </c>
      <c r="H72" s="711">
        <v>19264.8</v>
      </c>
      <c r="I72" s="711">
        <v>34155.5</v>
      </c>
      <c r="J72" s="711">
        <v>40581</v>
      </c>
      <c r="K72" s="711">
        <v>46826.400000000001</v>
      </c>
      <c r="L72" s="711">
        <v>45939.5</v>
      </c>
    </row>
    <row r="73" spans="1:12" x14ac:dyDescent="0.3">
      <c r="A73" s="735" t="s">
        <v>873</v>
      </c>
      <c r="B73" s="715">
        <v>0</v>
      </c>
      <c r="C73" s="715">
        <v>0</v>
      </c>
      <c r="D73" s="715">
        <v>0</v>
      </c>
      <c r="E73" s="715">
        <v>0</v>
      </c>
      <c r="F73" s="715">
        <v>0</v>
      </c>
      <c r="G73" s="715">
        <v>0</v>
      </c>
      <c r="H73" s="715">
        <v>0</v>
      </c>
      <c r="I73" s="715">
        <v>0</v>
      </c>
      <c r="J73" s="715">
        <v>0</v>
      </c>
      <c r="K73" s="715">
        <v>0</v>
      </c>
      <c r="L73" s="715">
        <v>0</v>
      </c>
    </row>
    <row r="74" spans="1:12" x14ac:dyDescent="0.3">
      <c r="A74" s="735" t="s">
        <v>874</v>
      </c>
      <c r="B74" s="716">
        <v>7801.4</v>
      </c>
      <c r="C74" s="716">
        <v>7801.4</v>
      </c>
      <c r="D74" s="716">
        <v>7801.4</v>
      </c>
      <c r="E74" s="716">
        <v>7801.4</v>
      </c>
      <c r="F74" s="716">
        <v>7801.4</v>
      </c>
      <c r="G74" s="716">
        <v>7801.4</v>
      </c>
      <c r="H74" s="716">
        <v>7801.4</v>
      </c>
      <c r="I74" s="716">
        <v>7992.3</v>
      </c>
      <c r="J74" s="716">
        <v>7993.8</v>
      </c>
      <c r="K74" s="716">
        <v>8030.2</v>
      </c>
      <c r="L74" s="716">
        <v>8144.8</v>
      </c>
    </row>
    <row r="75" spans="1:12" x14ac:dyDescent="0.3">
      <c r="A75" s="735" t="s">
        <v>875</v>
      </c>
      <c r="B75" s="716">
        <v>3657.7</v>
      </c>
      <c r="C75" s="716">
        <v>3657.7</v>
      </c>
      <c r="D75" s="716">
        <v>3657.7</v>
      </c>
      <c r="E75" s="716">
        <v>3657.7</v>
      </c>
      <c r="F75" s="716">
        <v>3657.7</v>
      </c>
      <c r="G75" s="716">
        <v>3657.7</v>
      </c>
      <c r="H75" s="716">
        <v>3657.7</v>
      </c>
      <c r="I75" s="716">
        <v>3657.7</v>
      </c>
      <c r="J75" s="716">
        <v>3657.7</v>
      </c>
      <c r="K75" s="716">
        <v>3657.7</v>
      </c>
      <c r="L75" s="716">
        <v>3657.7</v>
      </c>
    </row>
    <row r="76" spans="1:12" x14ac:dyDescent="0.3">
      <c r="A76" s="735" t="s">
        <v>876</v>
      </c>
      <c r="B76" s="716">
        <v>3625.8</v>
      </c>
      <c r="C76" s="716">
        <v>3625.8</v>
      </c>
      <c r="D76" s="716">
        <v>3625.8</v>
      </c>
      <c r="E76" s="716">
        <v>3625.8</v>
      </c>
      <c r="F76" s="716">
        <v>3625.8</v>
      </c>
      <c r="G76" s="716">
        <v>3625.8</v>
      </c>
      <c r="H76" s="716">
        <v>3625.8</v>
      </c>
      <c r="I76" s="716">
        <v>3625.8</v>
      </c>
      <c r="J76" s="716">
        <v>3625.8</v>
      </c>
      <c r="K76" s="716">
        <v>3625.8</v>
      </c>
      <c r="L76" s="716">
        <v>3625.8</v>
      </c>
    </row>
    <row r="77" spans="1:12" x14ac:dyDescent="0.3">
      <c r="A77" s="735" t="s">
        <v>877</v>
      </c>
      <c r="B77" s="715">
        <v>517.9</v>
      </c>
      <c r="C77" s="715">
        <v>517.9</v>
      </c>
      <c r="D77" s="715">
        <v>517.9</v>
      </c>
      <c r="E77" s="715">
        <v>517.9</v>
      </c>
      <c r="F77" s="715">
        <v>517.9</v>
      </c>
      <c r="G77" s="715">
        <v>517.9</v>
      </c>
      <c r="H77" s="715">
        <v>517.9</v>
      </c>
      <c r="I77" s="715">
        <v>708.8</v>
      </c>
      <c r="J77" s="715">
        <v>710.4</v>
      </c>
      <c r="K77" s="715">
        <v>746.8</v>
      </c>
      <c r="L77" s="715">
        <v>861.3</v>
      </c>
    </row>
    <row r="78" spans="1:12" x14ac:dyDescent="0.3">
      <c r="A78" s="735" t="s">
        <v>878</v>
      </c>
      <c r="B78" s="715">
        <v>0</v>
      </c>
      <c r="C78" s="715">
        <v>771.9</v>
      </c>
      <c r="D78" s="715">
        <v>771.9</v>
      </c>
      <c r="E78" s="715">
        <v>771.9</v>
      </c>
      <c r="F78" s="716">
        <v>2508.4</v>
      </c>
      <c r="G78" s="716">
        <v>2508.4</v>
      </c>
      <c r="H78" s="716">
        <v>2508.4</v>
      </c>
      <c r="I78" s="716">
        <v>2302.1</v>
      </c>
      <c r="J78" s="716">
        <v>2300.4</v>
      </c>
      <c r="K78" s="716">
        <v>2272.6</v>
      </c>
      <c r="L78" s="716">
        <v>2221.3000000000002</v>
      </c>
    </row>
    <row r="79" spans="1:12" x14ac:dyDescent="0.3">
      <c r="A79" s="735" t="s">
        <v>879</v>
      </c>
      <c r="B79" s="716">
        <v>10276.9</v>
      </c>
      <c r="C79" s="716">
        <v>14359</v>
      </c>
      <c r="D79" s="716">
        <v>17066.599999999999</v>
      </c>
      <c r="E79" s="716">
        <v>27287.3</v>
      </c>
      <c r="F79" s="716">
        <v>42033.599999999999</v>
      </c>
      <c r="G79" s="716">
        <v>42923.4</v>
      </c>
      <c r="H79" s="716">
        <v>46995.7</v>
      </c>
      <c r="I79" s="716">
        <v>55784.1</v>
      </c>
      <c r="J79" s="716">
        <v>56685.3</v>
      </c>
      <c r="K79" s="716">
        <v>46729.3</v>
      </c>
      <c r="L79" s="716">
        <v>65418.1</v>
      </c>
    </row>
    <row r="80" spans="1:12" x14ac:dyDescent="0.3">
      <c r="A80" s="735" t="s">
        <v>880</v>
      </c>
      <c r="B80" s="715">
        <v>-41.8</v>
      </c>
      <c r="C80" s="715">
        <v>-1.6</v>
      </c>
      <c r="D80" s="715">
        <v>-79.099999999999994</v>
      </c>
      <c r="E80" s="715">
        <v>-501.5</v>
      </c>
      <c r="F80" s="715">
        <v>-480.8</v>
      </c>
      <c r="G80" s="715">
        <v>-295.2</v>
      </c>
      <c r="H80" s="715">
        <v>-400.1</v>
      </c>
      <c r="I80" s="715">
        <v>682.8</v>
      </c>
      <c r="J80" s="715">
        <v>887.7</v>
      </c>
      <c r="K80" s="716">
        <v>1017.4</v>
      </c>
      <c r="L80" s="716">
        <v>2561.8000000000002</v>
      </c>
    </row>
    <row r="81" spans="1:12" x14ac:dyDescent="0.3">
      <c r="A81" s="733" t="s">
        <v>881</v>
      </c>
      <c r="B81" s="711">
        <v>18036.5</v>
      </c>
      <c r="C81" s="711">
        <v>21386.9</v>
      </c>
      <c r="D81" s="711">
        <v>24017</v>
      </c>
      <c r="E81" s="711">
        <v>33815.300000000003</v>
      </c>
      <c r="F81" s="711">
        <v>46845.7</v>
      </c>
      <c r="G81" s="711">
        <v>47921.1</v>
      </c>
      <c r="H81" s="711">
        <v>51888.5</v>
      </c>
      <c r="I81" s="711">
        <v>62157.1</v>
      </c>
      <c r="J81" s="711">
        <v>63266.400000000001</v>
      </c>
      <c r="K81" s="711">
        <v>53504.3</v>
      </c>
      <c r="L81" s="711">
        <v>73903.399999999994</v>
      </c>
    </row>
    <row r="82" spans="1:12" x14ac:dyDescent="0.3">
      <c r="A82" s="735" t="s">
        <v>882</v>
      </c>
      <c r="B82" s="715">
        <v>-0.2</v>
      </c>
      <c r="C82" s="715">
        <v>0.8</v>
      </c>
      <c r="D82" s="715">
        <v>6.6</v>
      </c>
      <c r="E82" s="715">
        <v>5.6</v>
      </c>
      <c r="F82" s="715">
        <v>6.6</v>
      </c>
      <c r="G82" s="715">
        <v>14.8</v>
      </c>
      <c r="H82" s="715">
        <v>20.6</v>
      </c>
      <c r="I82" s="715">
        <v>34</v>
      </c>
      <c r="J82" s="715">
        <v>24.2</v>
      </c>
      <c r="K82" s="715">
        <v>-0.5</v>
      </c>
      <c r="L82" s="715">
        <v>12.3</v>
      </c>
    </row>
    <row r="83" spans="1:12" x14ac:dyDescent="0.3">
      <c r="A83" s="733" t="s">
        <v>883</v>
      </c>
      <c r="B83" s="711">
        <v>18036.3</v>
      </c>
      <c r="C83" s="711">
        <v>21387.7</v>
      </c>
      <c r="D83" s="711">
        <v>24023.5</v>
      </c>
      <c r="E83" s="711">
        <v>33820.9</v>
      </c>
      <c r="F83" s="711">
        <v>46852.3</v>
      </c>
      <c r="G83" s="711">
        <v>47935.9</v>
      </c>
      <c r="H83" s="711">
        <v>51909.1</v>
      </c>
      <c r="I83" s="711">
        <v>62191.1</v>
      </c>
      <c r="J83" s="711">
        <v>63290.5</v>
      </c>
      <c r="K83" s="711">
        <v>53503.8</v>
      </c>
      <c r="L83" s="711">
        <v>73915.7</v>
      </c>
    </row>
    <row r="84" spans="1:12" x14ac:dyDescent="0.3">
      <c r="A84" s="733" t="s">
        <v>884</v>
      </c>
      <c r="B84" s="711">
        <v>26883.3</v>
      </c>
      <c r="C84" s="711">
        <v>29677.9</v>
      </c>
      <c r="D84" s="711">
        <v>32216</v>
      </c>
      <c r="E84" s="711">
        <v>45418.5</v>
      </c>
      <c r="F84" s="711">
        <v>63658.3</v>
      </c>
      <c r="G84" s="711">
        <v>65248.4</v>
      </c>
      <c r="H84" s="711">
        <v>71173.899999999994</v>
      </c>
      <c r="I84" s="711">
        <v>96346.5</v>
      </c>
      <c r="J84" s="711">
        <v>103871.5</v>
      </c>
      <c r="K84" s="711">
        <v>100330.2</v>
      </c>
      <c r="L84" s="711">
        <v>119855.2</v>
      </c>
    </row>
    <row r="85" spans="1:12" x14ac:dyDescent="0.3">
      <c r="A85" s="733" t="s">
        <v>642</v>
      </c>
      <c r="B85" s="710" t="s">
        <v>642</v>
      </c>
      <c r="C85" s="710" t="s">
        <v>642</v>
      </c>
      <c r="D85" s="710" t="s">
        <v>642</v>
      </c>
      <c r="E85" s="710" t="s">
        <v>642</v>
      </c>
      <c r="F85" s="710" t="s">
        <v>642</v>
      </c>
      <c r="G85" s="710" t="s">
        <v>642</v>
      </c>
      <c r="H85" s="710" t="s">
        <v>642</v>
      </c>
      <c r="I85" s="710" t="s">
        <v>642</v>
      </c>
      <c r="J85" s="710" t="s">
        <v>642</v>
      </c>
      <c r="K85" s="710" t="s">
        <v>642</v>
      </c>
      <c r="L85" s="710" t="s">
        <v>642</v>
      </c>
    </row>
    <row r="86" spans="1:12" x14ac:dyDescent="0.3">
      <c r="A86" s="733" t="s">
        <v>799</v>
      </c>
      <c r="B86" s="710" t="s">
        <v>642</v>
      </c>
      <c r="C86" s="710" t="s">
        <v>642</v>
      </c>
      <c r="D86" s="710" t="s">
        <v>642</v>
      </c>
      <c r="E86" s="710" t="s">
        <v>642</v>
      </c>
      <c r="F86" s="710" t="s">
        <v>642</v>
      </c>
      <c r="G86" s="710" t="s">
        <v>642</v>
      </c>
      <c r="H86" s="710" t="s">
        <v>642</v>
      </c>
      <c r="I86" s="710" t="s">
        <v>642</v>
      </c>
      <c r="J86" s="710" t="s">
        <v>642</v>
      </c>
      <c r="K86" s="710" t="s">
        <v>642</v>
      </c>
      <c r="L86" s="710" t="s">
        <v>642</v>
      </c>
    </row>
    <row r="87" spans="1:12" x14ac:dyDescent="0.3">
      <c r="A87" s="735" t="s">
        <v>800</v>
      </c>
      <c r="B87" s="715" t="s">
        <v>801</v>
      </c>
      <c r="C87" s="715" t="s">
        <v>801</v>
      </c>
      <c r="D87" s="715" t="s">
        <v>801</v>
      </c>
      <c r="E87" s="715" t="s">
        <v>801</v>
      </c>
      <c r="F87" s="715" t="s">
        <v>801</v>
      </c>
      <c r="G87" s="715" t="s">
        <v>801</v>
      </c>
      <c r="H87" s="715" t="s">
        <v>801</v>
      </c>
      <c r="I87" s="715" t="s">
        <v>801</v>
      </c>
      <c r="J87" s="715" t="s">
        <v>801</v>
      </c>
      <c r="K87" s="715" t="s">
        <v>801</v>
      </c>
      <c r="L87" s="715" t="s">
        <v>801</v>
      </c>
    </row>
    <row r="88" spans="1:12" x14ac:dyDescent="0.3">
      <c r="A88" s="735" t="s">
        <v>885</v>
      </c>
      <c r="B88" s="715">
        <v>728</v>
      </c>
      <c r="C88" s="715">
        <v>709.5</v>
      </c>
      <c r="D88" s="715">
        <v>709.5</v>
      </c>
      <c r="E88" s="715">
        <v>706</v>
      </c>
      <c r="F88" s="715">
        <v>687.5</v>
      </c>
      <c r="G88" s="715">
        <v>687.5</v>
      </c>
      <c r="H88" s="715">
        <v>687.5</v>
      </c>
      <c r="I88" s="715">
        <v>687.6</v>
      </c>
      <c r="J88" s="715">
        <v>687.7</v>
      </c>
      <c r="K88" s="715">
        <v>688.1</v>
      </c>
      <c r="L88" s="715">
        <v>689</v>
      </c>
    </row>
    <row r="89" spans="1:12" x14ac:dyDescent="0.3">
      <c r="A89" s="735" t="s">
        <v>886</v>
      </c>
      <c r="B89" s="715">
        <v>465.4</v>
      </c>
      <c r="C89" s="715">
        <v>485</v>
      </c>
      <c r="D89" s="715">
        <v>306.5</v>
      </c>
      <c r="E89" s="715">
        <v>6.1</v>
      </c>
      <c r="F89" s="715">
        <v>5.4</v>
      </c>
      <c r="G89" s="715">
        <v>53.6</v>
      </c>
      <c r="H89" s="715">
        <v>2.7</v>
      </c>
      <c r="I89" s="715">
        <v>1.2</v>
      </c>
      <c r="J89" s="715">
        <v>70</v>
      </c>
      <c r="K89" s="715">
        <v>63.9</v>
      </c>
      <c r="L89" s="715">
        <v>68.099999999999994</v>
      </c>
    </row>
    <row r="90" spans="1:12" x14ac:dyDescent="0.3">
      <c r="A90" s="735" t="s">
        <v>887</v>
      </c>
      <c r="B90" s="715">
        <v>191.3</v>
      </c>
      <c r="C90" s="715">
        <v>322</v>
      </c>
      <c r="D90" s="715">
        <v>361.1</v>
      </c>
      <c r="E90" s="715">
        <v>358.5</v>
      </c>
      <c r="F90" s="715">
        <v>313.39999999999998</v>
      </c>
      <c r="G90" s="715" t="s">
        <v>741</v>
      </c>
      <c r="H90" s="715" t="s">
        <v>741</v>
      </c>
      <c r="I90" s="715" t="s">
        <v>741</v>
      </c>
      <c r="J90" s="715" t="s">
        <v>741</v>
      </c>
      <c r="K90" s="715" t="s">
        <v>741</v>
      </c>
      <c r="L90" s="715" t="s">
        <v>741</v>
      </c>
    </row>
    <row r="91" spans="1:12" x14ac:dyDescent="0.3">
      <c r="A91" s="735" t="s">
        <v>888</v>
      </c>
      <c r="B91" s="716">
        <v>183842</v>
      </c>
      <c r="C91" s="716">
        <v>252544</v>
      </c>
      <c r="D91" s="715" t="s">
        <v>741</v>
      </c>
      <c r="E91" s="716">
        <v>312929</v>
      </c>
      <c r="F91" s="716">
        <v>309676</v>
      </c>
      <c r="G91" s="715" t="s">
        <v>741</v>
      </c>
      <c r="H91" s="716">
        <v>431640</v>
      </c>
      <c r="I91" s="716">
        <v>876611</v>
      </c>
      <c r="J91" s="716">
        <v>1007093</v>
      </c>
      <c r="K91" s="716">
        <v>587785</v>
      </c>
      <c r="L91" s="716">
        <v>780876</v>
      </c>
    </row>
    <row r="92" spans="1:12" x14ac:dyDescent="0.3">
      <c r="A92" s="735" t="s">
        <v>889</v>
      </c>
      <c r="B92" s="715">
        <v>0</v>
      </c>
      <c r="C92" s="715">
        <v>0</v>
      </c>
      <c r="D92" s="715" t="s">
        <v>741</v>
      </c>
      <c r="E92" s="715">
        <v>0.3</v>
      </c>
      <c r="F92" s="715">
        <v>0.3</v>
      </c>
      <c r="G92" s="715">
        <v>0.2</v>
      </c>
      <c r="H92" s="715">
        <v>0.1</v>
      </c>
      <c r="I92" s="715">
        <v>0.1</v>
      </c>
      <c r="J92" s="715">
        <v>0.2</v>
      </c>
      <c r="K92" s="715" t="s">
        <v>741</v>
      </c>
      <c r="L92" s="715" t="s">
        <v>741</v>
      </c>
    </row>
    <row r="93" spans="1:12" x14ac:dyDescent="0.3">
      <c r="A93" s="735" t="s">
        <v>890</v>
      </c>
      <c r="B93" s="715">
        <v>0</v>
      </c>
      <c r="C93" s="715">
        <v>0</v>
      </c>
      <c r="D93" s="715" t="s">
        <v>741</v>
      </c>
      <c r="E93" s="715">
        <v>0.3</v>
      </c>
      <c r="F93" s="715">
        <v>0.3</v>
      </c>
      <c r="G93" s="715">
        <v>0.5</v>
      </c>
      <c r="H93" s="715">
        <v>0.6</v>
      </c>
      <c r="I93" s="715">
        <v>0.6</v>
      </c>
      <c r="J93" s="715">
        <v>0.7</v>
      </c>
      <c r="K93" s="715">
        <v>0.4</v>
      </c>
      <c r="L93" s="715">
        <v>0.2</v>
      </c>
    </row>
    <row r="94" spans="1:12" x14ac:dyDescent="0.3">
      <c r="A94" s="735" t="s">
        <v>632</v>
      </c>
      <c r="B94" s="715">
        <v>120</v>
      </c>
      <c r="C94" s="715">
        <v>-972.7</v>
      </c>
      <c r="D94" s="715">
        <v>200.3</v>
      </c>
      <c r="E94" s="716">
        <v>-4383.3999999999996</v>
      </c>
      <c r="F94" s="716">
        <v>-3087.4</v>
      </c>
      <c r="G94" s="716">
        <v>8195.7999999999993</v>
      </c>
      <c r="H94" s="716">
        <v>7947.1</v>
      </c>
      <c r="I94" s="716">
        <v>10477</v>
      </c>
      <c r="J94" s="716">
        <v>18382.7</v>
      </c>
      <c r="K94" s="716">
        <v>23577.599999999999</v>
      </c>
      <c r="L94" s="716">
        <v>11295.7</v>
      </c>
    </row>
    <row r="95" spans="1:12" x14ac:dyDescent="0.3">
      <c r="A95" s="735" t="s">
        <v>891</v>
      </c>
      <c r="B95" s="715">
        <v>0.67</v>
      </c>
      <c r="C95" s="715">
        <v>-4.55</v>
      </c>
      <c r="D95" s="715">
        <v>0.83</v>
      </c>
      <c r="E95" s="715">
        <v>-12.96</v>
      </c>
      <c r="F95" s="715">
        <v>-6.59</v>
      </c>
      <c r="G95" s="715">
        <v>17.100000000000001</v>
      </c>
      <c r="H95" s="715">
        <v>15.31</v>
      </c>
      <c r="I95" s="715">
        <v>16.850000000000001</v>
      </c>
      <c r="J95" s="715">
        <v>29.04</v>
      </c>
      <c r="K95" s="715">
        <v>44.07</v>
      </c>
      <c r="L95" s="715">
        <v>15.28</v>
      </c>
    </row>
    <row r="96" spans="1:12" x14ac:dyDescent="0.3">
      <c r="A96" s="735" t="s">
        <v>892</v>
      </c>
      <c r="B96" s="715">
        <v>65.37</v>
      </c>
      <c r="C96" s="715">
        <v>70.36</v>
      </c>
      <c r="D96" s="715">
        <v>72.94</v>
      </c>
      <c r="E96" s="715">
        <v>73.12</v>
      </c>
      <c r="F96" s="715">
        <v>72.430000000000007</v>
      </c>
      <c r="G96" s="715">
        <v>72.349999999999994</v>
      </c>
      <c r="H96" s="715">
        <v>71.540000000000006</v>
      </c>
      <c r="I96" s="715">
        <v>62.65</v>
      </c>
      <c r="J96" s="715">
        <v>59.54</v>
      </c>
      <c r="K96" s="715">
        <v>51.47</v>
      </c>
      <c r="L96" s="715">
        <v>60.33</v>
      </c>
    </row>
    <row r="97" spans="1:12" x14ac:dyDescent="0.3">
      <c r="A97" s="735" t="s">
        <v>54</v>
      </c>
      <c r="B97" s="715">
        <v>1.8</v>
      </c>
      <c r="C97" s="715">
        <v>2.02</v>
      </c>
      <c r="D97" s="715">
        <v>2.36</v>
      </c>
      <c r="E97" s="715">
        <v>2.13</v>
      </c>
      <c r="F97" s="715">
        <v>1.53</v>
      </c>
      <c r="G97" s="715">
        <v>1.82</v>
      </c>
      <c r="H97" s="715">
        <v>1.83</v>
      </c>
      <c r="I97" s="715">
        <v>1.83</v>
      </c>
      <c r="J97" s="715">
        <v>1.45</v>
      </c>
      <c r="K97" s="715">
        <v>1.45</v>
      </c>
      <c r="L97" s="715">
        <v>1.69</v>
      </c>
    </row>
    <row r="98" spans="1:12" x14ac:dyDescent="0.3">
      <c r="A98" s="735" t="s">
        <v>64</v>
      </c>
      <c r="B98" s="715">
        <v>85.28</v>
      </c>
      <c r="C98" s="715">
        <v>94.79</v>
      </c>
      <c r="D98" s="715">
        <v>104.58</v>
      </c>
      <c r="E98" s="715">
        <v>100.48</v>
      </c>
      <c r="F98" s="715">
        <v>118.53</v>
      </c>
      <c r="G98" s="715">
        <v>145.97</v>
      </c>
      <c r="H98" s="715">
        <v>134.51</v>
      </c>
      <c r="I98" s="715">
        <v>154.18</v>
      </c>
      <c r="J98" s="715">
        <v>191.84</v>
      </c>
      <c r="K98" s="715">
        <v>201.74</v>
      </c>
      <c r="L98" s="715">
        <v>174.87</v>
      </c>
    </row>
    <row r="99" spans="1:12" x14ac:dyDescent="0.3">
      <c r="A99" s="741" t="s">
        <v>811</v>
      </c>
      <c r="B99" s="724"/>
      <c r="C99" s="724"/>
      <c r="D99" s="723" t="s">
        <v>642</v>
      </c>
      <c r="E99" s="723" t="s">
        <v>642</v>
      </c>
      <c r="F99" s="723" t="s">
        <v>642</v>
      </c>
      <c r="G99" s="723" t="s">
        <v>642</v>
      </c>
      <c r="H99" s="723" t="s">
        <v>642</v>
      </c>
      <c r="I99" s="723" t="s">
        <v>642</v>
      </c>
      <c r="J99" s="723" t="s">
        <v>642</v>
      </c>
      <c r="K99" s="723" t="s">
        <v>642</v>
      </c>
      <c r="L99" s="723" t="s">
        <v>642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79998168889431442"/>
  </sheetPr>
  <dimension ref="A1:AB70"/>
  <sheetViews>
    <sheetView zoomScaleNormal="100" zoomScaleSheetLayoutView="100" workbookViewId="0"/>
  </sheetViews>
  <sheetFormatPr defaultRowHeight="14" x14ac:dyDescent="0.3"/>
  <cols>
    <col min="1" max="1" width="36" bestFit="1" customWidth="1"/>
    <col min="2" max="4" width="8" bestFit="1" customWidth="1"/>
    <col min="5" max="13" width="9" bestFit="1" customWidth="1"/>
  </cols>
  <sheetData>
    <row r="1" spans="1:28" ht="14.5" x14ac:dyDescent="0.35">
      <c r="A1" s="725" t="s">
        <v>642</v>
      </c>
      <c r="B1" s="701" t="s">
        <v>642</v>
      </c>
      <c r="C1" s="701" t="s">
        <v>642</v>
      </c>
      <c r="D1" s="701" t="s">
        <v>642</v>
      </c>
      <c r="E1" s="701" t="s">
        <v>642</v>
      </c>
      <c r="F1" s="701" t="s">
        <v>642</v>
      </c>
      <c r="G1" s="701" t="s">
        <v>642</v>
      </c>
      <c r="H1" s="701" t="s">
        <v>642</v>
      </c>
      <c r="I1" s="701" t="s">
        <v>642</v>
      </c>
      <c r="J1" s="701" t="s">
        <v>642</v>
      </c>
      <c r="K1" s="701" t="s">
        <v>642</v>
      </c>
      <c r="L1" s="701" t="s">
        <v>642</v>
      </c>
      <c r="M1" s="701" t="s">
        <v>642</v>
      </c>
    </row>
    <row r="2" spans="1:28" ht="40" x14ac:dyDescent="0.4">
      <c r="A2" s="726" t="s">
        <v>813</v>
      </c>
      <c r="B2" s="703"/>
      <c r="C2" s="702" t="s">
        <v>642</v>
      </c>
      <c r="D2" s="702" t="s">
        <v>642</v>
      </c>
      <c r="E2" s="702" t="s">
        <v>642</v>
      </c>
      <c r="F2" s="702" t="s">
        <v>642</v>
      </c>
      <c r="G2" s="702" t="s">
        <v>642</v>
      </c>
      <c r="H2" s="702" t="s">
        <v>642</v>
      </c>
      <c r="I2" s="702" t="s">
        <v>642</v>
      </c>
      <c r="J2" s="702" t="s">
        <v>642</v>
      </c>
      <c r="K2" s="702" t="s">
        <v>642</v>
      </c>
      <c r="L2" s="702" t="s">
        <v>642</v>
      </c>
      <c r="M2" s="702" t="s">
        <v>642</v>
      </c>
      <c r="N2" s="702" t="s">
        <v>642</v>
      </c>
    </row>
    <row r="3" spans="1:28" x14ac:dyDescent="0.3">
      <c r="A3" s="728" t="s">
        <v>642</v>
      </c>
      <c r="B3" s="704" t="s">
        <v>642</v>
      </c>
      <c r="C3" s="704" t="s">
        <v>642</v>
      </c>
      <c r="D3" s="704" t="s">
        <v>642</v>
      </c>
      <c r="E3" s="704" t="s">
        <v>642</v>
      </c>
      <c r="F3" s="704" t="s">
        <v>642</v>
      </c>
      <c r="G3" s="704" t="s">
        <v>642</v>
      </c>
      <c r="H3" s="704" t="s">
        <v>642</v>
      </c>
      <c r="I3" s="704" t="s">
        <v>642</v>
      </c>
      <c r="J3" s="704" t="s">
        <v>642</v>
      </c>
      <c r="K3" s="704" t="s">
        <v>642</v>
      </c>
      <c r="L3" s="704" t="s">
        <v>642</v>
      </c>
      <c r="M3" s="704" t="s">
        <v>642</v>
      </c>
    </row>
    <row r="4" spans="1:28" x14ac:dyDescent="0.3">
      <c r="A4" s="729" t="s">
        <v>723</v>
      </c>
      <c r="B4" s="706" t="s">
        <v>724</v>
      </c>
      <c r="C4" s="706" t="s">
        <v>725</v>
      </c>
      <c r="D4" s="706" t="s">
        <v>726</v>
      </c>
      <c r="E4" s="706" t="s">
        <v>727</v>
      </c>
      <c r="F4" s="706" t="s">
        <v>728</v>
      </c>
      <c r="G4" s="706" t="s">
        <v>729</v>
      </c>
      <c r="H4" s="706" t="s">
        <v>730</v>
      </c>
      <c r="I4" s="706" t="s">
        <v>731</v>
      </c>
      <c r="J4" s="706" t="s">
        <v>732</v>
      </c>
      <c r="K4" s="706" t="s">
        <v>733</v>
      </c>
      <c r="L4" s="706" t="s">
        <v>734</v>
      </c>
      <c r="M4" s="706" t="s">
        <v>735</v>
      </c>
    </row>
    <row r="5" spans="1:28" x14ac:dyDescent="0.3">
      <c r="A5" s="731" t="s">
        <v>738</v>
      </c>
      <c r="B5" s="709">
        <v>42004</v>
      </c>
      <c r="C5" s="709">
        <v>42369</v>
      </c>
      <c r="D5" s="709">
        <v>42735</v>
      </c>
      <c r="E5" s="709">
        <v>43100</v>
      </c>
      <c r="F5" s="709">
        <v>43465</v>
      </c>
      <c r="G5" s="709">
        <v>43830</v>
      </c>
      <c r="H5" s="709">
        <v>44196</v>
      </c>
      <c r="I5" s="709">
        <v>44561</v>
      </c>
      <c r="J5" s="709">
        <v>44926</v>
      </c>
      <c r="K5" s="709">
        <v>45291</v>
      </c>
      <c r="L5" s="709">
        <v>45657</v>
      </c>
      <c r="M5" s="709">
        <v>45657</v>
      </c>
    </row>
    <row r="6" spans="1:28" x14ac:dyDescent="0.3">
      <c r="A6" s="733" t="s">
        <v>893</v>
      </c>
      <c r="B6" s="710" t="s">
        <v>642</v>
      </c>
      <c r="C6" s="710" t="s">
        <v>642</v>
      </c>
      <c r="D6" s="710" t="s">
        <v>642</v>
      </c>
      <c r="E6" s="710" t="s">
        <v>642</v>
      </c>
      <c r="F6" s="710" t="s">
        <v>642</v>
      </c>
      <c r="G6" s="710" t="s">
        <v>642</v>
      </c>
      <c r="H6" s="710" t="s">
        <v>642</v>
      </c>
      <c r="I6" s="710" t="s">
        <v>642</v>
      </c>
      <c r="J6" s="710" t="s">
        <v>642</v>
      </c>
      <c r="K6" s="710" t="s">
        <v>642</v>
      </c>
      <c r="L6" s="710" t="s">
        <v>642</v>
      </c>
      <c r="M6" s="712" t="s">
        <v>642</v>
      </c>
    </row>
    <row r="7" spans="1:28" x14ac:dyDescent="0.3">
      <c r="A7" s="735" t="s">
        <v>894</v>
      </c>
      <c r="B7" s="716">
        <v>4195.5</v>
      </c>
      <c r="C7" s="716">
        <v>4322.3999999999996</v>
      </c>
      <c r="D7" s="716">
        <v>2953.8</v>
      </c>
      <c r="E7" s="716">
        <v>10641.5</v>
      </c>
      <c r="F7" s="716">
        <v>15540.1</v>
      </c>
      <c r="G7" s="716">
        <v>2006</v>
      </c>
      <c r="H7" s="716">
        <v>4755.1000000000004</v>
      </c>
      <c r="I7" s="716">
        <v>9602.2999999999993</v>
      </c>
      <c r="J7" s="716">
        <v>2229.6</v>
      </c>
      <c r="K7" s="716">
        <v>-9112.4</v>
      </c>
      <c r="L7" s="716">
        <v>19788.7</v>
      </c>
      <c r="M7" s="718">
        <v>19788.7</v>
      </c>
      <c r="Z7" t="s">
        <v>717</v>
      </c>
      <c r="AA7" t="s">
        <v>717</v>
      </c>
      <c r="AB7" t="s">
        <v>717</v>
      </c>
    </row>
    <row r="8" spans="1:28" x14ac:dyDescent="0.3">
      <c r="A8" s="735" t="s">
        <v>895</v>
      </c>
      <c r="B8" s="716">
        <v>3444</v>
      </c>
      <c r="C8" s="716">
        <v>3953.2</v>
      </c>
      <c r="D8" s="716">
        <v>4456.3</v>
      </c>
      <c r="E8" s="716">
        <v>5026.1000000000004</v>
      </c>
      <c r="F8" s="716">
        <v>6428.3</v>
      </c>
      <c r="G8" s="716">
        <v>8620.4</v>
      </c>
      <c r="H8" s="716">
        <v>9771.9</v>
      </c>
      <c r="I8" s="716">
        <v>10656.7</v>
      </c>
      <c r="J8" s="716">
        <v>14151.5</v>
      </c>
      <c r="K8" s="716">
        <v>13673.7</v>
      </c>
      <c r="L8" s="716">
        <v>12581.5</v>
      </c>
      <c r="M8" s="718">
        <v>12581.5</v>
      </c>
      <c r="N8">
        <f>+B8/IS!B9</f>
        <v>0.36399378547195532</v>
      </c>
      <c r="O8">
        <f>+C8/IS!C9</f>
        <v>0.37594385377636608</v>
      </c>
      <c r="P8">
        <f>+D8/IS!D9</f>
        <v>0.41311381186787921</v>
      </c>
      <c r="Q8">
        <f>+E8/IS!E9</f>
        <v>0.39569982207246224</v>
      </c>
      <c r="R8">
        <f>+F8/IS!F9</f>
        <v>0.42344935708263071</v>
      </c>
      <c r="S8">
        <f>+G8/IS!G9</f>
        <v>0.45807384105256443</v>
      </c>
      <c r="T8">
        <f>+H8/IS!H9</f>
        <v>0.46334721049986249</v>
      </c>
      <c r="U8">
        <f>+I8/IS!I9</f>
        <v>0.44318711115547132</v>
      </c>
      <c r="V8">
        <f>+J8/IS!J9</f>
        <v>0.4880887917030251</v>
      </c>
      <c r="W8">
        <f>+K8/IS!K9</f>
        <v>0.4106314866423218</v>
      </c>
      <c r="X8">
        <f>+L8/IS!L9</f>
        <v>0.36611590930254212</v>
      </c>
      <c r="Y8">
        <f>+M8/IS!M9</f>
        <v>0.36611590930254212</v>
      </c>
      <c r="Z8">
        <f>AVERAGE(N8:Y8)</f>
        <v>0.41398007416080196</v>
      </c>
      <c r="AA8">
        <f>AVERAGE(R8:Y8)</f>
        <v>0.42737620209262006</v>
      </c>
      <c r="AB8">
        <f>AVERAGE(U8:Y8)</f>
        <v>0.41482784162118047</v>
      </c>
    </row>
    <row r="9" spans="1:28" x14ac:dyDescent="0.3">
      <c r="A9" s="735" t="s">
        <v>896</v>
      </c>
      <c r="B9" s="715">
        <v>233.9</v>
      </c>
      <c r="C9" s="715">
        <v>421.8</v>
      </c>
      <c r="D9" s="716">
        <v>-1065.2</v>
      </c>
      <c r="E9" s="716">
        <v>2068.4</v>
      </c>
      <c r="F9" s="716">
        <v>2571</v>
      </c>
      <c r="G9" s="716">
        <v>-5101.7</v>
      </c>
      <c r="H9" s="715">
        <v>-660.7</v>
      </c>
      <c r="I9" s="716">
        <v>2584.8000000000002</v>
      </c>
      <c r="J9" s="716">
        <v>1488.3</v>
      </c>
      <c r="K9" s="716">
        <v>-1248.0999999999999</v>
      </c>
      <c r="L9" s="716">
        <v>3460.3</v>
      </c>
      <c r="M9" s="718">
        <v>3460.3</v>
      </c>
    </row>
    <row r="10" spans="1:28" x14ac:dyDescent="0.3">
      <c r="A10" s="735" t="s">
        <v>897</v>
      </c>
      <c r="B10" s="715" t="s">
        <v>741</v>
      </c>
      <c r="C10" s="715" t="s">
        <v>741</v>
      </c>
      <c r="D10" s="715" t="s">
        <v>741</v>
      </c>
      <c r="E10" s="715">
        <v>0.8</v>
      </c>
      <c r="F10" s="715">
        <v>1.2</v>
      </c>
      <c r="G10" s="715">
        <v>1.7</v>
      </c>
      <c r="H10" s="715">
        <v>1.6</v>
      </c>
      <c r="I10" s="715" t="s">
        <v>741</v>
      </c>
      <c r="J10" s="715" t="s">
        <v>741</v>
      </c>
      <c r="K10" s="715" t="s">
        <v>741</v>
      </c>
      <c r="L10" s="715" t="s">
        <v>741</v>
      </c>
      <c r="M10" s="717" t="s">
        <v>642</v>
      </c>
    </row>
    <row r="11" spans="1:28" x14ac:dyDescent="0.3">
      <c r="A11" s="735" t="s">
        <v>898</v>
      </c>
      <c r="B11" s="715">
        <v>233.9</v>
      </c>
      <c r="C11" s="715">
        <v>421.8</v>
      </c>
      <c r="D11" s="716">
        <v>-1065.2</v>
      </c>
      <c r="E11" s="716">
        <v>2067.6</v>
      </c>
      <c r="F11" s="716">
        <v>2569.9</v>
      </c>
      <c r="G11" s="716">
        <v>-5103.5</v>
      </c>
      <c r="H11" s="715">
        <v>-662.3</v>
      </c>
      <c r="I11" s="716">
        <v>2584.8000000000002</v>
      </c>
      <c r="J11" s="716">
        <v>1488.3</v>
      </c>
      <c r="K11" s="716">
        <v>-1248.0999999999999</v>
      </c>
      <c r="L11" s="716">
        <v>3460.3</v>
      </c>
      <c r="M11" s="718">
        <v>3460.3</v>
      </c>
    </row>
    <row r="12" spans="1:28" x14ac:dyDescent="0.3">
      <c r="A12" s="735" t="s">
        <v>899</v>
      </c>
      <c r="B12" s="716">
        <v>-2006.7</v>
      </c>
      <c r="C12" s="715">
        <v>622.1</v>
      </c>
      <c r="D12" s="715">
        <v>-796</v>
      </c>
      <c r="E12" s="716">
        <v>-3045.4</v>
      </c>
      <c r="F12" s="716">
        <v>-2312.1999999999998</v>
      </c>
      <c r="G12" s="716">
        <v>1025.0999999999999</v>
      </c>
      <c r="H12" s="716">
        <v>-1551.7</v>
      </c>
      <c r="I12" s="716">
        <v>-3046.2</v>
      </c>
      <c r="J12" s="716">
        <v>-3088.8</v>
      </c>
      <c r="K12" s="715">
        <v>965</v>
      </c>
      <c r="L12" s="716">
        <v>-6034.6</v>
      </c>
      <c r="M12" s="718">
        <v>-6034.6</v>
      </c>
    </row>
    <row r="13" spans="1:28" x14ac:dyDescent="0.3">
      <c r="A13" s="735" t="s">
        <v>900</v>
      </c>
      <c r="B13" s="716">
        <v>-1628.7</v>
      </c>
      <c r="C13" s="716">
        <v>1260.2</v>
      </c>
      <c r="D13" s="715">
        <v>-470.8</v>
      </c>
      <c r="E13" s="716">
        <v>-2964.3</v>
      </c>
      <c r="F13" s="715">
        <v>-547.29999999999995</v>
      </c>
      <c r="G13" s="716">
        <v>2214.8000000000002</v>
      </c>
      <c r="H13" s="715">
        <v>-935.3</v>
      </c>
      <c r="I13" s="716">
        <v>-2525.6999999999998</v>
      </c>
      <c r="J13" s="716">
        <v>3342</v>
      </c>
      <c r="K13" s="716">
        <v>-1406.2</v>
      </c>
      <c r="L13" s="716">
        <v>-5098</v>
      </c>
      <c r="M13" s="718">
        <v>-5098</v>
      </c>
    </row>
    <row r="14" spans="1:28" x14ac:dyDescent="0.3">
      <c r="A14" s="735" t="s">
        <v>901</v>
      </c>
      <c r="B14" s="715">
        <v>-314.5</v>
      </c>
      <c r="C14" s="715">
        <v>-414.8</v>
      </c>
      <c r="D14" s="715">
        <v>-110.8</v>
      </c>
      <c r="E14" s="715">
        <v>-634.6</v>
      </c>
      <c r="F14" s="716">
        <v>-1782.4</v>
      </c>
      <c r="G14" s="715">
        <v>-851.7</v>
      </c>
      <c r="H14" s="715">
        <v>-843.8</v>
      </c>
      <c r="I14" s="715">
        <v>-696.6</v>
      </c>
      <c r="J14" s="716">
        <v>-6572.1</v>
      </c>
      <c r="K14" s="716">
        <v>2288</v>
      </c>
      <c r="L14" s="715">
        <v>166.7</v>
      </c>
      <c r="M14" s="717">
        <v>166.7</v>
      </c>
    </row>
    <row r="15" spans="1:28" x14ac:dyDescent="0.3">
      <c r="A15" s="735" t="s">
        <v>902</v>
      </c>
      <c r="B15" s="715">
        <v>69.3</v>
      </c>
      <c r="C15" s="715">
        <v>-156.1</v>
      </c>
      <c r="D15" s="715">
        <v>-208.4</v>
      </c>
      <c r="E15" s="715">
        <v>514.79999999999995</v>
      </c>
      <c r="F15" s="715">
        <v>58.8</v>
      </c>
      <c r="G15" s="715">
        <v>-278.5</v>
      </c>
      <c r="H15" s="715">
        <v>222</v>
      </c>
      <c r="I15" s="715">
        <v>-198</v>
      </c>
      <c r="J15" s="715">
        <v>521</v>
      </c>
      <c r="K15" s="715">
        <v>-168.1</v>
      </c>
      <c r="L15" s="715">
        <v>275</v>
      </c>
      <c r="M15" s="717">
        <v>275</v>
      </c>
    </row>
    <row r="16" spans="1:28" x14ac:dyDescent="0.3">
      <c r="A16" s="735" t="s">
        <v>903</v>
      </c>
      <c r="B16" s="715">
        <v>-132.80000000000001</v>
      </c>
      <c r="C16" s="715">
        <v>-67.099999999999994</v>
      </c>
      <c r="D16" s="715">
        <v>-6</v>
      </c>
      <c r="E16" s="715">
        <v>38.799999999999997</v>
      </c>
      <c r="F16" s="715">
        <v>-41.3</v>
      </c>
      <c r="G16" s="715">
        <v>-59.4</v>
      </c>
      <c r="H16" s="715">
        <v>5.4</v>
      </c>
      <c r="I16" s="715">
        <v>374.1</v>
      </c>
      <c r="J16" s="715">
        <v>-379.7</v>
      </c>
      <c r="K16" s="715">
        <v>251.3</v>
      </c>
      <c r="L16" s="716">
        <v>-1378.3</v>
      </c>
      <c r="M16" s="718">
        <v>-1378.3</v>
      </c>
    </row>
    <row r="17" spans="1:13" x14ac:dyDescent="0.3">
      <c r="A17" s="735" t="s">
        <v>904</v>
      </c>
      <c r="B17" s="715">
        <v>0</v>
      </c>
      <c r="C17" s="715">
        <v>0</v>
      </c>
      <c r="D17" s="715">
        <v>0</v>
      </c>
      <c r="E17" s="715">
        <v>0</v>
      </c>
      <c r="F17" s="715">
        <v>0</v>
      </c>
      <c r="G17" s="715">
        <v>0</v>
      </c>
      <c r="H17" s="715">
        <v>0</v>
      </c>
      <c r="I17" s="715">
        <v>0</v>
      </c>
      <c r="J17" s="715">
        <v>0</v>
      </c>
      <c r="K17" s="715">
        <v>0</v>
      </c>
      <c r="L17" s="715">
        <v>0</v>
      </c>
      <c r="M17" s="717">
        <v>0</v>
      </c>
    </row>
    <row r="18" spans="1:13" x14ac:dyDescent="0.3">
      <c r="A18" s="733" t="s">
        <v>893</v>
      </c>
      <c r="B18" s="711">
        <v>5866.7</v>
      </c>
      <c r="C18" s="711">
        <v>9319.5</v>
      </c>
      <c r="D18" s="711">
        <v>5548.9</v>
      </c>
      <c r="E18" s="711">
        <v>14690.6</v>
      </c>
      <c r="F18" s="711">
        <v>22227.200000000001</v>
      </c>
      <c r="G18" s="711">
        <v>6549.7</v>
      </c>
      <c r="H18" s="711">
        <v>12314.6</v>
      </c>
      <c r="I18" s="711">
        <v>19797.599999999999</v>
      </c>
      <c r="J18" s="711">
        <v>14780.5</v>
      </c>
      <c r="K18" s="711">
        <v>4278.2</v>
      </c>
      <c r="L18" s="711">
        <v>29795.9</v>
      </c>
      <c r="M18" s="713">
        <v>29795.9</v>
      </c>
    </row>
    <row r="19" spans="1:13" x14ac:dyDescent="0.3">
      <c r="A19" s="733" t="s">
        <v>642</v>
      </c>
      <c r="B19" s="710" t="s">
        <v>642</v>
      </c>
      <c r="C19" s="710" t="s">
        <v>642</v>
      </c>
      <c r="D19" s="710" t="s">
        <v>642</v>
      </c>
      <c r="E19" s="710" t="s">
        <v>642</v>
      </c>
      <c r="F19" s="710" t="s">
        <v>642</v>
      </c>
      <c r="G19" s="710" t="s">
        <v>642</v>
      </c>
      <c r="H19" s="710" t="s">
        <v>642</v>
      </c>
      <c r="I19" s="710" t="s">
        <v>642</v>
      </c>
      <c r="J19" s="710" t="s">
        <v>642</v>
      </c>
      <c r="K19" s="710" t="s">
        <v>642</v>
      </c>
      <c r="L19" s="710" t="s">
        <v>642</v>
      </c>
      <c r="M19" s="712" t="s">
        <v>642</v>
      </c>
    </row>
    <row r="20" spans="1:13" x14ac:dyDescent="0.3">
      <c r="A20" s="733" t="s">
        <v>905</v>
      </c>
      <c r="B20" s="710" t="s">
        <v>642</v>
      </c>
      <c r="C20" s="710" t="s">
        <v>642</v>
      </c>
      <c r="D20" s="710" t="s">
        <v>642</v>
      </c>
      <c r="E20" s="710" t="s">
        <v>642</v>
      </c>
      <c r="F20" s="710" t="s">
        <v>642</v>
      </c>
      <c r="G20" s="710" t="s">
        <v>642</v>
      </c>
      <c r="H20" s="710" t="s">
        <v>642</v>
      </c>
      <c r="I20" s="710" t="s">
        <v>642</v>
      </c>
      <c r="J20" s="710" t="s">
        <v>642</v>
      </c>
      <c r="K20" s="710" t="s">
        <v>642</v>
      </c>
      <c r="L20" s="710" t="s">
        <v>642</v>
      </c>
      <c r="M20" s="712" t="s">
        <v>642</v>
      </c>
    </row>
    <row r="21" spans="1:13" x14ac:dyDescent="0.3">
      <c r="A21" s="735" t="s">
        <v>906</v>
      </c>
      <c r="B21" s="716">
        <v>-4937.8</v>
      </c>
      <c r="C21" s="716">
        <v>-7170.3</v>
      </c>
      <c r="D21" s="716">
        <v>-6323</v>
      </c>
      <c r="E21" s="716">
        <v>-9665.1</v>
      </c>
      <c r="F21" s="716">
        <v>-16835</v>
      </c>
      <c r="G21" s="716">
        <v>-14539.6</v>
      </c>
      <c r="H21" s="716">
        <v>-10809.6</v>
      </c>
      <c r="I21" s="716">
        <v>-13378.5</v>
      </c>
      <c r="J21" s="716">
        <v>-19424.099999999999</v>
      </c>
      <c r="K21" s="716">
        <v>-7239.5</v>
      </c>
      <c r="L21" s="716">
        <v>-16595.8</v>
      </c>
      <c r="M21" s="718">
        <v>-16595.8</v>
      </c>
    </row>
    <row r="22" spans="1:13" x14ac:dyDescent="0.3">
      <c r="A22" s="735" t="s">
        <v>907</v>
      </c>
      <c r="B22" s="715">
        <v>199.2</v>
      </c>
      <c r="C22" s="715">
        <v>228.1</v>
      </c>
      <c r="D22" s="715">
        <v>163.69999999999999</v>
      </c>
      <c r="E22" s="715">
        <v>248.1</v>
      </c>
      <c r="F22" s="715">
        <v>134.30000000000001</v>
      </c>
      <c r="G22" s="715">
        <v>54</v>
      </c>
      <c r="H22" s="715">
        <v>59.8</v>
      </c>
      <c r="I22" s="715">
        <v>82</v>
      </c>
      <c r="J22" s="715">
        <v>324.7</v>
      </c>
      <c r="K22" s="716">
        <v>1540.3</v>
      </c>
      <c r="L22" s="715">
        <v>66.8</v>
      </c>
      <c r="M22" s="717">
        <v>75.599999999999994</v>
      </c>
    </row>
    <row r="23" spans="1:13" x14ac:dyDescent="0.3">
      <c r="A23" s="738" t="s">
        <v>908</v>
      </c>
      <c r="B23" s="719">
        <v>199</v>
      </c>
      <c r="C23" s="719">
        <v>220.1</v>
      </c>
      <c r="D23" s="719">
        <v>162.1</v>
      </c>
      <c r="E23" s="719">
        <v>244.9</v>
      </c>
      <c r="F23" s="719">
        <v>131.80000000000001</v>
      </c>
      <c r="G23" s="719">
        <v>53.8</v>
      </c>
      <c r="H23" s="719">
        <v>59.1</v>
      </c>
      <c r="I23" s="719">
        <v>79.900000000000006</v>
      </c>
      <c r="J23" s="719">
        <v>323.7</v>
      </c>
      <c r="K23" s="721">
        <v>1539.8</v>
      </c>
      <c r="L23" s="719">
        <v>47.1</v>
      </c>
      <c r="M23" s="720">
        <v>55.7</v>
      </c>
    </row>
    <row r="24" spans="1:13" x14ac:dyDescent="0.3">
      <c r="A24" s="738" t="s">
        <v>909</v>
      </c>
      <c r="B24" s="719">
        <v>0.3</v>
      </c>
      <c r="C24" s="719">
        <v>8</v>
      </c>
      <c r="D24" s="719">
        <v>1.6</v>
      </c>
      <c r="E24" s="719">
        <v>3.2</v>
      </c>
      <c r="F24" s="719">
        <v>2.5</v>
      </c>
      <c r="G24" s="719">
        <v>0.2</v>
      </c>
      <c r="H24" s="719">
        <v>0.7</v>
      </c>
      <c r="I24" s="719">
        <v>2.1</v>
      </c>
      <c r="J24" s="719">
        <v>1</v>
      </c>
      <c r="K24" s="719">
        <v>0.5</v>
      </c>
      <c r="L24" s="719">
        <v>19.7</v>
      </c>
      <c r="M24" s="720">
        <v>19.899999999999999</v>
      </c>
    </row>
    <row r="25" spans="1:13" x14ac:dyDescent="0.3">
      <c r="A25" s="735" t="s">
        <v>910</v>
      </c>
      <c r="B25" s="716">
        <v>-5137</v>
      </c>
      <c r="C25" s="716">
        <v>-7398.4</v>
      </c>
      <c r="D25" s="716">
        <v>-6486.7</v>
      </c>
      <c r="E25" s="716">
        <v>-9913.2000000000007</v>
      </c>
      <c r="F25" s="716">
        <v>-16969.3</v>
      </c>
      <c r="G25" s="716">
        <v>-14593.6</v>
      </c>
      <c r="H25" s="716">
        <v>-10869.4</v>
      </c>
      <c r="I25" s="716">
        <v>-13460.5</v>
      </c>
      <c r="J25" s="716">
        <v>-19748.900000000001</v>
      </c>
      <c r="K25" s="716">
        <v>-8779.7999999999993</v>
      </c>
      <c r="L25" s="716">
        <v>-16662.599999999999</v>
      </c>
      <c r="M25" s="718">
        <v>-14447.6</v>
      </c>
    </row>
    <row r="26" spans="1:13" x14ac:dyDescent="0.3">
      <c r="A26" s="738" t="s">
        <v>911</v>
      </c>
      <c r="B26" s="721">
        <v>-4800.7</v>
      </c>
      <c r="C26" s="721">
        <v>-6774.6</v>
      </c>
      <c r="D26" s="721">
        <v>-5956.4</v>
      </c>
      <c r="E26" s="721">
        <v>-9128.2999999999993</v>
      </c>
      <c r="F26" s="721">
        <v>-16036.1</v>
      </c>
      <c r="G26" s="721">
        <v>-13920.2</v>
      </c>
      <c r="H26" s="721">
        <v>-10068.700000000001</v>
      </c>
      <c r="I26" s="721">
        <v>-12486.6</v>
      </c>
      <c r="J26" s="721">
        <v>-19010.3</v>
      </c>
      <c r="K26" s="721">
        <v>-8325.1</v>
      </c>
      <c r="L26" s="721">
        <v>-15945.5</v>
      </c>
      <c r="M26" s="722">
        <v>-13882.3</v>
      </c>
    </row>
    <row r="27" spans="1:13" x14ac:dyDescent="0.3">
      <c r="A27" s="738" t="s">
        <v>912</v>
      </c>
      <c r="B27" s="719">
        <v>-336.3</v>
      </c>
      <c r="C27" s="719">
        <v>-623.70000000000005</v>
      </c>
      <c r="D27" s="719">
        <v>-530.4</v>
      </c>
      <c r="E27" s="719">
        <v>-784.9</v>
      </c>
      <c r="F27" s="719">
        <v>-933.1</v>
      </c>
      <c r="G27" s="719">
        <v>-673.4</v>
      </c>
      <c r="H27" s="719">
        <v>-800.7</v>
      </c>
      <c r="I27" s="719">
        <v>-973.9</v>
      </c>
      <c r="J27" s="719">
        <v>-738.6</v>
      </c>
      <c r="K27" s="719">
        <v>-454.7</v>
      </c>
      <c r="L27" s="719">
        <v>-717.1</v>
      </c>
      <c r="M27" s="720">
        <v>-565.4</v>
      </c>
    </row>
    <row r="28" spans="1:13" x14ac:dyDescent="0.3">
      <c r="A28" s="735" t="s">
        <v>913</v>
      </c>
      <c r="B28" s="715">
        <v>27.2</v>
      </c>
      <c r="C28" s="715">
        <v>-4</v>
      </c>
      <c r="D28" s="715">
        <v>-16.399999999999999</v>
      </c>
      <c r="E28" s="715">
        <v>-22.8</v>
      </c>
      <c r="F28" s="716">
        <v>-4005.7</v>
      </c>
      <c r="G28" s="715">
        <v>-77.099999999999994</v>
      </c>
      <c r="H28" s="715">
        <v>-93.1</v>
      </c>
      <c r="I28" s="715">
        <v>-84.3</v>
      </c>
      <c r="J28" s="715">
        <v>152</v>
      </c>
      <c r="K28" s="715">
        <v>-12.3</v>
      </c>
      <c r="L28" s="715">
        <v>-17.100000000000001</v>
      </c>
      <c r="M28" s="717">
        <v>-17.100000000000001</v>
      </c>
    </row>
    <row r="29" spans="1:13" x14ac:dyDescent="0.3">
      <c r="A29" s="735" t="s">
        <v>914</v>
      </c>
      <c r="B29" s="715">
        <v>28.6</v>
      </c>
      <c r="C29" s="715">
        <v>1.3</v>
      </c>
      <c r="D29" s="715">
        <v>2.7</v>
      </c>
      <c r="E29" s="715">
        <v>3.4</v>
      </c>
      <c r="F29" s="715">
        <v>7.1</v>
      </c>
      <c r="G29" s="715">
        <v>4.3</v>
      </c>
      <c r="H29" s="715">
        <v>0.7</v>
      </c>
      <c r="I29" s="715">
        <v>46</v>
      </c>
      <c r="J29" s="715">
        <v>267.5</v>
      </c>
      <c r="K29" s="715">
        <v>18.3</v>
      </c>
      <c r="L29" s="715">
        <v>2.4</v>
      </c>
      <c r="M29" s="717">
        <v>2.4</v>
      </c>
    </row>
    <row r="30" spans="1:13" x14ac:dyDescent="0.3">
      <c r="A30" s="735" t="s">
        <v>915</v>
      </c>
      <c r="B30" s="715">
        <v>-1.4</v>
      </c>
      <c r="C30" s="715">
        <v>-5.4</v>
      </c>
      <c r="D30" s="715">
        <v>-19.100000000000001</v>
      </c>
      <c r="E30" s="715">
        <v>-26.2</v>
      </c>
      <c r="F30" s="716">
        <v>-4012.8</v>
      </c>
      <c r="G30" s="715">
        <v>-81.400000000000006</v>
      </c>
      <c r="H30" s="715">
        <v>-93.8</v>
      </c>
      <c r="I30" s="715">
        <v>-130.30000000000001</v>
      </c>
      <c r="J30" s="715">
        <v>-115.5</v>
      </c>
      <c r="K30" s="715">
        <v>-30.5</v>
      </c>
      <c r="L30" s="715">
        <v>-19.5</v>
      </c>
      <c r="M30" s="717">
        <v>-19.5</v>
      </c>
    </row>
    <row r="31" spans="1:13" x14ac:dyDescent="0.3">
      <c r="A31" s="735" t="s">
        <v>916</v>
      </c>
      <c r="B31" s="715">
        <v>-1.5</v>
      </c>
      <c r="C31" s="715">
        <v>-9.9</v>
      </c>
      <c r="D31" s="715">
        <v>-2.2999999999999998</v>
      </c>
      <c r="E31" s="715">
        <v>-114.5</v>
      </c>
      <c r="F31" s="715">
        <v>-233.8</v>
      </c>
      <c r="G31" s="715">
        <v>-179.4</v>
      </c>
      <c r="H31" s="715">
        <v>-480.3</v>
      </c>
      <c r="I31" s="716">
        <v>-7294.9</v>
      </c>
      <c r="J31" s="715">
        <v>-858.5</v>
      </c>
      <c r="K31" s="715">
        <v>-13.9</v>
      </c>
      <c r="L31" s="715">
        <v>142</v>
      </c>
      <c r="M31" s="717">
        <v>142</v>
      </c>
    </row>
    <row r="32" spans="1:13" x14ac:dyDescent="0.3">
      <c r="A32" s="735" t="s">
        <v>917</v>
      </c>
      <c r="B32" s="715">
        <v>0</v>
      </c>
      <c r="C32" s="715">
        <v>0</v>
      </c>
      <c r="D32" s="715">
        <v>0</v>
      </c>
      <c r="E32" s="715">
        <v>0</v>
      </c>
      <c r="F32" s="715">
        <v>0</v>
      </c>
      <c r="G32" s="715">
        <v>0</v>
      </c>
      <c r="H32" s="715">
        <v>3</v>
      </c>
      <c r="I32" s="715">
        <v>0</v>
      </c>
      <c r="J32" s="715">
        <v>0</v>
      </c>
      <c r="K32" s="715">
        <v>0</v>
      </c>
      <c r="L32" s="715">
        <v>0</v>
      </c>
      <c r="M32" s="717">
        <v>0</v>
      </c>
    </row>
    <row r="33" spans="1:13" x14ac:dyDescent="0.3">
      <c r="A33" s="735" t="s">
        <v>918</v>
      </c>
      <c r="B33" s="715">
        <v>0</v>
      </c>
      <c r="C33" s="715">
        <v>0</v>
      </c>
      <c r="D33" s="715">
        <v>0</v>
      </c>
      <c r="E33" s="715">
        <v>0</v>
      </c>
      <c r="F33" s="715">
        <v>-33.299999999999997</v>
      </c>
      <c r="G33" s="715">
        <v>-2.5</v>
      </c>
      <c r="H33" s="715">
        <v>0</v>
      </c>
      <c r="I33" s="716">
        <v>-7250.1</v>
      </c>
      <c r="J33" s="716">
        <v>-1027.7</v>
      </c>
      <c r="K33" s="715">
        <v>0</v>
      </c>
      <c r="L33" s="715">
        <v>145.4</v>
      </c>
      <c r="M33" s="717">
        <v>145.4</v>
      </c>
    </row>
    <row r="34" spans="1:13" x14ac:dyDescent="0.3">
      <c r="A34" s="735" t="s">
        <v>919</v>
      </c>
      <c r="B34" s="715">
        <v>-1.5</v>
      </c>
      <c r="C34" s="715">
        <v>-9.9</v>
      </c>
      <c r="D34" s="715">
        <v>-2.2999999999999998</v>
      </c>
      <c r="E34" s="715">
        <v>-114.5</v>
      </c>
      <c r="F34" s="715">
        <v>-200.5</v>
      </c>
      <c r="G34" s="715">
        <v>-177</v>
      </c>
      <c r="H34" s="715">
        <v>-483.2</v>
      </c>
      <c r="I34" s="715">
        <v>-44.9</v>
      </c>
      <c r="J34" s="715">
        <v>169.1</v>
      </c>
      <c r="K34" s="715">
        <v>-13.9</v>
      </c>
      <c r="L34" s="715">
        <v>-3.3</v>
      </c>
      <c r="M34" s="717">
        <v>-3.3</v>
      </c>
    </row>
    <row r="35" spans="1:13" x14ac:dyDescent="0.3">
      <c r="A35" s="735" t="s">
        <v>920</v>
      </c>
      <c r="B35" s="716">
        <v>-1175.8</v>
      </c>
      <c r="C35" s="715">
        <v>58.7</v>
      </c>
      <c r="D35" s="715">
        <v>111.3</v>
      </c>
      <c r="E35" s="716">
        <v>-2116.8000000000002</v>
      </c>
      <c r="F35" s="715">
        <v>-354.2</v>
      </c>
      <c r="G35" s="716">
        <v>4345.2</v>
      </c>
      <c r="H35" s="715">
        <v>-457.4</v>
      </c>
      <c r="I35" s="716">
        <v>-1634.5</v>
      </c>
      <c r="J35" s="716">
        <v>2247</v>
      </c>
      <c r="K35" s="715">
        <v>-69</v>
      </c>
      <c r="L35" s="716">
        <v>-1533.7</v>
      </c>
      <c r="M35" s="718">
        <v>-1533.7</v>
      </c>
    </row>
    <row r="36" spans="1:13" x14ac:dyDescent="0.3">
      <c r="A36" s="735" t="s">
        <v>904</v>
      </c>
      <c r="B36" s="715">
        <v>0</v>
      </c>
      <c r="C36" s="715">
        <v>0</v>
      </c>
      <c r="D36" s="715">
        <v>0</v>
      </c>
      <c r="E36" s="715">
        <v>0</v>
      </c>
      <c r="F36" s="715">
        <v>0</v>
      </c>
      <c r="G36" s="715">
        <v>0</v>
      </c>
      <c r="H36" s="715">
        <v>0</v>
      </c>
      <c r="I36" s="715">
        <v>0</v>
      </c>
      <c r="J36" s="715">
        <v>0</v>
      </c>
      <c r="K36" s="715">
        <v>0</v>
      </c>
      <c r="L36" s="715">
        <v>0</v>
      </c>
      <c r="M36" s="717">
        <v>0</v>
      </c>
    </row>
    <row r="37" spans="1:13" x14ac:dyDescent="0.3">
      <c r="A37" s="733" t="s">
        <v>905</v>
      </c>
      <c r="B37" s="711">
        <v>-6087.8</v>
      </c>
      <c r="C37" s="711">
        <v>-7125.5</v>
      </c>
      <c r="D37" s="711">
        <v>-6230.5</v>
      </c>
      <c r="E37" s="711">
        <v>-11919.2</v>
      </c>
      <c r="F37" s="711">
        <v>-21428.7</v>
      </c>
      <c r="G37" s="711">
        <v>-10450.9</v>
      </c>
      <c r="H37" s="711">
        <v>-11840.4</v>
      </c>
      <c r="I37" s="711">
        <v>-22392.3</v>
      </c>
      <c r="J37" s="711">
        <v>-17883.7</v>
      </c>
      <c r="K37" s="711">
        <v>-7334.7</v>
      </c>
      <c r="L37" s="711">
        <v>-18004.599999999999</v>
      </c>
      <c r="M37" s="713">
        <v>-18004.599999999999</v>
      </c>
    </row>
    <row r="38" spans="1:13" x14ac:dyDescent="0.3">
      <c r="A38" s="733" t="s">
        <v>642</v>
      </c>
      <c r="B38" s="710" t="s">
        <v>642</v>
      </c>
      <c r="C38" s="710" t="s">
        <v>642</v>
      </c>
      <c r="D38" s="710" t="s">
        <v>642</v>
      </c>
      <c r="E38" s="710" t="s">
        <v>642</v>
      </c>
      <c r="F38" s="710" t="s">
        <v>642</v>
      </c>
      <c r="G38" s="710" t="s">
        <v>642</v>
      </c>
      <c r="H38" s="710" t="s">
        <v>642</v>
      </c>
      <c r="I38" s="710" t="s">
        <v>642</v>
      </c>
      <c r="J38" s="710" t="s">
        <v>642</v>
      </c>
      <c r="K38" s="710" t="s">
        <v>642</v>
      </c>
      <c r="L38" s="710" t="s">
        <v>642</v>
      </c>
      <c r="M38" s="712" t="s">
        <v>642</v>
      </c>
    </row>
    <row r="39" spans="1:13" x14ac:dyDescent="0.3">
      <c r="A39" s="733" t="s">
        <v>921</v>
      </c>
      <c r="B39" s="710" t="s">
        <v>642</v>
      </c>
      <c r="C39" s="710" t="s">
        <v>642</v>
      </c>
      <c r="D39" s="710" t="s">
        <v>642</v>
      </c>
      <c r="E39" s="710" t="s">
        <v>642</v>
      </c>
      <c r="F39" s="710" t="s">
        <v>642</v>
      </c>
      <c r="G39" s="710" t="s">
        <v>642</v>
      </c>
      <c r="H39" s="710" t="s">
        <v>642</v>
      </c>
      <c r="I39" s="710" t="s">
        <v>642</v>
      </c>
      <c r="J39" s="710" t="s">
        <v>642</v>
      </c>
      <c r="K39" s="710" t="s">
        <v>642</v>
      </c>
      <c r="L39" s="710" t="s">
        <v>642</v>
      </c>
      <c r="M39" s="712" t="s">
        <v>642</v>
      </c>
    </row>
    <row r="40" spans="1:13" x14ac:dyDescent="0.3">
      <c r="A40" s="735" t="s">
        <v>922</v>
      </c>
      <c r="B40" s="715">
        <v>0</v>
      </c>
      <c r="C40" s="715">
        <v>-218.4</v>
      </c>
      <c r="D40" s="715">
        <v>-353</v>
      </c>
      <c r="E40" s="715">
        <v>-423.6</v>
      </c>
      <c r="F40" s="715">
        <v>-706</v>
      </c>
      <c r="G40" s="716">
        <v>-1026</v>
      </c>
      <c r="H40" s="715">
        <v>-684</v>
      </c>
      <c r="I40" s="715">
        <v>-805</v>
      </c>
      <c r="J40" s="716">
        <v>-1680.9</v>
      </c>
      <c r="K40" s="715">
        <v>-825.6</v>
      </c>
      <c r="L40" s="715">
        <v>-826.3</v>
      </c>
      <c r="M40" s="717">
        <v>-826.3</v>
      </c>
    </row>
    <row r="41" spans="1:13" x14ac:dyDescent="0.3">
      <c r="A41" s="735" t="s">
        <v>923</v>
      </c>
      <c r="B41" s="715">
        <v>28.4</v>
      </c>
      <c r="C41" s="715">
        <v>-472</v>
      </c>
      <c r="D41" s="715">
        <v>469.9</v>
      </c>
      <c r="E41" s="715">
        <v>71.7</v>
      </c>
      <c r="F41" s="716">
        <v>1047.2</v>
      </c>
      <c r="G41" s="716">
        <v>4858</v>
      </c>
      <c r="H41" s="715">
        <v>932</v>
      </c>
      <c r="I41" s="716">
        <v>5288.9</v>
      </c>
      <c r="J41" s="716">
        <v>4491</v>
      </c>
      <c r="K41" s="716">
        <v>6507.1</v>
      </c>
      <c r="L41" s="716">
        <v>-7977.5</v>
      </c>
      <c r="M41" s="718">
        <v>-7977.5</v>
      </c>
    </row>
    <row r="42" spans="1:13" x14ac:dyDescent="0.3">
      <c r="A42" s="735" t="s">
        <v>924</v>
      </c>
      <c r="B42" s="715">
        <v>0</v>
      </c>
      <c r="C42" s="715">
        <v>0</v>
      </c>
      <c r="D42" s="715">
        <v>0</v>
      </c>
      <c r="E42" s="715">
        <v>0</v>
      </c>
      <c r="F42" s="715">
        <v>0</v>
      </c>
      <c r="G42" s="715">
        <v>0</v>
      </c>
      <c r="H42" s="715">
        <v>0</v>
      </c>
      <c r="I42" s="715">
        <v>0</v>
      </c>
      <c r="J42" s="715">
        <v>0</v>
      </c>
      <c r="K42" s="715">
        <v>0</v>
      </c>
      <c r="L42" s="715">
        <v>0</v>
      </c>
      <c r="M42" s="717">
        <v>0</v>
      </c>
    </row>
    <row r="43" spans="1:13" x14ac:dyDescent="0.3">
      <c r="A43" s="735" t="s">
        <v>925</v>
      </c>
      <c r="B43" s="716">
        <v>3848.8</v>
      </c>
      <c r="C43" s="716">
        <v>3933.1</v>
      </c>
      <c r="D43" s="716">
        <v>2080.3000000000002</v>
      </c>
      <c r="E43" s="715">
        <v>782.3</v>
      </c>
      <c r="F43" s="716">
        <v>3125.7</v>
      </c>
      <c r="G43" s="716">
        <v>9833.9</v>
      </c>
      <c r="H43" s="716">
        <v>5173</v>
      </c>
      <c r="I43" s="716">
        <v>8933.7000000000007</v>
      </c>
      <c r="J43" s="716">
        <v>11917.5</v>
      </c>
      <c r="K43" s="716">
        <v>20658</v>
      </c>
      <c r="L43" s="716">
        <v>8718</v>
      </c>
      <c r="M43" s="718">
        <v>8718</v>
      </c>
    </row>
    <row r="44" spans="1:13" x14ac:dyDescent="0.3">
      <c r="A44" s="735" t="s">
        <v>926</v>
      </c>
      <c r="B44" s="716">
        <v>-3820.4</v>
      </c>
      <c r="C44" s="716">
        <v>-4405</v>
      </c>
      <c r="D44" s="716">
        <v>-1610.5</v>
      </c>
      <c r="E44" s="715">
        <v>-710.6</v>
      </c>
      <c r="F44" s="716">
        <v>-2078.5</v>
      </c>
      <c r="G44" s="716">
        <v>-4975.8999999999996</v>
      </c>
      <c r="H44" s="716">
        <v>-4241.1000000000004</v>
      </c>
      <c r="I44" s="716">
        <v>-3644.9</v>
      </c>
      <c r="J44" s="716">
        <v>-7426.4</v>
      </c>
      <c r="K44" s="716">
        <v>-14150.9</v>
      </c>
      <c r="L44" s="716">
        <v>-16695.400000000001</v>
      </c>
      <c r="M44" s="718">
        <v>-16695.400000000001</v>
      </c>
    </row>
    <row r="45" spans="1:13" x14ac:dyDescent="0.3">
      <c r="A45" s="735" t="s">
        <v>927</v>
      </c>
      <c r="B45" s="715">
        <v>0</v>
      </c>
      <c r="C45" s="715">
        <v>-771.9</v>
      </c>
      <c r="D45" s="715">
        <v>0</v>
      </c>
      <c r="E45" s="715">
        <v>0</v>
      </c>
      <c r="F45" s="716">
        <v>-1736.5</v>
      </c>
      <c r="G45" s="715">
        <v>0</v>
      </c>
      <c r="H45" s="715">
        <v>0</v>
      </c>
      <c r="I45" s="715">
        <v>8.5</v>
      </c>
      <c r="J45" s="715">
        <v>11.7</v>
      </c>
      <c r="K45" s="715">
        <v>24.6</v>
      </c>
      <c r="L45" s="715">
        <v>93.8</v>
      </c>
      <c r="M45" s="717">
        <v>93.8</v>
      </c>
    </row>
    <row r="46" spans="1:13" x14ac:dyDescent="0.3">
      <c r="A46" s="735" t="s">
        <v>928</v>
      </c>
      <c r="B46" s="715">
        <v>0</v>
      </c>
      <c r="C46" s="715">
        <v>0</v>
      </c>
      <c r="D46" s="715">
        <v>0</v>
      </c>
      <c r="E46" s="715">
        <v>0</v>
      </c>
      <c r="F46" s="715">
        <v>0</v>
      </c>
      <c r="G46" s="715">
        <v>0</v>
      </c>
      <c r="H46" s="715">
        <v>0</v>
      </c>
      <c r="I46" s="715">
        <v>8.5</v>
      </c>
      <c r="J46" s="715">
        <v>11.7</v>
      </c>
      <c r="K46" s="715">
        <v>24.6</v>
      </c>
      <c r="L46" s="715">
        <v>93.8</v>
      </c>
      <c r="M46" s="717">
        <v>93.8</v>
      </c>
    </row>
    <row r="47" spans="1:13" x14ac:dyDescent="0.3">
      <c r="A47" s="735" t="s">
        <v>929</v>
      </c>
      <c r="B47" s="715">
        <v>0</v>
      </c>
      <c r="C47" s="715">
        <v>-771.9</v>
      </c>
      <c r="D47" s="715">
        <v>0</v>
      </c>
      <c r="E47" s="715">
        <v>0</v>
      </c>
      <c r="F47" s="716">
        <v>-1736.5</v>
      </c>
      <c r="G47" s="715">
        <v>0</v>
      </c>
      <c r="H47" s="715">
        <v>0</v>
      </c>
      <c r="I47" s="715">
        <v>0</v>
      </c>
      <c r="J47" s="715">
        <v>0</v>
      </c>
      <c r="K47" s="715">
        <v>0</v>
      </c>
      <c r="L47" s="715">
        <v>0</v>
      </c>
      <c r="M47" s="717">
        <v>0</v>
      </c>
    </row>
    <row r="48" spans="1:13" x14ac:dyDescent="0.3">
      <c r="A48" s="735" t="s">
        <v>930</v>
      </c>
      <c r="B48" s="715">
        <v>0</v>
      </c>
      <c r="C48" s="715">
        <v>0</v>
      </c>
      <c r="D48" s="715">
        <v>0</v>
      </c>
      <c r="E48" s="715">
        <v>0</v>
      </c>
      <c r="F48" s="715">
        <v>0</v>
      </c>
      <c r="G48" s="715">
        <v>4.7</v>
      </c>
      <c r="H48" s="715">
        <v>4.0999999999999996</v>
      </c>
      <c r="I48" s="715">
        <v>0</v>
      </c>
      <c r="J48" s="715">
        <v>0</v>
      </c>
      <c r="K48" s="715">
        <v>-9.1999999999999993</v>
      </c>
      <c r="L48" s="715">
        <v>6</v>
      </c>
      <c r="M48" s="717">
        <v>6</v>
      </c>
    </row>
    <row r="49" spans="1:13" x14ac:dyDescent="0.3">
      <c r="A49" s="735" t="s">
        <v>904</v>
      </c>
      <c r="B49" s="715">
        <v>0</v>
      </c>
      <c r="C49" s="715">
        <v>0</v>
      </c>
      <c r="D49" s="715">
        <v>0</v>
      </c>
      <c r="E49" s="715">
        <v>0</v>
      </c>
      <c r="F49" s="715">
        <v>0</v>
      </c>
      <c r="G49" s="715">
        <v>0</v>
      </c>
      <c r="H49" s="715">
        <v>0</v>
      </c>
      <c r="I49" s="715">
        <v>0</v>
      </c>
      <c r="J49" s="715">
        <v>0</v>
      </c>
      <c r="K49" s="715">
        <v>0</v>
      </c>
      <c r="L49" s="715">
        <v>0</v>
      </c>
      <c r="M49" s="717">
        <v>0</v>
      </c>
    </row>
    <row r="50" spans="1:13" x14ac:dyDescent="0.3">
      <c r="A50" s="733" t="s">
        <v>921</v>
      </c>
      <c r="B50" s="710">
        <v>28.3</v>
      </c>
      <c r="C50" s="711">
        <v>-1462.3</v>
      </c>
      <c r="D50" s="710">
        <v>116.9</v>
      </c>
      <c r="E50" s="710">
        <v>-351.9</v>
      </c>
      <c r="F50" s="711">
        <v>-1395.3</v>
      </c>
      <c r="G50" s="711">
        <v>3836.7</v>
      </c>
      <c r="H50" s="710">
        <v>252.1</v>
      </c>
      <c r="I50" s="711">
        <v>4492.3</v>
      </c>
      <c r="J50" s="711">
        <v>2821.8</v>
      </c>
      <c r="K50" s="711">
        <v>5696.8</v>
      </c>
      <c r="L50" s="711">
        <v>-8703.9</v>
      </c>
      <c r="M50" s="713">
        <v>-8703.9</v>
      </c>
    </row>
    <row r="51" spans="1:13" x14ac:dyDescent="0.3">
      <c r="A51" s="733" t="s">
        <v>642</v>
      </c>
      <c r="B51" s="710" t="s">
        <v>642</v>
      </c>
      <c r="C51" s="710" t="s">
        <v>642</v>
      </c>
      <c r="D51" s="710" t="s">
        <v>642</v>
      </c>
      <c r="E51" s="710" t="s">
        <v>642</v>
      </c>
      <c r="F51" s="710" t="s">
        <v>642</v>
      </c>
      <c r="G51" s="710" t="s">
        <v>642</v>
      </c>
      <c r="H51" s="710" t="s">
        <v>642</v>
      </c>
      <c r="I51" s="710" t="s">
        <v>642</v>
      </c>
      <c r="J51" s="710" t="s">
        <v>642</v>
      </c>
      <c r="K51" s="710" t="s">
        <v>642</v>
      </c>
      <c r="L51" s="710" t="s">
        <v>642</v>
      </c>
      <c r="M51" s="712" t="s">
        <v>642</v>
      </c>
    </row>
    <row r="52" spans="1:13" x14ac:dyDescent="0.3">
      <c r="A52" s="735" t="s">
        <v>931</v>
      </c>
      <c r="B52" s="715">
        <v>-2.2999999999999998</v>
      </c>
      <c r="C52" s="715">
        <v>7.2</v>
      </c>
      <c r="D52" s="715">
        <v>2.7</v>
      </c>
      <c r="E52" s="715">
        <v>-83.3</v>
      </c>
      <c r="F52" s="715">
        <v>-3.8</v>
      </c>
      <c r="G52" s="715">
        <v>21.3</v>
      </c>
      <c r="H52" s="715">
        <v>-56.3</v>
      </c>
      <c r="I52" s="715">
        <v>184.3</v>
      </c>
      <c r="J52" s="715">
        <v>200.5</v>
      </c>
      <c r="K52" s="715">
        <v>-30</v>
      </c>
      <c r="L52" s="715">
        <v>530.5</v>
      </c>
      <c r="M52" s="717">
        <v>530.5</v>
      </c>
    </row>
    <row r="53" spans="1:13" x14ac:dyDescent="0.3">
      <c r="A53" s="733" t="s">
        <v>642</v>
      </c>
      <c r="B53" s="710" t="s">
        <v>642</v>
      </c>
      <c r="C53" s="710" t="s">
        <v>642</v>
      </c>
      <c r="D53" s="710" t="s">
        <v>642</v>
      </c>
      <c r="E53" s="710" t="s">
        <v>642</v>
      </c>
      <c r="F53" s="710" t="s">
        <v>642</v>
      </c>
      <c r="G53" s="710" t="s">
        <v>642</v>
      </c>
      <c r="H53" s="710" t="s">
        <v>642</v>
      </c>
      <c r="I53" s="710" t="s">
        <v>642</v>
      </c>
      <c r="J53" s="710" t="s">
        <v>642</v>
      </c>
      <c r="K53" s="710" t="s">
        <v>642</v>
      </c>
      <c r="L53" s="710" t="s">
        <v>642</v>
      </c>
      <c r="M53" s="712" t="s">
        <v>642</v>
      </c>
    </row>
    <row r="54" spans="1:13" x14ac:dyDescent="0.3">
      <c r="A54" s="733" t="s">
        <v>304</v>
      </c>
      <c r="B54" s="710">
        <v>-195.1</v>
      </c>
      <c r="C54" s="710">
        <v>739</v>
      </c>
      <c r="D54" s="710">
        <v>-561.9</v>
      </c>
      <c r="E54" s="711">
        <v>2336.1999999999998</v>
      </c>
      <c r="F54" s="710">
        <v>-600.70000000000005</v>
      </c>
      <c r="G54" s="710">
        <v>-43.2</v>
      </c>
      <c r="H54" s="710">
        <v>669.9</v>
      </c>
      <c r="I54" s="711">
        <v>2082</v>
      </c>
      <c r="J54" s="710">
        <v>-81</v>
      </c>
      <c r="K54" s="711">
        <v>2610.3000000000002</v>
      </c>
      <c r="L54" s="711">
        <v>3617.8</v>
      </c>
      <c r="M54" s="713">
        <v>3617.8</v>
      </c>
    </row>
    <row r="55" spans="1:13" x14ac:dyDescent="0.3">
      <c r="A55" s="733" t="s">
        <v>642</v>
      </c>
      <c r="B55" s="710" t="s">
        <v>642</v>
      </c>
      <c r="C55" s="710" t="s">
        <v>642</v>
      </c>
      <c r="D55" s="710" t="s">
        <v>642</v>
      </c>
      <c r="E55" s="710" t="s">
        <v>642</v>
      </c>
      <c r="F55" s="710" t="s">
        <v>642</v>
      </c>
      <c r="G55" s="710" t="s">
        <v>642</v>
      </c>
      <c r="H55" s="710" t="s">
        <v>642</v>
      </c>
      <c r="I55" s="710" t="s">
        <v>642</v>
      </c>
      <c r="J55" s="710" t="s">
        <v>642</v>
      </c>
      <c r="K55" s="710" t="s">
        <v>642</v>
      </c>
      <c r="L55" s="710" t="s">
        <v>642</v>
      </c>
      <c r="M55" s="712" t="s">
        <v>642</v>
      </c>
    </row>
    <row r="56" spans="1:13" x14ac:dyDescent="0.3">
      <c r="A56" s="733" t="s">
        <v>932</v>
      </c>
      <c r="B56" s="710">
        <v>339.8</v>
      </c>
      <c r="C56" s="710">
        <v>982.1</v>
      </c>
      <c r="D56" s="710">
        <v>875.7</v>
      </c>
      <c r="E56" s="710">
        <v>618.79999999999995</v>
      </c>
      <c r="F56" s="711">
        <v>3568.4</v>
      </c>
      <c r="G56" s="711">
        <v>5153.2</v>
      </c>
      <c r="H56" s="710">
        <v>370.6</v>
      </c>
      <c r="I56" s="711">
        <v>1014.9</v>
      </c>
      <c r="J56" s="711">
        <v>3979.4</v>
      </c>
      <c r="K56" s="711">
        <v>1383.9</v>
      </c>
      <c r="L56" s="710">
        <v>552.1</v>
      </c>
      <c r="M56" s="712">
        <v>552.1</v>
      </c>
    </row>
    <row r="57" spans="1:13" x14ac:dyDescent="0.3">
      <c r="A57" s="733" t="s">
        <v>933</v>
      </c>
      <c r="B57" s="710">
        <v>151.6</v>
      </c>
      <c r="C57" s="710">
        <v>124.3</v>
      </c>
      <c r="D57" s="710">
        <v>125.8</v>
      </c>
      <c r="E57" s="710">
        <v>120.3</v>
      </c>
      <c r="F57" s="710">
        <v>126</v>
      </c>
      <c r="G57" s="710">
        <v>238.3</v>
      </c>
      <c r="H57" s="710">
        <v>288.60000000000002</v>
      </c>
      <c r="I57" s="710">
        <v>240.9</v>
      </c>
      <c r="J57" s="710">
        <v>494.5</v>
      </c>
      <c r="K57" s="711">
        <v>1261.5</v>
      </c>
      <c r="L57" s="711">
        <v>1276.5999999999999</v>
      </c>
      <c r="M57" s="713">
        <v>1276.5999999999999</v>
      </c>
    </row>
    <row r="58" spans="1:13" x14ac:dyDescent="0.3">
      <c r="A58" s="733" t="s">
        <v>642</v>
      </c>
      <c r="B58" s="710" t="s">
        <v>642</v>
      </c>
      <c r="C58" s="710" t="s">
        <v>642</v>
      </c>
      <c r="D58" s="710" t="s">
        <v>642</v>
      </c>
      <c r="E58" s="710" t="s">
        <v>642</v>
      </c>
      <c r="F58" s="710" t="s">
        <v>642</v>
      </c>
      <c r="G58" s="710" t="s">
        <v>642</v>
      </c>
      <c r="H58" s="710" t="s">
        <v>642</v>
      </c>
      <c r="I58" s="710" t="s">
        <v>642</v>
      </c>
      <c r="J58" s="710" t="s">
        <v>642</v>
      </c>
      <c r="K58" s="710" t="s">
        <v>642</v>
      </c>
      <c r="L58" s="710" t="s">
        <v>642</v>
      </c>
      <c r="M58" s="712" t="s">
        <v>642</v>
      </c>
    </row>
    <row r="59" spans="1:13" x14ac:dyDescent="0.3">
      <c r="A59" s="733" t="s">
        <v>799</v>
      </c>
      <c r="B59" s="710" t="s">
        <v>642</v>
      </c>
      <c r="C59" s="710" t="s">
        <v>642</v>
      </c>
      <c r="D59" s="710" t="s">
        <v>642</v>
      </c>
      <c r="E59" s="710" t="s">
        <v>642</v>
      </c>
      <c r="F59" s="710" t="s">
        <v>642</v>
      </c>
      <c r="G59" s="710" t="s">
        <v>642</v>
      </c>
      <c r="H59" s="710" t="s">
        <v>642</v>
      </c>
      <c r="I59" s="710" t="s">
        <v>642</v>
      </c>
      <c r="J59" s="710" t="s">
        <v>642</v>
      </c>
      <c r="K59" s="710" t="s">
        <v>642</v>
      </c>
      <c r="L59" s="710" t="s">
        <v>642</v>
      </c>
      <c r="M59" s="712" t="s">
        <v>642</v>
      </c>
    </row>
    <row r="60" spans="1:13" x14ac:dyDescent="0.3">
      <c r="A60" s="735" t="s">
        <v>216</v>
      </c>
      <c r="B60" s="716">
        <v>8553.4</v>
      </c>
      <c r="C60" s="716">
        <v>9289.2999999999993</v>
      </c>
      <c r="D60" s="716">
        <v>7733.1</v>
      </c>
      <c r="E60" s="716">
        <v>18747.5</v>
      </c>
      <c r="F60" s="716">
        <v>27272</v>
      </c>
      <c r="G60" s="716">
        <v>11339.6</v>
      </c>
      <c r="H60" s="716">
        <v>14784.5</v>
      </c>
      <c r="I60" s="716">
        <v>23067.1</v>
      </c>
      <c r="J60" s="716">
        <v>20960.900000000001</v>
      </c>
      <c r="K60" s="716">
        <v>5943.4</v>
      </c>
      <c r="L60" s="716">
        <v>36048.800000000003</v>
      </c>
      <c r="M60" s="718">
        <v>36048.800000000003</v>
      </c>
    </row>
    <row r="61" spans="1:13" x14ac:dyDescent="0.3">
      <c r="A61" s="735" t="s">
        <v>934</v>
      </c>
      <c r="B61" s="715">
        <v>49.95</v>
      </c>
      <c r="C61" s="715">
        <v>49.42</v>
      </c>
      <c r="D61" s="715">
        <v>44.97</v>
      </c>
      <c r="E61" s="715">
        <v>62.26</v>
      </c>
      <c r="F61" s="715">
        <v>67.430000000000007</v>
      </c>
      <c r="G61" s="715">
        <v>42.01</v>
      </c>
      <c r="H61" s="715">
        <v>46.35</v>
      </c>
      <c r="I61" s="715">
        <v>53.65</v>
      </c>
      <c r="J61" s="715">
        <v>46.97</v>
      </c>
      <c r="K61" s="715">
        <v>18.14</v>
      </c>
      <c r="L61" s="715">
        <v>54.46</v>
      </c>
      <c r="M61" s="717">
        <v>54.46</v>
      </c>
    </row>
    <row r="62" spans="1:13" x14ac:dyDescent="0.3">
      <c r="A62" s="735" t="s">
        <v>935</v>
      </c>
      <c r="B62" s="715">
        <v>35.700000000000003</v>
      </c>
      <c r="C62" s="715">
        <v>51.6</v>
      </c>
      <c r="D62" s="715">
        <v>42.9</v>
      </c>
      <c r="E62" s="715">
        <v>41.7</v>
      </c>
      <c r="F62" s="715">
        <v>81.3</v>
      </c>
      <c r="G62" s="715">
        <v>30.5</v>
      </c>
      <c r="H62" s="715">
        <v>40.6</v>
      </c>
      <c r="I62" s="715">
        <v>17.3</v>
      </c>
      <c r="J62" s="715">
        <v>77.400000000000006</v>
      </c>
      <c r="K62" s="715">
        <v>198.9</v>
      </c>
      <c r="L62" s="715">
        <v>323</v>
      </c>
      <c r="M62" s="717">
        <v>323</v>
      </c>
    </row>
    <row r="63" spans="1:13" x14ac:dyDescent="0.3">
      <c r="A63" s="735" t="s">
        <v>936</v>
      </c>
      <c r="B63" s="715" t="s">
        <v>741</v>
      </c>
      <c r="C63" s="715" t="s">
        <v>741</v>
      </c>
      <c r="D63" s="715" t="s">
        <v>741</v>
      </c>
      <c r="E63" s="715" t="s">
        <v>741</v>
      </c>
      <c r="F63" s="715">
        <v>33.299999999999997</v>
      </c>
      <c r="G63" s="715">
        <v>2.5</v>
      </c>
      <c r="H63" s="715">
        <v>0</v>
      </c>
      <c r="I63" s="716">
        <v>7250.1</v>
      </c>
      <c r="J63" s="716">
        <v>1027.7</v>
      </c>
      <c r="K63" s="715" t="s">
        <v>741</v>
      </c>
      <c r="L63" s="715" t="s">
        <v>741</v>
      </c>
      <c r="M63" s="717" t="s">
        <v>642</v>
      </c>
    </row>
    <row r="64" spans="1:13" x14ac:dyDescent="0.3">
      <c r="A64" s="735" t="s">
        <v>937</v>
      </c>
      <c r="B64" s="716">
        <v>1066</v>
      </c>
      <c r="C64" s="716">
        <v>2544.9</v>
      </c>
      <c r="D64" s="715">
        <v>-407.4</v>
      </c>
      <c r="E64" s="716">
        <v>5562.3</v>
      </c>
      <c r="F64" s="716">
        <v>6191.1</v>
      </c>
      <c r="G64" s="716">
        <v>-7370.5</v>
      </c>
      <c r="H64" s="716">
        <v>2245.9</v>
      </c>
      <c r="I64" s="716">
        <v>7311</v>
      </c>
      <c r="J64" s="716">
        <v>-4229.7</v>
      </c>
      <c r="K64" s="716">
        <v>-4046.9</v>
      </c>
      <c r="L64" s="716">
        <v>13850.4</v>
      </c>
      <c r="M64" s="718">
        <v>13841.8</v>
      </c>
    </row>
    <row r="65" spans="1:13" x14ac:dyDescent="0.3">
      <c r="A65" s="735" t="s">
        <v>938</v>
      </c>
      <c r="B65" s="716">
        <v>1207.5999999999999</v>
      </c>
      <c r="C65" s="716">
        <v>2642.1</v>
      </c>
      <c r="D65" s="715">
        <v>-296.89999999999998</v>
      </c>
      <c r="E65" s="716">
        <v>5660.4</v>
      </c>
      <c r="F65" s="716">
        <v>6260</v>
      </c>
      <c r="G65" s="716">
        <v>-7167.8</v>
      </c>
      <c r="H65" s="716">
        <v>2439.3000000000002</v>
      </c>
      <c r="I65" s="716">
        <v>7497.3</v>
      </c>
      <c r="J65" s="716">
        <v>-3931.2</v>
      </c>
      <c r="K65" s="715" t="s">
        <v>741</v>
      </c>
      <c r="L65" s="716">
        <v>14965.3</v>
      </c>
      <c r="M65" s="718">
        <v>14947.7</v>
      </c>
    </row>
    <row r="66" spans="1:13" x14ac:dyDescent="0.3">
      <c r="A66" s="735" t="s">
        <v>939</v>
      </c>
      <c r="B66" s="716">
        <v>1293.3</v>
      </c>
      <c r="C66" s="716">
        <v>2293</v>
      </c>
      <c r="D66" s="715">
        <v>224.6</v>
      </c>
      <c r="E66" s="716">
        <v>5878.9</v>
      </c>
      <c r="F66" s="716">
        <v>7370</v>
      </c>
      <c r="G66" s="716">
        <v>-2458.6999999999998</v>
      </c>
      <c r="H66" s="716">
        <v>3237</v>
      </c>
      <c r="I66" s="716">
        <v>12679.8</v>
      </c>
      <c r="J66" s="715">
        <v>585</v>
      </c>
      <c r="K66" s="716">
        <v>3999.9</v>
      </c>
      <c r="L66" s="716">
        <v>5920</v>
      </c>
      <c r="M66" s="718">
        <v>5920</v>
      </c>
    </row>
    <row r="67" spans="1:13" x14ac:dyDescent="0.3">
      <c r="A67" s="735" t="s">
        <v>940</v>
      </c>
      <c r="B67" s="716">
        <v>1484.23</v>
      </c>
      <c r="C67" s="716">
        <v>3533.87</v>
      </c>
      <c r="D67" s="715">
        <v>-577.1</v>
      </c>
      <c r="E67" s="716">
        <v>7878.61</v>
      </c>
      <c r="F67" s="716">
        <v>8866.17</v>
      </c>
      <c r="G67" s="716">
        <v>-10775.57</v>
      </c>
      <c r="H67" s="716">
        <v>3283.48</v>
      </c>
      <c r="I67" s="716">
        <v>10651.07</v>
      </c>
      <c r="J67" s="716">
        <v>-6151.05</v>
      </c>
      <c r="K67" s="716">
        <v>-5881.75</v>
      </c>
      <c r="L67" s="716">
        <v>20109.97</v>
      </c>
      <c r="M67" s="718">
        <v>20095.919999999998</v>
      </c>
    </row>
    <row r="68" spans="1:13" x14ac:dyDescent="0.3">
      <c r="A68" s="735" t="s">
        <v>941</v>
      </c>
      <c r="B68" s="715">
        <v>32.17</v>
      </c>
      <c r="C68" s="715">
        <v>8.6999999999999993</v>
      </c>
      <c r="D68" s="715" t="s">
        <v>741</v>
      </c>
      <c r="E68" s="715">
        <v>9.7100000000000009</v>
      </c>
      <c r="F68" s="715">
        <v>6.82</v>
      </c>
      <c r="G68" s="715" t="s">
        <v>741</v>
      </c>
      <c r="H68" s="715">
        <v>36.090000000000003</v>
      </c>
      <c r="I68" s="715">
        <v>12.3</v>
      </c>
      <c r="J68" s="715" t="s">
        <v>741</v>
      </c>
      <c r="K68" s="715" t="s">
        <v>741</v>
      </c>
      <c r="L68" s="715">
        <v>8.65</v>
      </c>
      <c r="M68" s="717">
        <v>10.52</v>
      </c>
    </row>
    <row r="69" spans="1:13" x14ac:dyDescent="0.3">
      <c r="A69" s="735" t="s">
        <v>246</v>
      </c>
      <c r="B69" s="715">
        <v>1.4</v>
      </c>
      <c r="C69" s="715">
        <v>2.16</v>
      </c>
      <c r="D69" s="715">
        <v>1.88</v>
      </c>
      <c r="E69" s="715">
        <v>1.38</v>
      </c>
      <c r="F69" s="715">
        <v>1.43</v>
      </c>
      <c r="G69" s="715">
        <v>3.27</v>
      </c>
      <c r="H69" s="715">
        <v>2.59</v>
      </c>
      <c r="I69" s="715">
        <v>2.06</v>
      </c>
      <c r="J69" s="715">
        <v>6.63</v>
      </c>
      <c r="K69" s="715" t="s">
        <v>741</v>
      </c>
      <c r="L69" s="715">
        <v>1.51</v>
      </c>
      <c r="M69" s="717">
        <v>1.38</v>
      </c>
    </row>
    <row r="70" spans="1:13" x14ac:dyDescent="0.3">
      <c r="A70" s="741" t="s">
        <v>811</v>
      </c>
      <c r="B70" s="724"/>
      <c r="C70" s="724"/>
      <c r="D70" s="724"/>
      <c r="E70" s="723" t="s">
        <v>642</v>
      </c>
      <c r="F70" s="723" t="s">
        <v>642</v>
      </c>
      <c r="G70" s="723" t="s">
        <v>642</v>
      </c>
      <c r="H70" s="723" t="s">
        <v>642</v>
      </c>
      <c r="I70" s="723" t="s">
        <v>642</v>
      </c>
      <c r="J70" s="723" t="s">
        <v>642</v>
      </c>
      <c r="K70" s="723" t="s">
        <v>642</v>
      </c>
      <c r="L70" s="723" t="s">
        <v>642</v>
      </c>
      <c r="M70" s="723" t="s">
        <v>642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79998168889431442"/>
  </sheetPr>
  <dimension ref="A1:D28"/>
  <sheetViews>
    <sheetView showGridLines="0" zoomScaleNormal="100" zoomScaleSheetLayoutView="100" workbookViewId="0"/>
  </sheetViews>
  <sheetFormatPr defaultRowHeight="14" x14ac:dyDescent="0.3"/>
  <cols>
    <col min="2" max="2" width="12.25" bestFit="1" customWidth="1"/>
    <col min="3" max="3" width="11.75" bestFit="1" customWidth="1"/>
    <col min="4" max="4" width="12.25" bestFit="1" customWidth="1"/>
  </cols>
  <sheetData>
    <row r="1" spans="1:4" x14ac:dyDescent="0.3">
      <c r="A1" t="s">
        <v>629</v>
      </c>
    </row>
    <row r="2" spans="1:4" ht="14.5" x14ac:dyDescent="0.35">
      <c r="A2" s="701" t="s">
        <v>539</v>
      </c>
      <c r="B2" s="701" t="s">
        <v>109</v>
      </c>
      <c r="C2" s="701" t="s">
        <v>942</v>
      </c>
      <c r="D2" s="701" t="s">
        <v>943</v>
      </c>
    </row>
    <row r="3" spans="1:4" ht="14.5" x14ac:dyDescent="0.35">
      <c r="A3" s="743" t="s">
        <v>109</v>
      </c>
      <c r="B3" s="744">
        <v>16130500000000</v>
      </c>
      <c r="C3" s="744">
        <v>11740500000000</v>
      </c>
      <c r="D3" s="744">
        <v>4390000000000</v>
      </c>
    </row>
    <row r="4" spans="1:4" ht="14.5" x14ac:dyDescent="0.35">
      <c r="A4" s="743">
        <v>2025</v>
      </c>
      <c r="B4" s="744">
        <v>530270000000</v>
      </c>
      <c r="C4" s="744">
        <v>440270000000</v>
      </c>
      <c r="D4" s="743">
        <v>90000000000</v>
      </c>
    </row>
    <row r="5" spans="1:4" ht="14.5" x14ac:dyDescent="0.35">
      <c r="A5" s="743">
        <v>2026</v>
      </c>
      <c r="B5" s="744">
        <v>3478240000000</v>
      </c>
      <c r="C5" s="744">
        <v>2568240000000</v>
      </c>
      <c r="D5" s="744">
        <v>910000000000</v>
      </c>
    </row>
    <row r="6" spans="1:4" ht="14.5" x14ac:dyDescent="0.35">
      <c r="A6" s="743">
        <v>2027</v>
      </c>
      <c r="B6" s="744">
        <v>1213780000000</v>
      </c>
      <c r="C6" s="744">
        <v>733783000000</v>
      </c>
      <c r="D6" s="744">
        <v>480000000000</v>
      </c>
    </row>
    <row r="7" spans="1:4" ht="14.5" x14ac:dyDescent="0.35">
      <c r="A7" s="743">
        <v>2028</v>
      </c>
      <c r="B7" s="744">
        <v>2767570000000</v>
      </c>
      <c r="C7" s="744">
        <v>1467570000000</v>
      </c>
      <c r="D7" s="744">
        <v>1300000000000</v>
      </c>
    </row>
    <row r="8" spans="1:4" ht="14.5" x14ac:dyDescent="0.35">
      <c r="A8" s="743">
        <v>2029</v>
      </c>
      <c r="B8" s="744">
        <v>2017570000000</v>
      </c>
      <c r="C8" s="744">
        <v>1467570000000</v>
      </c>
      <c r="D8" s="744">
        <v>550000000000</v>
      </c>
    </row>
    <row r="9" spans="1:4" ht="14.5" x14ac:dyDescent="0.35">
      <c r="A9" s="743">
        <v>2030</v>
      </c>
      <c r="B9" s="744">
        <v>3014860000000</v>
      </c>
      <c r="C9" s="744">
        <v>2494860000000</v>
      </c>
      <c r="D9" s="744">
        <v>520000000000</v>
      </c>
    </row>
    <row r="10" spans="1:4" ht="14.5" x14ac:dyDescent="0.35">
      <c r="A10" s="743">
        <v>2031</v>
      </c>
      <c r="B10" s="744">
        <v>1757570000000</v>
      </c>
      <c r="C10" s="744">
        <v>1467570000000</v>
      </c>
      <c r="D10" s="744">
        <v>290000000000</v>
      </c>
    </row>
    <row r="11" spans="1:4" ht="14.5" x14ac:dyDescent="0.35">
      <c r="A11" s="743">
        <v>2032</v>
      </c>
      <c r="B11" s="743">
        <v>70000000000</v>
      </c>
      <c r="C11" s="743">
        <v>0</v>
      </c>
      <c r="D11" s="743">
        <v>70000000000</v>
      </c>
    </row>
    <row r="12" spans="1:4" ht="14.5" x14ac:dyDescent="0.35">
      <c r="A12" s="743">
        <v>2033</v>
      </c>
      <c r="B12" s="744">
        <v>1180680000000</v>
      </c>
      <c r="C12" s="744">
        <v>1100680000000</v>
      </c>
      <c r="D12" s="743">
        <v>80000000000</v>
      </c>
    </row>
    <row r="13" spans="1:4" ht="14.5" x14ac:dyDescent="0.35">
      <c r="A13" s="743">
        <v>2034</v>
      </c>
      <c r="B13" s="744">
        <v>0</v>
      </c>
      <c r="C13" s="744">
        <v>0</v>
      </c>
      <c r="D13" s="743">
        <v>0</v>
      </c>
    </row>
    <row r="14" spans="1:4" ht="14.5" x14ac:dyDescent="0.35">
      <c r="A14" s="743">
        <v>2035</v>
      </c>
      <c r="B14" s="744">
        <v>100000000000</v>
      </c>
      <c r="C14" s="743">
        <v>0</v>
      </c>
      <c r="D14" s="744">
        <v>100000000000</v>
      </c>
    </row>
    <row r="16" spans="1:4" x14ac:dyDescent="0.3">
      <c r="A16" t="s">
        <v>630</v>
      </c>
    </row>
    <row r="17" spans="1:3" ht="14.5" x14ac:dyDescent="0.35">
      <c r="A17" s="701" t="s">
        <v>539</v>
      </c>
      <c r="B17" s="701" t="s">
        <v>109</v>
      </c>
      <c r="C17" s="701" t="s">
        <v>942</v>
      </c>
    </row>
    <row r="18" spans="1:3" ht="14.5" x14ac:dyDescent="0.35">
      <c r="A18" s="743" t="s">
        <v>109</v>
      </c>
      <c r="B18" s="744">
        <v>7631350000000</v>
      </c>
      <c r="C18" s="744">
        <v>7631350000000</v>
      </c>
    </row>
    <row r="19" spans="1:3" ht="14.5" x14ac:dyDescent="0.35">
      <c r="A19" s="743">
        <v>2025</v>
      </c>
      <c r="B19" s="744">
        <v>2935130000000</v>
      </c>
      <c r="C19" s="744">
        <v>2935130000000</v>
      </c>
    </row>
    <row r="20" spans="1:3" ht="14.5" x14ac:dyDescent="0.35">
      <c r="A20" s="743">
        <v>2026</v>
      </c>
      <c r="B20" s="744">
        <v>293513000000</v>
      </c>
      <c r="C20" s="744">
        <v>293513000000</v>
      </c>
    </row>
    <row r="21" spans="1:3" ht="14.5" x14ac:dyDescent="0.35">
      <c r="A21" s="743">
        <v>2027</v>
      </c>
      <c r="B21" s="744">
        <v>1467570000000</v>
      </c>
      <c r="C21" s="744">
        <v>1467570000000</v>
      </c>
    </row>
    <row r="22" spans="1:3" ht="14.5" x14ac:dyDescent="0.35">
      <c r="A22" s="743">
        <v>2028</v>
      </c>
      <c r="B22" s="744">
        <v>0</v>
      </c>
      <c r="C22" s="744">
        <v>0</v>
      </c>
    </row>
    <row r="23" spans="1:3" ht="14.5" x14ac:dyDescent="0.35">
      <c r="A23" s="743">
        <v>2029</v>
      </c>
      <c r="B23" s="744">
        <v>0</v>
      </c>
      <c r="C23" s="744">
        <v>0</v>
      </c>
    </row>
    <row r="24" spans="1:3" ht="14.5" x14ac:dyDescent="0.35">
      <c r="A24" s="743">
        <v>2030</v>
      </c>
      <c r="B24" s="744">
        <v>0</v>
      </c>
      <c r="C24" s="744">
        <v>0</v>
      </c>
    </row>
    <row r="25" spans="1:3" ht="14.5" x14ac:dyDescent="0.35">
      <c r="A25" s="743">
        <v>2031</v>
      </c>
      <c r="B25" s="744">
        <v>0</v>
      </c>
      <c r="C25" s="744">
        <v>0</v>
      </c>
    </row>
    <row r="26" spans="1:3" ht="14.5" x14ac:dyDescent="0.35">
      <c r="A26" s="743">
        <v>2032</v>
      </c>
      <c r="B26" s="744">
        <v>1467570000000</v>
      </c>
      <c r="C26" s="744">
        <v>1467570000000</v>
      </c>
    </row>
    <row r="27" spans="1:3" ht="14.5" x14ac:dyDescent="0.35">
      <c r="A27" s="743">
        <v>2033</v>
      </c>
      <c r="B27" s="744">
        <v>0</v>
      </c>
      <c r="C27" s="744">
        <v>0</v>
      </c>
    </row>
    <row r="28" spans="1:3" ht="14.5" x14ac:dyDescent="0.35">
      <c r="A28" s="743">
        <v>2034</v>
      </c>
      <c r="B28" s="744">
        <v>1467570000000</v>
      </c>
      <c r="C28" s="744">
        <v>1467570000000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79998168889431442"/>
  </sheetPr>
  <dimension ref="A1:X67"/>
  <sheetViews>
    <sheetView showGridLines="0" zoomScaleNormal="100" zoomScaleSheetLayoutView="100" workbookViewId="0"/>
  </sheetViews>
  <sheetFormatPr defaultRowHeight="14" x14ac:dyDescent="0.3"/>
  <cols>
    <col min="1" max="1" width="48.08203125" customWidth="1"/>
    <col min="2" max="15" width="14.75" customWidth="1"/>
    <col min="16" max="22" width="11.58203125" bestFit="1" customWidth="1"/>
    <col min="23" max="24" width="11.75" bestFit="1" customWidth="1"/>
  </cols>
  <sheetData>
    <row r="1" spans="1:18" ht="20" x14ac:dyDescent="0.4">
      <c r="A1" s="702" t="s">
        <v>944</v>
      </c>
      <c r="B1" s="703"/>
      <c r="C1" s="703"/>
      <c r="D1" s="703"/>
      <c r="E1" s="703"/>
      <c r="F1" s="703"/>
      <c r="G1" s="703"/>
      <c r="H1" s="702" t="s">
        <v>642</v>
      </c>
      <c r="I1" s="702" t="s">
        <v>642</v>
      </c>
      <c r="J1" s="702" t="s">
        <v>642</v>
      </c>
      <c r="K1" s="702" t="s">
        <v>642</v>
      </c>
      <c r="L1" s="702" t="s">
        <v>642</v>
      </c>
      <c r="M1" s="702" t="s">
        <v>642</v>
      </c>
      <c r="N1" s="702" t="s">
        <v>642</v>
      </c>
      <c r="O1" s="702" t="s">
        <v>642</v>
      </c>
      <c r="P1" s="702" t="s">
        <v>642</v>
      </c>
      <c r="Q1" s="702" t="s">
        <v>642</v>
      </c>
      <c r="R1" s="702" t="s">
        <v>642</v>
      </c>
    </row>
    <row r="2" spans="1:18" ht="14.5" x14ac:dyDescent="0.35">
      <c r="A2" s="745" t="s">
        <v>945</v>
      </c>
      <c r="B2" s="745"/>
      <c r="C2" s="745"/>
      <c r="D2" s="745"/>
      <c r="E2" s="745"/>
      <c r="F2" s="745"/>
      <c r="G2" s="745"/>
      <c r="H2" s="745"/>
      <c r="I2" s="745"/>
      <c r="J2" s="745"/>
      <c r="K2" s="745"/>
      <c r="L2" s="745"/>
      <c r="M2" s="745"/>
      <c r="N2" s="745"/>
      <c r="O2" s="745"/>
      <c r="P2" s="745"/>
      <c r="Q2" s="745"/>
      <c r="R2" s="743"/>
    </row>
    <row r="3" spans="1:18" x14ac:dyDescent="0.3">
      <c r="A3" s="705" t="s">
        <v>946</v>
      </c>
      <c r="B3" s="706" t="s">
        <v>947</v>
      </c>
      <c r="C3" s="706" t="s">
        <v>948</v>
      </c>
      <c r="D3" s="706" t="s">
        <v>949</v>
      </c>
      <c r="E3" s="706" t="s">
        <v>950</v>
      </c>
      <c r="F3" s="706" t="s">
        <v>951</v>
      </c>
      <c r="G3" s="706" t="s">
        <v>952</v>
      </c>
      <c r="H3" s="706" t="s">
        <v>953</v>
      </c>
      <c r="I3" s="706" t="s">
        <v>954</v>
      </c>
      <c r="J3" s="706" t="s">
        <v>955</v>
      </c>
      <c r="K3" s="706" t="s">
        <v>956</v>
      </c>
      <c r="L3" s="706" t="s">
        <v>957</v>
      </c>
      <c r="M3" s="706" t="s">
        <v>958</v>
      </c>
      <c r="N3" s="706" t="s">
        <v>959</v>
      </c>
      <c r="O3" s="706" t="s">
        <v>960</v>
      </c>
    </row>
    <row r="4" spans="1:18" x14ac:dyDescent="0.3">
      <c r="A4" s="707" t="s">
        <v>738</v>
      </c>
      <c r="B4" s="708">
        <v>41639</v>
      </c>
      <c r="C4" s="708">
        <v>42004</v>
      </c>
      <c r="D4" s="708">
        <v>42369</v>
      </c>
      <c r="E4" s="708">
        <v>42735</v>
      </c>
      <c r="F4" s="708">
        <v>43100</v>
      </c>
      <c r="G4" s="708">
        <v>43465</v>
      </c>
      <c r="H4" s="708">
        <v>43830</v>
      </c>
      <c r="I4" s="708">
        <v>44196</v>
      </c>
      <c r="J4" s="708">
        <v>44561</v>
      </c>
      <c r="K4" s="708">
        <v>44926</v>
      </c>
      <c r="L4" s="708">
        <v>45291</v>
      </c>
      <c r="M4" s="708">
        <v>45657</v>
      </c>
      <c r="N4" s="708">
        <v>46022</v>
      </c>
      <c r="O4" s="708">
        <v>46387</v>
      </c>
    </row>
    <row r="5" spans="1:18" x14ac:dyDescent="0.3">
      <c r="A5" s="714" t="s">
        <v>961</v>
      </c>
      <c r="B5" s="716">
        <v>14165.1</v>
      </c>
      <c r="C5" s="716">
        <v>17125.57</v>
      </c>
      <c r="D5" s="716">
        <v>18798</v>
      </c>
      <c r="E5" s="716">
        <v>17197.98</v>
      </c>
      <c r="F5" s="716">
        <v>30109.43</v>
      </c>
      <c r="G5" s="716">
        <v>40445.07</v>
      </c>
      <c r="H5" s="716">
        <v>26990.73</v>
      </c>
      <c r="I5" s="716">
        <v>31900.42</v>
      </c>
      <c r="J5" s="716">
        <v>42997.79</v>
      </c>
      <c r="K5" s="716">
        <v>44621.57</v>
      </c>
      <c r="L5" s="716">
        <v>32765.72</v>
      </c>
      <c r="M5" s="716">
        <v>66192.960000000006</v>
      </c>
      <c r="N5" s="715" t="s">
        <v>642</v>
      </c>
      <c r="O5" s="715" t="s">
        <v>642</v>
      </c>
    </row>
    <row r="6" spans="1:18" x14ac:dyDescent="0.3">
      <c r="A6" s="714" t="s">
        <v>962</v>
      </c>
      <c r="B6" s="716">
        <v>10211.99</v>
      </c>
      <c r="C6" s="716">
        <v>13311.63</v>
      </c>
      <c r="D6" s="716">
        <v>14045.34</v>
      </c>
      <c r="E6" s="716">
        <v>12340.77</v>
      </c>
      <c r="F6" s="716">
        <v>22887.26</v>
      </c>
      <c r="G6" s="716">
        <v>32370.94</v>
      </c>
      <c r="H6" s="716">
        <v>20292.689999999999</v>
      </c>
      <c r="I6" s="716">
        <v>22536.400000000001</v>
      </c>
      <c r="J6" s="716">
        <v>30599.71</v>
      </c>
      <c r="K6" s="716">
        <v>28168.799999999999</v>
      </c>
      <c r="L6" s="716">
        <v>20768.66</v>
      </c>
      <c r="M6" s="716">
        <v>44731.66</v>
      </c>
      <c r="N6" s="716">
        <v>63127.18</v>
      </c>
      <c r="O6" s="716">
        <v>75678.960000000006</v>
      </c>
    </row>
    <row r="7" spans="1:18" x14ac:dyDescent="0.3">
      <c r="A7" s="714" t="s">
        <v>963</v>
      </c>
      <c r="B7" s="715">
        <v>72.09</v>
      </c>
      <c r="C7" s="715">
        <v>77.73</v>
      </c>
      <c r="D7" s="715">
        <v>74.72</v>
      </c>
      <c r="E7" s="715">
        <v>71.760000000000005</v>
      </c>
      <c r="F7" s="715">
        <v>76.010000000000005</v>
      </c>
      <c r="G7" s="715">
        <v>80.040000000000006</v>
      </c>
      <c r="H7" s="715">
        <v>75.180000000000007</v>
      </c>
      <c r="I7" s="715">
        <v>70.650000000000006</v>
      </c>
      <c r="J7" s="715">
        <v>71.17</v>
      </c>
      <c r="K7" s="715">
        <v>63.13</v>
      </c>
      <c r="L7" s="715">
        <v>63.39</v>
      </c>
      <c r="M7" s="715">
        <v>67.58</v>
      </c>
      <c r="N7" s="715" t="s">
        <v>642</v>
      </c>
      <c r="O7" s="715" t="s">
        <v>642</v>
      </c>
    </row>
    <row r="8" spans="1:18" x14ac:dyDescent="0.3">
      <c r="A8" s="714" t="s">
        <v>964</v>
      </c>
      <c r="B8" s="716">
        <v>3391.56</v>
      </c>
      <c r="C8" s="716">
        <v>3320.66</v>
      </c>
      <c r="D8" s="716">
        <v>4148.32</v>
      </c>
      <c r="E8" s="716">
        <v>4347.54</v>
      </c>
      <c r="F8" s="716">
        <v>6648.75</v>
      </c>
      <c r="G8" s="716">
        <v>7420.86</v>
      </c>
      <c r="H8" s="716">
        <v>5139.5600000000004</v>
      </c>
      <c r="I8" s="716">
        <v>7471.24</v>
      </c>
      <c r="J8" s="716">
        <v>10529.45</v>
      </c>
      <c r="K8" s="716">
        <v>14183.92</v>
      </c>
      <c r="L8" s="716">
        <v>9653.06</v>
      </c>
      <c r="M8" s="716">
        <v>19274.11</v>
      </c>
      <c r="N8" s="716">
        <v>20161.05</v>
      </c>
      <c r="O8" s="716">
        <v>21458.07</v>
      </c>
    </row>
    <row r="9" spans="1:18" x14ac:dyDescent="0.3">
      <c r="A9" s="714" t="s">
        <v>963</v>
      </c>
      <c r="B9" s="715">
        <v>23.94</v>
      </c>
      <c r="C9" s="715">
        <v>19.39</v>
      </c>
      <c r="D9" s="715">
        <v>22.07</v>
      </c>
      <c r="E9" s="715">
        <v>25.28</v>
      </c>
      <c r="F9" s="715">
        <v>22.08</v>
      </c>
      <c r="G9" s="715">
        <v>18.350000000000001</v>
      </c>
      <c r="H9" s="715">
        <v>19.04</v>
      </c>
      <c r="I9" s="715">
        <v>23.42</v>
      </c>
      <c r="J9" s="715">
        <v>24.49</v>
      </c>
      <c r="K9" s="715">
        <v>31.79</v>
      </c>
      <c r="L9" s="715">
        <v>29.46</v>
      </c>
      <c r="M9" s="715">
        <v>29.12</v>
      </c>
      <c r="N9" s="715" t="s">
        <v>642</v>
      </c>
      <c r="O9" s="715" t="s">
        <v>642</v>
      </c>
    </row>
    <row r="10" spans="1:18" x14ac:dyDescent="0.3">
      <c r="A10" s="714" t="s">
        <v>965</v>
      </c>
      <c r="B10" s="715">
        <v>561.54999999999995</v>
      </c>
      <c r="C10" s="715">
        <v>493.28</v>
      </c>
      <c r="D10" s="715">
        <v>604.34</v>
      </c>
      <c r="E10" s="715">
        <v>509.67</v>
      </c>
      <c r="F10" s="715">
        <v>573.42999999999995</v>
      </c>
      <c r="G10" s="715">
        <v>653.27</v>
      </c>
      <c r="H10" s="716">
        <v>1558.48</v>
      </c>
      <c r="I10" s="716">
        <v>1892.77</v>
      </c>
      <c r="J10" s="716">
        <v>1868.63</v>
      </c>
      <c r="K10" s="716">
        <v>2268.84</v>
      </c>
      <c r="L10" s="716">
        <v>2344</v>
      </c>
      <c r="M10" s="716">
        <v>2187.1799999999998</v>
      </c>
      <c r="N10" s="716">
        <v>2183.0700000000002</v>
      </c>
      <c r="O10" s="716">
        <v>2253.9699999999998</v>
      </c>
    </row>
    <row r="11" spans="1:18" x14ac:dyDescent="0.3">
      <c r="A11" s="714" t="s">
        <v>963</v>
      </c>
      <c r="B11" s="715">
        <v>3.96</v>
      </c>
      <c r="C11" s="715">
        <v>2.88</v>
      </c>
      <c r="D11" s="715">
        <v>3.21</v>
      </c>
      <c r="E11" s="715">
        <v>2.96</v>
      </c>
      <c r="F11" s="715">
        <v>1.9</v>
      </c>
      <c r="G11" s="715">
        <v>1.62</v>
      </c>
      <c r="H11" s="715">
        <v>5.77</v>
      </c>
      <c r="I11" s="715">
        <v>5.93</v>
      </c>
      <c r="J11" s="715">
        <v>4.3499999999999996</v>
      </c>
      <c r="K11" s="715">
        <v>5.08</v>
      </c>
      <c r="L11" s="715">
        <v>7.15</v>
      </c>
      <c r="M11" s="715">
        <v>3.3</v>
      </c>
      <c r="N11" s="715" t="s">
        <v>642</v>
      </c>
      <c r="O11" s="715" t="s">
        <v>642</v>
      </c>
    </row>
    <row r="12" spans="1:18" x14ac:dyDescent="0.3">
      <c r="A12" s="723" t="s">
        <v>811</v>
      </c>
      <c r="B12" s="723" t="s">
        <v>642</v>
      </c>
      <c r="C12" s="723" t="s">
        <v>642</v>
      </c>
      <c r="D12" s="723" t="s">
        <v>642</v>
      </c>
      <c r="E12" s="723" t="s">
        <v>642</v>
      </c>
      <c r="F12" s="723" t="s">
        <v>642</v>
      </c>
      <c r="G12" s="723" t="s">
        <v>642</v>
      </c>
      <c r="H12" s="723" t="s">
        <v>642</v>
      </c>
      <c r="I12" s="723" t="s">
        <v>642</v>
      </c>
      <c r="J12" s="723" t="s">
        <v>642</v>
      </c>
      <c r="K12" s="723" t="s">
        <v>642</v>
      </c>
      <c r="L12" s="723" t="s">
        <v>642</v>
      </c>
      <c r="M12" s="723" t="s">
        <v>642</v>
      </c>
      <c r="N12" s="723" t="s">
        <v>642</v>
      </c>
      <c r="O12" s="723" t="s">
        <v>642</v>
      </c>
    </row>
    <row r="14" spans="1:18" ht="20" x14ac:dyDescent="0.4">
      <c r="A14" s="702" t="s">
        <v>944</v>
      </c>
      <c r="B14" s="703"/>
      <c r="C14" s="703"/>
      <c r="D14" s="703"/>
      <c r="E14" s="703"/>
      <c r="F14" s="703"/>
      <c r="G14" s="703"/>
      <c r="H14" s="702" t="s">
        <v>642</v>
      </c>
      <c r="I14" s="702" t="s">
        <v>642</v>
      </c>
      <c r="J14" s="702" t="s">
        <v>642</v>
      </c>
      <c r="K14" s="702" t="s">
        <v>642</v>
      </c>
      <c r="L14" s="702" t="s">
        <v>642</v>
      </c>
      <c r="M14" s="702" t="s">
        <v>642</v>
      </c>
      <c r="N14" s="702" t="s">
        <v>642</v>
      </c>
      <c r="O14" s="702" t="s">
        <v>642</v>
      </c>
      <c r="P14" s="702" t="s">
        <v>642</v>
      </c>
      <c r="Q14" s="702" t="s">
        <v>642</v>
      </c>
      <c r="R14" s="702" t="s">
        <v>642</v>
      </c>
    </row>
    <row r="15" spans="1:18" ht="14.5" x14ac:dyDescent="0.35">
      <c r="A15" s="745" t="s">
        <v>945</v>
      </c>
      <c r="B15" s="745"/>
      <c r="C15" s="745"/>
      <c r="D15" s="745"/>
      <c r="E15" s="745"/>
      <c r="F15" s="745"/>
      <c r="G15" s="745"/>
      <c r="H15" s="745"/>
      <c r="I15" s="745"/>
      <c r="J15" s="745"/>
      <c r="K15" s="745"/>
      <c r="L15" s="745"/>
      <c r="M15" s="745"/>
      <c r="N15" s="745"/>
      <c r="O15" s="745"/>
      <c r="P15" s="745"/>
      <c r="Q15" s="745"/>
      <c r="R15" s="743"/>
    </row>
    <row r="16" spans="1:18" x14ac:dyDescent="0.3">
      <c r="A16" s="705" t="s">
        <v>946</v>
      </c>
      <c r="B16" s="706" t="s">
        <v>947</v>
      </c>
      <c r="C16" s="706" t="s">
        <v>948</v>
      </c>
      <c r="D16" s="706" t="s">
        <v>949</v>
      </c>
      <c r="E16" s="706" t="s">
        <v>950</v>
      </c>
      <c r="F16" s="706" t="s">
        <v>951</v>
      </c>
      <c r="G16" s="706" t="s">
        <v>952</v>
      </c>
      <c r="H16" s="706" t="s">
        <v>953</v>
      </c>
      <c r="I16" s="706" t="s">
        <v>954</v>
      </c>
      <c r="J16" s="706" t="s">
        <v>955</v>
      </c>
      <c r="K16" s="706" t="s">
        <v>956</v>
      </c>
      <c r="L16" s="706" t="s">
        <v>957</v>
      </c>
      <c r="M16" s="706" t="s">
        <v>958</v>
      </c>
      <c r="N16" s="706" t="s">
        <v>959</v>
      </c>
      <c r="O16" s="706" t="s">
        <v>960</v>
      </c>
    </row>
    <row r="17" spans="1:15" x14ac:dyDescent="0.3">
      <c r="A17" s="707" t="s">
        <v>738</v>
      </c>
      <c r="B17" s="708">
        <v>41639</v>
      </c>
      <c r="C17" s="708">
        <v>42004</v>
      </c>
      <c r="D17" s="708">
        <v>42369</v>
      </c>
      <c r="E17" s="708">
        <v>42735</v>
      </c>
      <c r="F17" s="708">
        <v>43100</v>
      </c>
      <c r="G17" s="708">
        <v>43465</v>
      </c>
      <c r="H17" s="708">
        <v>43830</v>
      </c>
      <c r="I17" s="708">
        <v>44196</v>
      </c>
      <c r="J17" s="708">
        <v>44561</v>
      </c>
      <c r="K17" s="708">
        <v>44926</v>
      </c>
      <c r="L17" s="708">
        <v>45291</v>
      </c>
      <c r="M17" s="708">
        <v>45657</v>
      </c>
      <c r="N17" s="708">
        <v>46022</v>
      </c>
      <c r="O17" s="708">
        <v>46387</v>
      </c>
    </row>
    <row r="18" spans="1:15" x14ac:dyDescent="0.3">
      <c r="A18" s="714" t="s">
        <v>961</v>
      </c>
      <c r="B18" s="716">
        <v>14165.1</v>
      </c>
      <c r="C18" s="716">
        <v>17125.57</v>
      </c>
      <c r="D18" s="716">
        <v>18798</v>
      </c>
      <c r="E18" s="716">
        <v>17197.98</v>
      </c>
      <c r="F18" s="716">
        <v>30109.43</v>
      </c>
      <c r="G18" s="716">
        <v>40445.07</v>
      </c>
      <c r="H18" s="716">
        <v>26990.73</v>
      </c>
      <c r="I18" s="716">
        <v>31900.42</v>
      </c>
      <c r="J18" s="716">
        <v>42997.79</v>
      </c>
      <c r="K18" s="716">
        <v>44621.57</v>
      </c>
      <c r="L18" s="716">
        <v>32765.72</v>
      </c>
      <c r="M18" s="716">
        <v>66192.960000000006</v>
      </c>
      <c r="N18" s="715" t="s">
        <v>642</v>
      </c>
      <c r="O18" s="715" t="s">
        <v>642</v>
      </c>
    </row>
    <row r="19" spans="1:15" x14ac:dyDescent="0.3">
      <c r="A19" s="714" t="s">
        <v>966</v>
      </c>
      <c r="B19" s="716">
        <v>1105.08</v>
      </c>
      <c r="C19" s="716">
        <v>1179.95</v>
      </c>
      <c r="D19" s="716">
        <v>1204.6400000000001</v>
      </c>
      <c r="E19" s="716">
        <v>1099.43</v>
      </c>
      <c r="F19" s="716">
        <v>1207.46</v>
      </c>
      <c r="G19" s="715">
        <v>840.49</v>
      </c>
      <c r="H19" s="716">
        <v>1447</v>
      </c>
      <c r="I19" s="716">
        <v>1452.01</v>
      </c>
      <c r="J19" s="716">
        <v>1461.98</v>
      </c>
      <c r="K19" s="716">
        <v>1225.77</v>
      </c>
      <c r="L19" s="716">
        <v>2033.86</v>
      </c>
      <c r="M19" s="716">
        <v>1904.11</v>
      </c>
      <c r="N19" s="715" t="s">
        <v>642</v>
      </c>
      <c r="O19" s="715" t="s">
        <v>642</v>
      </c>
    </row>
    <row r="20" spans="1:15" x14ac:dyDescent="0.3">
      <c r="A20" s="714" t="s">
        <v>963</v>
      </c>
      <c r="B20" s="715">
        <v>7.8</v>
      </c>
      <c r="C20" s="715">
        <v>6.89</v>
      </c>
      <c r="D20" s="715">
        <v>6.41</v>
      </c>
      <c r="E20" s="715">
        <v>6.39</v>
      </c>
      <c r="F20" s="715">
        <v>4.01</v>
      </c>
      <c r="G20" s="715">
        <v>2.08</v>
      </c>
      <c r="H20" s="715">
        <v>5.36</v>
      </c>
      <c r="I20" s="715">
        <v>4.55</v>
      </c>
      <c r="J20" s="715">
        <v>3.4</v>
      </c>
      <c r="K20" s="715">
        <v>2.75</v>
      </c>
      <c r="L20" s="715">
        <v>6.21</v>
      </c>
      <c r="M20" s="715">
        <v>2.88</v>
      </c>
      <c r="N20" s="715" t="s">
        <v>642</v>
      </c>
      <c r="O20" s="715" t="s">
        <v>642</v>
      </c>
    </row>
    <row r="21" spans="1:15" x14ac:dyDescent="0.3">
      <c r="A21" s="714" t="s">
        <v>967</v>
      </c>
      <c r="B21" s="716">
        <v>3038.36</v>
      </c>
      <c r="C21" s="716">
        <v>3825.75</v>
      </c>
      <c r="D21" s="716">
        <v>4496.3599999999997</v>
      </c>
      <c r="E21" s="716">
        <v>5960.24</v>
      </c>
      <c r="F21" s="716">
        <v>10074.69</v>
      </c>
      <c r="G21" s="716">
        <v>15785.99</v>
      </c>
      <c r="H21" s="716">
        <v>12570.28</v>
      </c>
      <c r="I21" s="716">
        <v>12217.63</v>
      </c>
      <c r="J21" s="716">
        <v>15730.22</v>
      </c>
      <c r="K21" s="716">
        <v>12210.47</v>
      </c>
      <c r="L21" s="716">
        <v>10110.08</v>
      </c>
      <c r="M21" s="716">
        <v>15533.56</v>
      </c>
      <c r="N21" s="715" t="s">
        <v>642</v>
      </c>
      <c r="O21" s="715" t="s">
        <v>642</v>
      </c>
    </row>
    <row r="22" spans="1:15" x14ac:dyDescent="0.3">
      <c r="A22" s="714" t="s">
        <v>963</v>
      </c>
      <c r="B22" s="715">
        <v>21.45</v>
      </c>
      <c r="C22" s="715">
        <v>22.34</v>
      </c>
      <c r="D22" s="715">
        <v>23.92</v>
      </c>
      <c r="E22" s="715">
        <v>34.659999999999997</v>
      </c>
      <c r="F22" s="715">
        <v>33.46</v>
      </c>
      <c r="G22" s="715">
        <v>39.03</v>
      </c>
      <c r="H22" s="715">
        <v>46.57</v>
      </c>
      <c r="I22" s="715">
        <v>38.299999999999997</v>
      </c>
      <c r="J22" s="715">
        <v>36.58</v>
      </c>
      <c r="K22" s="715">
        <v>27.36</v>
      </c>
      <c r="L22" s="715">
        <v>30.86</v>
      </c>
      <c r="M22" s="715">
        <v>23.47</v>
      </c>
      <c r="N22" s="715" t="s">
        <v>642</v>
      </c>
      <c r="O22" s="715" t="s">
        <v>642</v>
      </c>
    </row>
    <row r="23" spans="1:15" x14ac:dyDescent="0.3">
      <c r="A23" s="714" t="s">
        <v>968</v>
      </c>
      <c r="B23" s="715" t="s">
        <v>642</v>
      </c>
      <c r="C23" s="715" t="s">
        <v>642</v>
      </c>
      <c r="D23" s="715" t="s">
        <v>642</v>
      </c>
      <c r="E23" s="715" t="s">
        <v>642</v>
      </c>
      <c r="F23" s="715" t="s">
        <v>642</v>
      </c>
      <c r="G23" s="715" t="s">
        <v>642</v>
      </c>
      <c r="H23" s="715" t="s">
        <v>642</v>
      </c>
      <c r="I23" s="715" t="s">
        <v>642</v>
      </c>
      <c r="J23" s="716">
        <v>7022.93</v>
      </c>
      <c r="K23" s="716">
        <v>5615.38</v>
      </c>
      <c r="L23" s="716">
        <v>4296.9399999999996</v>
      </c>
      <c r="M23" s="716">
        <v>5381.44</v>
      </c>
      <c r="N23" s="715" t="s">
        <v>642</v>
      </c>
      <c r="O23" s="715" t="s">
        <v>642</v>
      </c>
    </row>
    <row r="24" spans="1:15" x14ac:dyDescent="0.3">
      <c r="A24" s="714" t="s">
        <v>963</v>
      </c>
      <c r="B24" s="715" t="s">
        <v>642</v>
      </c>
      <c r="C24" s="715" t="s">
        <v>642</v>
      </c>
      <c r="D24" s="715" t="s">
        <v>642</v>
      </c>
      <c r="E24" s="715" t="s">
        <v>642</v>
      </c>
      <c r="F24" s="715" t="s">
        <v>642</v>
      </c>
      <c r="G24" s="715" t="s">
        <v>642</v>
      </c>
      <c r="H24" s="715" t="s">
        <v>642</v>
      </c>
      <c r="I24" s="715" t="s">
        <v>642</v>
      </c>
      <c r="J24" s="715">
        <v>16.329999999999998</v>
      </c>
      <c r="K24" s="715">
        <v>12.58</v>
      </c>
      <c r="L24" s="715">
        <v>13.11</v>
      </c>
      <c r="M24" s="715">
        <v>8.1300000000000008</v>
      </c>
      <c r="N24" s="715" t="s">
        <v>642</v>
      </c>
      <c r="O24" s="715" t="s">
        <v>642</v>
      </c>
    </row>
    <row r="25" spans="1:15" x14ac:dyDescent="0.3">
      <c r="A25" s="714" t="s">
        <v>969</v>
      </c>
      <c r="B25" s="716">
        <v>5191.62</v>
      </c>
      <c r="C25" s="716">
        <v>6359.46</v>
      </c>
      <c r="D25" s="716">
        <v>7549.62</v>
      </c>
      <c r="E25" s="716">
        <v>5397.94</v>
      </c>
      <c r="F25" s="716">
        <v>11063.5</v>
      </c>
      <c r="G25" s="716">
        <v>14278.16</v>
      </c>
      <c r="H25" s="716">
        <v>8141.15</v>
      </c>
      <c r="I25" s="716">
        <v>12686.11</v>
      </c>
      <c r="J25" s="716">
        <v>17144.32</v>
      </c>
      <c r="K25" s="716">
        <v>23960.98</v>
      </c>
      <c r="L25" s="716">
        <v>15390.23</v>
      </c>
      <c r="M25" s="716">
        <v>41961.07</v>
      </c>
      <c r="N25" s="715" t="s">
        <v>642</v>
      </c>
      <c r="O25" s="715" t="s">
        <v>642</v>
      </c>
    </row>
    <row r="26" spans="1:15" x14ac:dyDescent="0.3">
      <c r="A26" s="714" t="s">
        <v>963</v>
      </c>
      <c r="B26" s="715">
        <v>36.65</v>
      </c>
      <c r="C26" s="715">
        <v>37.130000000000003</v>
      </c>
      <c r="D26" s="715">
        <v>40.159999999999997</v>
      </c>
      <c r="E26" s="715">
        <v>31.39</v>
      </c>
      <c r="F26" s="715">
        <v>36.74</v>
      </c>
      <c r="G26" s="715">
        <v>35.299999999999997</v>
      </c>
      <c r="H26" s="715">
        <v>30.16</v>
      </c>
      <c r="I26" s="715">
        <v>39.770000000000003</v>
      </c>
      <c r="J26" s="715">
        <v>39.869999999999997</v>
      </c>
      <c r="K26" s="715">
        <v>53.7</v>
      </c>
      <c r="L26" s="715">
        <v>46.97</v>
      </c>
      <c r="M26" s="715">
        <v>63.39</v>
      </c>
      <c r="N26" s="715" t="s">
        <v>642</v>
      </c>
      <c r="O26" s="715" t="s">
        <v>642</v>
      </c>
    </row>
    <row r="27" spans="1:15" x14ac:dyDescent="0.3">
      <c r="A27" s="714" t="s">
        <v>970</v>
      </c>
      <c r="B27" s="716">
        <v>1078.31</v>
      </c>
      <c r="C27" s="716">
        <v>1122.69</v>
      </c>
      <c r="D27" s="716">
        <v>1111.72</v>
      </c>
      <c r="E27" s="715">
        <v>842.6</v>
      </c>
      <c r="F27" s="716">
        <v>1562.42</v>
      </c>
      <c r="G27" s="716">
        <v>1980.75</v>
      </c>
      <c r="H27" s="716">
        <v>1086.81</v>
      </c>
      <c r="I27" s="716">
        <v>1222.7</v>
      </c>
      <c r="J27" s="716">
        <v>1638.34</v>
      </c>
      <c r="K27" s="716">
        <v>1608.97</v>
      </c>
      <c r="L27" s="715">
        <v>934.61</v>
      </c>
      <c r="M27" s="716">
        <v>1412.77</v>
      </c>
      <c r="N27" s="715" t="s">
        <v>642</v>
      </c>
      <c r="O27" s="715" t="s">
        <v>642</v>
      </c>
    </row>
    <row r="28" spans="1:15" x14ac:dyDescent="0.3">
      <c r="A28" s="714" t="s">
        <v>963</v>
      </c>
      <c r="B28" s="715">
        <v>7.61</v>
      </c>
      <c r="C28" s="715">
        <v>6.56</v>
      </c>
      <c r="D28" s="715">
        <v>5.91</v>
      </c>
      <c r="E28" s="715">
        <v>4.9000000000000004</v>
      </c>
      <c r="F28" s="715">
        <v>5.19</v>
      </c>
      <c r="G28" s="715">
        <v>4.9000000000000004</v>
      </c>
      <c r="H28" s="715">
        <v>4.03</v>
      </c>
      <c r="I28" s="715">
        <v>3.83</v>
      </c>
      <c r="J28" s="715">
        <v>3.81</v>
      </c>
      <c r="K28" s="715">
        <v>3.61</v>
      </c>
      <c r="L28" s="715">
        <v>2.85</v>
      </c>
      <c r="M28" s="715">
        <v>2.13</v>
      </c>
      <c r="N28" s="715" t="s">
        <v>642</v>
      </c>
      <c r="O28" s="715" t="s">
        <v>642</v>
      </c>
    </row>
    <row r="29" spans="1:15" x14ac:dyDescent="0.3">
      <c r="A29" s="714" t="s">
        <v>971</v>
      </c>
      <c r="B29" s="715" t="s">
        <v>642</v>
      </c>
      <c r="C29" s="715" t="s">
        <v>642</v>
      </c>
      <c r="D29" s="715" t="s">
        <v>642</v>
      </c>
      <c r="E29" s="715" t="s">
        <v>642</v>
      </c>
      <c r="F29" s="715" t="s">
        <v>642</v>
      </c>
      <c r="G29" s="715" t="s">
        <v>642</v>
      </c>
      <c r="H29" s="715" t="s">
        <v>642</v>
      </c>
      <c r="I29" s="715" t="s">
        <v>642</v>
      </c>
      <c r="J29" s="715" t="s">
        <v>642</v>
      </c>
      <c r="K29" s="715" t="s">
        <v>642</v>
      </c>
      <c r="L29" s="715" t="s">
        <v>642</v>
      </c>
      <c r="M29" s="715" t="s">
        <v>642</v>
      </c>
      <c r="N29" s="715" t="s">
        <v>642</v>
      </c>
      <c r="O29" s="715" t="s">
        <v>642</v>
      </c>
    </row>
    <row r="30" spans="1:15" x14ac:dyDescent="0.3">
      <c r="A30" s="714" t="s">
        <v>972</v>
      </c>
      <c r="B30" s="715" t="s">
        <v>642</v>
      </c>
      <c r="C30" s="715" t="s">
        <v>642</v>
      </c>
      <c r="D30" s="715" t="s">
        <v>642</v>
      </c>
      <c r="E30" s="715" t="s">
        <v>642</v>
      </c>
      <c r="F30" s="715" t="s">
        <v>642</v>
      </c>
      <c r="G30" s="715" t="s">
        <v>642</v>
      </c>
      <c r="H30" s="715" t="s">
        <v>642</v>
      </c>
      <c r="I30" s="715" t="s">
        <v>642</v>
      </c>
      <c r="J30" s="715" t="s">
        <v>642</v>
      </c>
      <c r="K30" s="715" t="s">
        <v>642</v>
      </c>
      <c r="L30" s="715" t="s">
        <v>642</v>
      </c>
      <c r="M30" s="715" t="s">
        <v>642</v>
      </c>
      <c r="N30" s="715" t="s">
        <v>642</v>
      </c>
      <c r="O30" s="715" t="s">
        <v>642</v>
      </c>
    </row>
    <row r="31" spans="1:15" x14ac:dyDescent="0.3">
      <c r="A31" s="714" t="s">
        <v>973</v>
      </c>
      <c r="B31" s="716">
        <v>3751.74</v>
      </c>
      <c r="C31" s="715" t="s">
        <v>642</v>
      </c>
      <c r="D31" s="715" t="s">
        <v>642</v>
      </c>
      <c r="E31" s="715" t="s">
        <v>642</v>
      </c>
      <c r="F31" s="715" t="s">
        <v>642</v>
      </c>
      <c r="G31" s="715" t="s">
        <v>642</v>
      </c>
      <c r="H31" s="715" t="s">
        <v>642</v>
      </c>
      <c r="I31" s="715" t="s">
        <v>642</v>
      </c>
      <c r="J31" s="715" t="s">
        <v>642</v>
      </c>
      <c r="K31" s="715" t="s">
        <v>642</v>
      </c>
      <c r="L31" s="715" t="s">
        <v>642</v>
      </c>
      <c r="M31" s="715" t="s">
        <v>642</v>
      </c>
      <c r="N31" s="715" t="s">
        <v>642</v>
      </c>
      <c r="O31" s="715" t="s">
        <v>642</v>
      </c>
    </row>
    <row r="32" spans="1:15" x14ac:dyDescent="0.3">
      <c r="A32" s="714" t="s">
        <v>974</v>
      </c>
      <c r="B32" s="715" t="s">
        <v>642</v>
      </c>
      <c r="C32" s="716">
        <v>2482.7199999999998</v>
      </c>
      <c r="D32" s="716">
        <v>2536.0100000000002</v>
      </c>
      <c r="E32" s="716">
        <v>2165.1999999999998</v>
      </c>
      <c r="F32" s="716">
        <v>3574.79</v>
      </c>
      <c r="G32" s="716">
        <v>4609.6000000000004</v>
      </c>
      <c r="H32" s="716">
        <v>2301.31</v>
      </c>
      <c r="I32" s="716">
        <v>2416.3200000000002</v>
      </c>
      <c r="J32" s="716">
        <v>4033.61</v>
      </c>
      <c r="K32" s="715" t="s">
        <v>642</v>
      </c>
      <c r="L32" s="715" t="s">
        <v>642</v>
      </c>
      <c r="M32" s="715" t="s">
        <v>642</v>
      </c>
      <c r="N32" s="715" t="s">
        <v>642</v>
      </c>
      <c r="O32" s="715" t="s">
        <v>642</v>
      </c>
    </row>
    <row r="33" spans="1:15" x14ac:dyDescent="0.3">
      <c r="A33" s="714" t="s">
        <v>975</v>
      </c>
      <c r="B33" s="715" t="s">
        <v>642</v>
      </c>
      <c r="C33" s="715" t="s">
        <v>642</v>
      </c>
      <c r="D33" s="715" t="s">
        <v>642</v>
      </c>
      <c r="E33" s="715" t="s">
        <v>642</v>
      </c>
      <c r="F33" s="715" t="s">
        <v>642</v>
      </c>
      <c r="G33" s="715" t="s">
        <v>642</v>
      </c>
      <c r="H33" s="715" t="s">
        <v>642</v>
      </c>
      <c r="I33" s="715" t="s">
        <v>642</v>
      </c>
      <c r="J33" s="715" t="s">
        <v>642</v>
      </c>
      <c r="K33" s="715" t="s">
        <v>642</v>
      </c>
      <c r="L33" s="715" t="s">
        <v>642</v>
      </c>
      <c r="M33" s="715" t="s">
        <v>642</v>
      </c>
      <c r="N33" s="715" t="s">
        <v>642</v>
      </c>
      <c r="O33" s="715" t="s">
        <v>642</v>
      </c>
    </row>
    <row r="34" spans="1:15" x14ac:dyDescent="0.3">
      <c r="A34" s="714" t="s">
        <v>976</v>
      </c>
      <c r="B34" s="715" t="s">
        <v>642</v>
      </c>
      <c r="C34" s="716">
        <v>2155.0100000000002</v>
      </c>
      <c r="D34" s="716">
        <v>1899.65</v>
      </c>
      <c r="E34" s="716">
        <v>1732.57</v>
      </c>
      <c r="F34" s="716">
        <v>2626.58</v>
      </c>
      <c r="G34" s="716">
        <v>2950.07</v>
      </c>
      <c r="H34" s="716">
        <v>1444.19</v>
      </c>
      <c r="I34" s="716">
        <v>1905.65</v>
      </c>
      <c r="J34" s="716">
        <v>2989.32</v>
      </c>
      <c r="K34" s="715" t="s">
        <v>642</v>
      </c>
      <c r="L34" s="715" t="s">
        <v>642</v>
      </c>
      <c r="M34" s="715" t="s">
        <v>642</v>
      </c>
      <c r="N34" s="715" t="s">
        <v>642</v>
      </c>
      <c r="O34" s="715" t="s">
        <v>642</v>
      </c>
    </row>
    <row r="35" spans="1:15" x14ac:dyDescent="0.3">
      <c r="A35" s="714" t="s">
        <v>226</v>
      </c>
      <c r="B35" s="715" t="s">
        <v>642</v>
      </c>
      <c r="C35" s="715" t="s">
        <v>642</v>
      </c>
      <c r="D35" s="715" t="s">
        <v>642</v>
      </c>
      <c r="E35" s="715" t="s">
        <v>642</v>
      </c>
      <c r="F35" s="715" t="s">
        <v>642</v>
      </c>
      <c r="G35" s="715" t="s">
        <v>642</v>
      </c>
      <c r="H35" s="715" t="s">
        <v>642</v>
      </c>
      <c r="I35" s="715" t="s">
        <v>642</v>
      </c>
      <c r="J35" s="715" t="s">
        <v>642</v>
      </c>
      <c r="K35" s="715" t="s">
        <v>642</v>
      </c>
      <c r="L35" s="715" t="s">
        <v>642</v>
      </c>
      <c r="M35" s="715" t="s">
        <v>642</v>
      </c>
      <c r="N35" s="715" t="s">
        <v>642</v>
      </c>
      <c r="O35" s="715" t="s">
        <v>642</v>
      </c>
    </row>
    <row r="36" spans="1:15" x14ac:dyDescent="0.3">
      <c r="A36" s="714" t="s">
        <v>977</v>
      </c>
      <c r="B36" s="716">
        <v>14144.17</v>
      </c>
      <c r="C36" s="716">
        <v>16519.759999999998</v>
      </c>
      <c r="D36" s="716">
        <v>19917.88</v>
      </c>
      <c r="E36" s="716">
        <v>22377.040000000001</v>
      </c>
      <c r="F36" s="716">
        <v>28108.02</v>
      </c>
      <c r="G36" s="716">
        <v>43764.19</v>
      </c>
      <c r="H36" s="716">
        <v>50790.75</v>
      </c>
      <c r="I36" s="716">
        <v>54602.9</v>
      </c>
      <c r="J36" s="716">
        <v>69439.45</v>
      </c>
      <c r="K36" s="716">
        <v>75138.179999999993</v>
      </c>
      <c r="L36" s="716">
        <v>69862.070000000007</v>
      </c>
      <c r="M36" s="716">
        <v>77576.320000000007</v>
      </c>
      <c r="N36" s="716">
        <v>83805.679999999993</v>
      </c>
      <c r="O36" s="716">
        <v>90471.33</v>
      </c>
    </row>
    <row r="37" spans="1:15" x14ac:dyDescent="0.3">
      <c r="A37" s="714" t="s">
        <v>966</v>
      </c>
      <c r="B37" s="715" t="s">
        <v>642</v>
      </c>
      <c r="C37" s="715" t="s">
        <v>642</v>
      </c>
      <c r="D37" s="715" t="s">
        <v>642</v>
      </c>
      <c r="E37" s="715" t="s">
        <v>642</v>
      </c>
      <c r="F37" s="715" t="s">
        <v>642</v>
      </c>
      <c r="G37" s="715" t="s">
        <v>642</v>
      </c>
      <c r="H37" s="715" t="s">
        <v>642</v>
      </c>
      <c r="I37" s="716">
        <v>35954.67</v>
      </c>
      <c r="J37" s="716">
        <v>40474.769999999997</v>
      </c>
      <c r="K37" s="715" t="s">
        <v>642</v>
      </c>
      <c r="L37" s="716">
        <v>45919.92</v>
      </c>
      <c r="M37" s="716">
        <v>54926.69</v>
      </c>
      <c r="N37" s="715" t="s">
        <v>642</v>
      </c>
      <c r="O37" s="715" t="s">
        <v>642</v>
      </c>
    </row>
    <row r="38" spans="1:15" x14ac:dyDescent="0.3">
      <c r="A38" s="714" t="s">
        <v>963</v>
      </c>
      <c r="B38" s="715" t="s">
        <v>642</v>
      </c>
      <c r="C38" s="715" t="s">
        <v>642</v>
      </c>
      <c r="D38" s="715" t="s">
        <v>642</v>
      </c>
      <c r="E38" s="715" t="s">
        <v>642</v>
      </c>
      <c r="F38" s="715" t="s">
        <v>642</v>
      </c>
      <c r="G38" s="715" t="s">
        <v>642</v>
      </c>
      <c r="H38" s="715" t="s">
        <v>642</v>
      </c>
      <c r="I38" s="715">
        <v>65.849999999999994</v>
      </c>
      <c r="J38" s="715">
        <v>58.29</v>
      </c>
      <c r="K38" s="715" t="s">
        <v>642</v>
      </c>
      <c r="L38" s="715">
        <v>65.73</v>
      </c>
      <c r="M38" s="715">
        <v>70.8</v>
      </c>
      <c r="N38" s="715" t="s">
        <v>642</v>
      </c>
      <c r="O38" s="715" t="s">
        <v>642</v>
      </c>
    </row>
    <row r="39" spans="1:15" x14ac:dyDescent="0.3">
      <c r="A39" s="714" t="s">
        <v>967</v>
      </c>
      <c r="B39" s="715" t="s">
        <v>642</v>
      </c>
      <c r="C39" s="715" t="s">
        <v>642</v>
      </c>
      <c r="D39" s="715" t="s">
        <v>642</v>
      </c>
      <c r="E39" s="715" t="s">
        <v>642</v>
      </c>
      <c r="F39" s="715" t="s">
        <v>642</v>
      </c>
      <c r="G39" s="715" t="s">
        <v>642</v>
      </c>
      <c r="H39" s="715" t="s">
        <v>642</v>
      </c>
      <c r="I39" s="716">
        <v>10302.200000000001</v>
      </c>
      <c r="J39" s="716">
        <v>19484.39</v>
      </c>
      <c r="K39" s="715" t="s">
        <v>642</v>
      </c>
      <c r="L39" s="716">
        <v>14392.76</v>
      </c>
      <c r="M39" s="716">
        <v>12415.08</v>
      </c>
      <c r="N39" s="715" t="s">
        <v>642</v>
      </c>
      <c r="O39" s="715" t="s">
        <v>642</v>
      </c>
    </row>
    <row r="40" spans="1:15" x14ac:dyDescent="0.3">
      <c r="A40" s="714" t="s">
        <v>963</v>
      </c>
      <c r="B40" s="715" t="s">
        <v>642</v>
      </c>
      <c r="C40" s="715" t="s">
        <v>642</v>
      </c>
      <c r="D40" s="715" t="s">
        <v>642</v>
      </c>
      <c r="E40" s="715" t="s">
        <v>642</v>
      </c>
      <c r="F40" s="715" t="s">
        <v>642</v>
      </c>
      <c r="G40" s="715" t="s">
        <v>642</v>
      </c>
      <c r="H40" s="715" t="s">
        <v>642</v>
      </c>
      <c r="I40" s="715">
        <v>18.87</v>
      </c>
      <c r="J40" s="715">
        <v>28.06</v>
      </c>
      <c r="K40" s="715" t="s">
        <v>642</v>
      </c>
      <c r="L40" s="715">
        <v>20.6</v>
      </c>
      <c r="M40" s="715">
        <v>16</v>
      </c>
      <c r="N40" s="715" t="s">
        <v>642</v>
      </c>
      <c r="O40" s="715" t="s">
        <v>642</v>
      </c>
    </row>
    <row r="41" spans="1:15" x14ac:dyDescent="0.3">
      <c r="A41" s="714" t="s">
        <v>968</v>
      </c>
      <c r="B41" s="715" t="s">
        <v>642</v>
      </c>
      <c r="C41" s="715" t="s">
        <v>642</v>
      </c>
      <c r="D41" s="715" t="s">
        <v>642</v>
      </c>
      <c r="E41" s="715" t="s">
        <v>642</v>
      </c>
      <c r="F41" s="715" t="s">
        <v>642</v>
      </c>
      <c r="G41" s="715" t="s">
        <v>642</v>
      </c>
      <c r="H41" s="715" t="s">
        <v>642</v>
      </c>
      <c r="I41" s="715">
        <v>20.399999999999999</v>
      </c>
      <c r="J41" s="715">
        <v>17.07</v>
      </c>
      <c r="K41" s="715" t="s">
        <v>642</v>
      </c>
      <c r="L41" s="715">
        <v>22.33</v>
      </c>
      <c r="M41" s="715">
        <v>19.04</v>
      </c>
      <c r="N41" s="715" t="s">
        <v>642</v>
      </c>
      <c r="O41" s="715" t="s">
        <v>642</v>
      </c>
    </row>
    <row r="42" spans="1:15" x14ac:dyDescent="0.3">
      <c r="A42" s="714" t="s">
        <v>963</v>
      </c>
      <c r="B42" s="715" t="s">
        <v>642</v>
      </c>
      <c r="C42" s="715" t="s">
        <v>642</v>
      </c>
      <c r="D42" s="715" t="s">
        <v>642</v>
      </c>
      <c r="E42" s="715" t="s">
        <v>642</v>
      </c>
      <c r="F42" s="715" t="s">
        <v>642</v>
      </c>
      <c r="G42" s="715" t="s">
        <v>642</v>
      </c>
      <c r="H42" s="715" t="s">
        <v>642</v>
      </c>
      <c r="I42" s="715">
        <v>0.04</v>
      </c>
      <c r="J42" s="715">
        <v>0.02</v>
      </c>
      <c r="K42" s="715" t="s">
        <v>642</v>
      </c>
      <c r="L42" s="715">
        <v>0.03</v>
      </c>
      <c r="M42" s="715">
        <v>0.02</v>
      </c>
      <c r="N42" s="715" t="s">
        <v>642</v>
      </c>
      <c r="O42" s="715" t="s">
        <v>642</v>
      </c>
    </row>
    <row r="43" spans="1:15" x14ac:dyDescent="0.3">
      <c r="A43" s="714" t="s">
        <v>969</v>
      </c>
      <c r="B43" s="715" t="s">
        <v>642</v>
      </c>
      <c r="C43" s="715" t="s">
        <v>642</v>
      </c>
      <c r="D43" s="715" t="s">
        <v>642</v>
      </c>
      <c r="E43" s="715" t="s">
        <v>642</v>
      </c>
      <c r="F43" s="715" t="s">
        <v>642</v>
      </c>
      <c r="G43" s="715" t="s">
        <v>642</v>
      </c>
      <c r="H43" s="715" t="s">
        <v>642</v>
      </c>
      <c r="I43" s="715">
        <v>373.77</v>
      </c>
      <c r="J43" s="715">
        <v>426.72</v>
      </c>
      <c r="K43" s="715" t="s">
        <v>642</v>
      </c>
      <c r="L43" s="715">
        <v>513.86</v>
      </c>
      <c r="M43" s="715">
        <v>627.32000000000005</v>
      </c>
      <c r="N43" s="715" t="s">
        <v>642</v>
      </c>
      <c r="O43" s="715" t="s">
        <v>642</v>
      </c>
    </row>
    <row r="44" spans="1:15" x14ac:dyDescent="0.3">
      <c r="A44" s="714" t="s">
        <v>963</v>
      </c>
      <c r="B44" s="715" t="s">
        <v>642</v>
      </c>
      <c r="C44" s="715" t="s">
        <v>642</v>
      </c>
      <c r="D44" s="715" t="s">
        <v>642</v>
      </c>
      <c r="E44" s="715" t="s">
        <v>642</v>
      </c>
      <c r="F44" s="715" t="s">
        <v>642</v>
      </c>
      <c r="G44" s="715" t="s">
        <v>642</v>
      </c>
      <c r="H44" s="715" t="s">
        <v>642</v>
      </c>
      <c r="I44" s="715">
        <v>0.68</v>
      </c>
      <c r="J44" s="715">
        <v>0.61</v>
      </c>
      <c r="K44" s="715" t="s">
        <v>642</v>
      </c>
      <c r="L44" s="715">
        <v>0.74</v>
      </c>
      <c r="M44" s="715">
        <v>0.81</v>
      </c>
      <c r="N44" s="715" t="s">
        <v>642</v>
      </c>
      <c r="O44" s="715" t="s">
        <v>642</v>
      </c>
    </row>
    <row r="45" spans="1:15" x14ac:dyDescent="0.3">
      <c r="A45" s="714" t="s">
        <v>970</v>
      </c>
      <c r="B45" s="715" t="s">
        <v>642</v>
      </c>
      <c r="C45" s="715" t="s">
        <v>642</v>
      </c>
      <c r="D45" s="715" t="s">
        <v>642</v>
      </c>
      <c r="E45" s="715" t="s">
        <v>642</v>
      </c>
      <c r="F45" s="715" t="s">
        <v>642</v>
      </c>
      <c r="G45" s="715" t="s">
        <v>642</v>
      </c>
      <c r="H45" s="715" t="s">
        <v>642</v>
      </c>
      <c r="I45" s="715">
        <v>13.87</v>
      </c>
      <c r="J45" s="715">
        <v>16.23</v>
      </c>
      <c r="K45" s="715" t="s">
        <v>642</v>
      </c>
      <c r="L45" s="715">
        <v>7.45</v>
      </c>
      <c r="M45" s="715">
        <v>3.65</v>
      </c>
      <c r="N45" s="715" t="s">
        <v>642</v>
      </c>
      <c r="O45" s="715" t="s">
        <v>642</v>
      </c>
    </row>
    <row r="46" spans="1:15" x14ac:dyDescent="0.3">
      <c r="A46" s="714" t="s">
        <v>963</v>
      </c>
      <c r="B46" s="715" t="s">
        <v>642</v>
      </c>
      <c r="C46" s="715" t="s">
        <v>642</v>
      </c>
      <c r="D46" s="715" t="s">
        <v>642</v>
      </c>
      <c r="E46" s="715" t="s">
        <v>642</v>
      </c>
      <c r="F46" s="715" t="s">
        <v>642</v>
      </c>
      <c r="G46" s="715" t="s">
        <v>642</v>
      </c>
      <c r="H46" s="715" t="s">
        <v>642</v>
      </c>
      <c r="I46" s="715">
        <v>0.03</v>
      </c>
      <c r="J46" s="715">
        <v>0.02</v>
      </c>
      <c r="K46" s="715" t="s">
        <v>642</v>
      </c>
      <c r="L46" s="715">
        <v>0.01</v>
      </c>
      <c r="M46" s="715">
        <v>0</v>
      </c>
      <c r="N46" s="715" t="s">
        <v>642</v>
      </c>
      <c r="O46" s="715" t="s">
        <v>642</v>
      </c>
    </row>
    <row r="47" spans="1:15" x14ac:dyDescent="0.3">
      <c r="A47" s="714" t="s">
        <v>978</v>
      </c>
      <c r="B47" s="715" t="s">
        <v>642</v>
      </c>
      <c r="C47" s="715" t="s">
        <v>642</v>
      </c>
      <c r="D47" s="715" t="s">
        <v>642</v>
      </c>
      <c r="E47" s="715" t="s">
        <v>642</v>
      </c>
      <c r="F47" s="715" t="s">
        <v>642</v>
      </c>
      <c r="G47" s="715" t="s">
        <v>642</v>
      </c>
      <c r="H47" s="715" t="s">
        <v>642</v>
      </c>
      <c r="I47" s="715" t="s">
        <v>642</v>
      </c>
      <c r="J47" s="715" t="s">
        <v>642</v>
      </c>
      <c r="K47" s="715" t="s">
        <v>642</v>
      </c>
      <c r="L47" s="716">
        <v>9005.75</v>
      </c>
      <c r="M47" s="716">
        <v>9584.5300000000007</v>
      </c>
      <c r="N47" s="715" t="s">
        <v>642</v>
      </c>
      <c r="O47" s="715" t="s">
        <v>642</v>
      </c>
    </row>
    <row r="48" spans="1:15" x14ac:dyDescent="0.3">
      <c r="A48" s="714" t="s">
        <v>963</v>
      </c>
      <c r="B48" s="715" t="s">
        <v>642</v>
      </c>
      <c r="C48" s="715" t="s">
        <v>642</v>
      </c>
      <c r="D48" s="715" t="s">
        <v>642</v>
      </c>
      <c r="E48" s="715" t="s">
        <v>642</v>
      </c>
      <c r="F48" s="715" t="s">
        <v>642</v>
      </c>
      <c r="G48" s="715" t="s">
        <v>642</v>
      </c>
      <c r="H48" s="715" t="s">
        <v>642</v>
      </c>
      <c r="I48" s="715" t="s">
        <v>642</v>
      </c>
      <c r="J48" s="715" t="s">
        <v>642</v>
      </c>
      <c r="K48" s="715" t="s">
        <v>642</v>
      </c>
      <c r="L48" s="715">
        <v>12.89</v>
      </c>
      <c r="M48" s="715">
        <v>12.35</v>
      </c>
      <c r="N48" s="715" t="s">
        <v>642</v>
      </c>
      <c r="O48" s="715" t="s">
        <v>642</v>
      </c>
    </row>
    <row r="50" spans="1:24" ht="40" x14ac:dyDescent="0.4">
      <c r="A50" s="726" t="s">
        <v>944</v>
      </c>
      <c r="B50" s="727"/>
      <c r="C50" s="703"/>
      <c r="D50" s="726" t="s">
        <v>642</v>
      </c>
      <c r="E50" s="702" t="s">
        <v>642</v>
      </c>
      <c r="F50" s="702" t="s">
        <v>642</v>
      </c>
      <c r="G50" s="702" t="s">
        <v>642</v>
      </c>
      <c r="H50" s="702" t="s">
        <v>642</v>
      </c>
      <c r="I50" s="702" t="s">
        <v>642</v>
      </c>
      <c r="J50" s="702" t="s">
        <v>642</v>
      </c>
      <c r="K50" s="702" t="s">
        <v>642</v>
      </c>
      <c r="L50" s="702" t="s">
        <v>642</v>
      </c>
      <c r="M50" s="702" t="s">
        <v>642</v>
      </c>
      <c r="N50" s="702" t="s">
        <v>642</v>
      </c>
      <c r="O50" s="702" t="s">
        <v>642</v>
      </c>
      <c r="P50" s="702" t="s">
        <v>642</v>
      </c>
      <c r="Q50" s="702" t="s">
        <v>642</v>
      </c>
      <c r="R50" s="702" t="s">
        <v>642</v>
      </c>
      <c r="S50" s="702" t="s">
        <v>642</v>
      </c>
      <c r="T50" s="702" t="s">
        <v>642</v>
      </c>
      <c r="U50" s="702" t="s">
        <v>642</v>
      </c>
      <c r="V50" s="702" t="s">
        <v>642</v>
      </c>
      <c r="W50" s="702" t="s">
        <v>642</v>
      </c>
      <c r="X50" s="702" t="s">
        <v>642</v>
      </c>
    </row>
    <row r="51" spans="1:24" ht="26" x14ac:dyDescent="0.3">
      <c r="A51" s="788" t="s">
        <v>979</v>
      </c>
      <c r="B51" s="788"/>
      <c r="C51" s="745"/>
      <c r="D51" s="788"/>
      <c r="E51" s="745"/>
      <c r="F51" s="745"/>
      <c r="G51" s="745"/>
      <c r="H51" s="745"/>
      <c r="I51" s="745"/>
      <c r="J51" s="745"/>
      <c r="K51" s="745"/>
      <c r="L51" s="745"/>
      <c r="M51" s="745"/>
      <c r="N51" s="745"/>
      <c r="O51" s="745"/>
      <c r="P51" s="745"/>
      <c r="Q51" s="745"/>
      <c r="R51" s="745"/>
      <c r="S51" s="745"/>
      <c r="T51" s="745"/>
      <c r="U51" s="745"/>
      <c r="V51" s="745"/>
      <c r="W51" s="745"/>
      <c r="X51" s="107"/>
    </row>
    <row r="52" spans="1:24" x14ac:dyDescent="0.3">
      <c r="A52" s="729" t="s">
        <v>980</v>
      </c>
      <c r="B52" s="730" t="s">
        <v>642</v>
      </c>
      <c r="C52" s="706" t="s">
        <v>642</v>
      </c>
      <c r="D52" s="730" t="s">
        <v>642</v>
      </c>
      <c r="E52" s="706" t="s">
        <v>981</v>
      </c>
      <c r="F52" s="706" t="s">
        <v>982</v>
      </c>
      <c r="G52" s="706" t="s">
        <v>983</v>
      </c>
      <c r="H52" s="706" t="s">
        <v>984</v>
      </c>
      <c r="I52" s="706" t="s">
        <v>985</v>
      </c>
      <c r="J52" s="706" t="s">
        <v>986</v>
      </c>
      <c r="K52" s="706" t="s">
        <v>987</v>
      </c>
      <c r="L52" s="706" t="s">
        <v>988</v>
      </c>
      <c r="M52" s="706" t="s">
        <v>989</v>
      </c>
      <c r="N52" s="706" t="s">
        <v>990</v>
      </c>
      <c r="O52" s="706" t="s">
        <v>991</v>
      </c>
      <c r="P52" s="706" t="s">
        <v>992</v>
      </c>
      <c r="Q52" s="706" t="s">
        <v>993</v>
      </c>
      <c r="R52" s="706" t="s">
        <v>994</v>
      </c>
      <c r="S52" s="706" t="s">
        <v>995</v>
      </c>
      <c r="T52" s="706" t="s">
        <v>996</v>
      </c>
      <c r="U52" s="706" t="s">
        <v>997</v>
      </c>
      <c r="V52" s="706" t="s">
        <v>998</v>
      </c>
      <c r="W52" s="706" t="s">
        <v>999</v>
      </c>
      <c r="X52" s="706" t="s">
        <v>1000</v>
      </c>
    </row>
    <row r="53" spans="1:24" x14ac:dyDescent="0.3">
      <c r="A53" s="731" t="s">
        <v>1001</v>
      </c>
      <c r="B53" s="791" t="s">
        <v>1002</v>
      </c>
      <c r="C53" s="708" t="s">
        <v>1003</v>
      </c>
      <c r="D53" s="791" t="s">
        <v>1004</v>
      </c>
      <c r="E53" s="708">
        <v>44104</v>
      </c>
      <c r="F53" s="708">
        <v>44196</v>
      </c>
      <c r="G53" s="708">
        <v>44286</v>
      </c>
      <c r="H53" s="708">
        <v>44377</v>
      </c>
      <c r="I53" s="708">
        <v>44469</v>
      </c>
      <c r="J53" s="708">
        <v>44561</v>
      </c>
      <c r="K53" s="708">
        <v>44651</v>
      </c>
      <c r="L53" s="708">
        <v>44742</v>
      </c>
      <c r="M53" s="708">
        <v>44834</v>
      </c>
      <c r="N53" s="708">
        <v>44926</v>
      </c>
      <c r="O53" s="708">
        <v>45016</v>
      </c>
      <c r="P53" s="708">
        <v>45107</v>
      </c>
      <c r="Q53" s="708">
        <v>45199</v>
      </c>
      <c r="R53" s="708">
        <v>45291</v>
      </c>
      <c r="S53" s="708">
        <v>45382</v>
      </c>
      <c r="T53" s="708">
        <v>45473</v>
      </c>
      <c r="U53" s="708">
        <v>45565</v>
      </c>
      <c r="V53" s="708">
        <v>45657</v>
      </c>
      <c r="W53" s="708">
        <v>45747</v>
      </c>
      <c r="X53" s="708">
        <v>45838</v>
      </c>
    </row>
    <row r="54" spans="1:24" ht="25.5" x14ac:dyDescent="0.3">
      <c r="A54" s="735" t="s">
        <v>961</v>
      </c>
      <c r="B54" s="737" t="s">
        <v>1005</v>
      </c>
      <c r="C54" s="715" t="s">
        <v>1006</v>
      </c>
      <c r="D54" s="792" t="s">
        <v>642</v>
      </c>
      <c r="E54" s="716">
        <v>8128767</v>
      </c>
      <c r="F54" s="716">
        <v>7966225</v>
      </c>
      <c r="G54" s="716">
        <v>8494188</v>
      </c>
      <c r="H54" s="716">
        <v>10321671</v>
      </c>
      <c r="I54" s="716">
        <v>11805324</v>
      </c>
      <c r="J54" s="716">
        <v>12376609</v>
      </c>
      <c r="K54" s="716">
        <v>12155653</v>
      </c>
      <c r="L54" s="716">
        <v>13811001</v>
      </c>
      <c r="M54" s="716">
        <v>10982883</v>
      </c>
      <c r="N54" s="716">
        <v>7672031</v>
      </c>
      <c r="O54" s="716">
        <v>5088111</v>
      </c>
      <c r="P54" s="716">
        <v>7305933</v>
      </c>
      <c r="Q54" s="716">
        <v>9066171</v>
      </c>
      <c r="R54" s="716">
        <v>11305505</v>
      </c>
      <c r="S54" s="716">
        <v>12429598</v>
      </c>
      <c r="T54" s="716">
        <v>16423258</v>
      </c>
      <c r="U54" s="716">
        <v>17573069</v>
      </c>
      <c r="V54" s="716">
        <v>19767035</v>
      </c>
      <c r="W54" s="715" t="s">
        <v>642</v>
      </c>
      <c r="X54" s="715" t="s">
        <v>642</v>
      </c>
    </row>
    <row r="55" spans="1:24" ht="25.5" x14ac:dyDescent="0.3">
      <c r="A55" s="735" t="s">
        <v>962</v>
      </c>
      <c r="B55" s="737" t="s">
        <v>1005</v>
      </c>
      <c r="C55" s="715" t="s">
        <v>1006</v>
      </c>
      <c r="D55" s="792" t="s">
        <v>1007</v>
      </c>
      <c r="E55" s="716">
        <v>5714710</v>
      </c>
      <c r="F55" s="716">
        <v>5635469</v>
      </c>
      <c r="G55" s="716">
        <v>6062469</v>
      </c>
      <c r="H55" s="716">
        <v>7505783</v>
      </c>
      <c r="I55" s="716">
        <v>8312960</v>
      </c>
      <c r="J55" s="716">
        <v>8718499</v>
      </c>
      <c r="K55" s="716">
        <v>7857576</v>
      </c>
      <c r="L55" s="716">
        <v>8781735</v>
      </c>
      <c r="M55" s="716">
        <v>6954326</v>
      </c>
      <c r="N55" s="716">
        <v>4575165</v>
      </c>
      <c r="O55" s="716">
        <v>2918692</v>
      </c>
      <c r="P55" s="716">
        <v>4414132</v>
      </c>
      <c r="Q55" s="716">
        <v>6085615</v>
      </c>
      <c r="R55" s="716">
        <v>7350223</v>
      </c>
      <c r="S55" s="716">
        <v>7493448</v>
      </c>
      <c r="T55" s="716">
        <v>10700356</v>
      </c>
      <c r="U55" s="716">
        <v>12048412</v>
      </c>
      <c r="V55" s="716">
        <v>14489448</v>
      </c>
      <c r="W55" s="716">
        <v>13195918.359999999</v>
      </c>
      <c r="X55" s="716">
        <v>14781968.01</v>
      </c>
    </row>
    <row r="56" spans="1:24" ht="25.5" x14ac:dyDescent="0.3">
      <c r="A56" s="735" t="s">
        <v>963</v>
      </c>
      <c r="B56" s="737" t="s">
        <v>1005</v>
      </c>
      <c r="C56" s="715" t="s">
        <v>1006</v>
      </c>
      <c r="D56" s="792" t="s">
        <v>1007</v>
      </c>
      <c r="E56" s="715">
        <v>70.3</v>
      </c>
      <c r="F56" s="715">
        <v>70.739999999999995</v>
      </c>
      <c r="G56" s="715">
        <v>71.37</v>
      </c>
      <c r="H56" s="715">
        <v>72.72</v>
      </c>
      <c r="I56" s="715">
        <v>70.42</v>
      </c>
      <c r="J56" s="715">
        <v>70.44</v>
      </c>
      <c r="K56" s="715">
        <v>64.64</v>
      </c>
      <c r="L56" s="715">
        <v>63.59</v>
      </c>
      <c r="M56" s="715">
        <v>63.32</v>
      </c>
      <c r="N56" s="715">
        <v>59.63</v>
      </c>
      <c r="O56" s="715">
        <v>57.36</v>
      </c>
      <c r="P56" s="715">
        <v>60.42</v>
      </c>
      <c r="Q56" s="715">
        <v>67.12</v>
      </c>
      <c r="R56" s="715">
        <v>65.010000000000005</v>
      </c>
      <c r="S56" s="715">
        <v>60.29</v>
      </c>
      <c r="T56" s="715">
        <v>65.150000000000006</v>
      </c>
      <c r="U56" s="715">
        <v>68.56</v>
      </c>
      <c r="V56" s="715">
        <v>73.3</v>
      </c>
      <c r="W56" s="715" t="s">
        <v>642</v>
      </c>
      <c r="X56" s="715" t="s">
        <v>642</v>
      </c>
    </row>
    <row r="57" spans="1:24" ht="25.5" x14ac:dyDescent="0.3">
      <c r="A57" s="735" t="s">
        <v>964</v>
      </c>
      <c r="B57" s="737" t="s">
        <v>1005</v>
      </c>
      <c r="C57" s="715" t="s">
        <v>1006</v>
      </c>
      <c r="D57" s="792" t="s">
        <v>1008</v>
      </c>
      <c r="E57" s="716">
        <v>1930391</v>
      </c>
      <c r="F57" s="716">
        <v>1784076</v>
      </c>
      <c r="G57" s="716">
        <v>2007523</v>
      </c>
      <c r="H57" s="716">
        <v>2305681</v>
      </c>
      <c r="I57" s="716">
        <v>3044004</v>
      </c>
      <c r="J57" s="716">
        <v>3172239</v>
      </c>
      <c r="K57" s="716">
        <v>3913395</v>
      </c>
      <c r="L57" s="716">
        <v>4517859</v>
      </c>
      <c r="M57" s="716">
        <v>3388186</v>
      </c>
      <c r="N57" s="716">
        <v>2364483</v>
      </c>
      <c r="O57" s="716">
        <v>1688034</v>
      </c>
      <c r="P57" s="716">
        <v>2240211</v>
      </c>
      <c r="Q57" s="716">
        <v>2426210</v>
      </c>
      <c r="R57" s="716">
        <v>3298606</v>
      </c>
      <c r="S57" s="716">
        <v>4407213</v>
      </c>
      <c r="T57" s="716">
        <v>5184707</v>
      </c>
      <c r="U57" s="716">
        <v>4980518</v>
      </c>
      <c r="V57" s="716">
        <v>4701674</v>
      </c>
      <c r="W57" s="716">
        <v>3917365.85</v>
      </c>
      <c r="X57" s="716">
        <v>4451023.71</v>
      </c>
    </row>
    <row r="58" spans="1:24" ht="25.5" x14ac:dyDescent="0.3">
      <c r="A58" s="735" t="s">
        <v>963</v>
      </c>
      <c r="B58" s="737" t="s">
        <v>1005</v>
      </c>
      <c r="C58" s="715" t="s">
        <v>1006</v>
      </c>
      <c r="D58" s="792" t="s">
        <v>1008</v>
      </c>
      <c r="E58" s="715">
        <v>23.75</v>
      </c>
      <c r="F58" s="715">
        <v>22.4</v>
      </c>
      <c r="G58" s="715">
        <v>23.63</v>
      </c>
      <c r="H58" s="715">
        <v>22.34</v>
      </c>
      <c r="I58" s="715">
        <v>25.79</v>
      </c>
      <c r="J58" s="715">
        <v>25.63</v>
      </c>
      <c r="K58" s="715">
        <v>32.19</v>
      </c>
      <c r="L58" s="715">
        <v>32.71</v>
      </c>
      <c r="M58" s="715">
        <v>30.85</v>
      </c>
      <c r="N58" s="715">
        <v>30.82</v>
      </c>
      <c r="O58" s="715">
        <v>33.18</v>
      </c>
      <c r="P58" s="715">
        <v>30.66</v>
      </c>
      <c r="Q58" s="715">
        <v>26.76</v>
      </c>
      <c r="R58" s="715">
        <v>29.18</v>
      </c>
      <c r="S58" s="715">
        <v>35.46</v>
      </c>
      <c r="T58" s="715">
        <v>31.57</v>
      </c>
      <c r="U58" s="715">
        <v>28.34</v>
      </c>
      <c r="V58" s="715">
        <v>23.79</v>
      </c>
      <c r="W58" s="715" t="s">
        <v>642</v>
      </c>
      <c r="X58" s="715" t="s">
        <v>642</v>
      </c>
    </row>
    <row r="59" spans="1:24" ht="25.5" x14ac:dyDescent="0.3">
      <c r="A59" s="735" t="s">
        <v>965</v>
      </c>
      <c r="B59" s="737" t="s">
        <v>1005</v>
      </c>
      <c r="C59" s="715" t="s">
        <v>1006</v>
      </c>
      <c r="D59" s="792" t="s">
        <v>1009</v>
      </c>
      <c r="E59" s="716">
        <v>483666</v>
      </c>
      <c r="F59" s="716">
        <v>546680</v>
      </c>
      <c r="G59" s="716">
        <v>424196</v>
      </c>
      <c r="H59" s="716">
        <v>510207</v>
      </c>
      <c r="I59" s="716">
        <v>448360</v>
      </c>
      <c r="J59" s="716">
        <v>485871</v>
      </c>
      <c r="K59" s="716">
        <v>384682</v>
      </c>
      <c r="L59" s="716">
        <v>511407</v>
      </c>
      <c r="M59" s="716">
        <v>640371</v>
      </c>
      <c r="N59" s="716">
        <v>732383</v>
      </c>
      <c r="O59" s="716">
        <v>481385</v>
      </c>
      <c r="P59" s="716">
        <v>651590</v>
      </c>
      <c r="Q59" s="716">
        <v>554346</v>
      </c>
      <c r="R59" s="716">
        <v>656676</v>
      </c>
      <c r="S59" s="716">
        <v>528937</v>
      </c>
      <c r="T59" s="716">
        <v>538195</v>
      </c>
      <c r="U59" s="716">
        <v>544139</v>
      </c>
      <c r="V59" s="716">
        <v>575913</v>
      </c>
      <c r="W59" s="716">
        <v>516460.11</v>
      </c>
      <c r="X59" s="716">
        <v>533467.92000000004</v>
      </c>
    </row>
    <row r="60" spans="1:24" ht="25.5" x14ac:dyDescent="0.3">
      <c r="A60" s="735" t="s">
        <v>963</v>
      </c>
      <c r="B60" s="737" t="s">
        <v>1005</v>
      </c>
      <c r="C60" s="715" t="s">
        <v>1006</v>
      </c>
      <c r="D60" s="792" t="s">
        <v>1009</v>
      </c>
      <c r="E60" s="715">
        <v>5.95</v>
      </c>
      <c r="F60" s="715">
        <v>6.86</v>
      </c>
      <c r="G60" s="715">
        <v>4.99</v>
      </c>
      <c r="H60" s="715">
        <v>4.9400000000000004</v>
      </c>
      <c r="I60" s="715">
        <v>3.8</v>
      </c>
      <c r="J60" s="715">
        <v>3.93</v>
      </c>
      <c r="K60" s="715">
        <v>3.16</v>
      </c>
      <c r="L60" s="715">
        <v>3.7</v>
      </c>
      <c r="M60" s="715">
        <v>5.83</v>
      </c>
      <c r="N60" s="715">
        <v>9.5500000000000007</v>
      </c>
      <c r="O60" s="715">
        <v>9.4600000000000009</v>
      </c>
      <c r="P60" s="715">
        <v>8.92</v>
      </c>
      <c r="Q60" s="715">
        <v>6.11</v>
      </c>
      <c r="R60" s="715">
        <v>5.81</v>
      </c>
      <c r="S60" s="715">
        <v>4.26</v>
      </c>
      <c r="T60" s="715">
        <v>3.28</v>
      </c>
      <c r="U60" s="715">
        <v>3.1</v>
      </c>
      <c r="V60" s="715">
        <v>2.91</v>
      </c>
      <c r="W60" s="715" t="s">
        <v>642</v>
      </c>
      <c r="X60" s="715" t="s">
        <v>642</v>
      </c>
    </row>
    <row r="61" spans="1:24" x14ac:dyDescent="0.3">
      <c r="A61" s="735" t="s">
        <v>226</v>
      </c>
      <c r="B61" s="737" t="s">
        <v>642</v>
      </c>
      <c r="C61" s="715" t="s">
        <v>642</v>
      </c>
      <c r="D61" s="792" t="s">
        <v>642</v>
      </c>
      <c r="E61" s="715" t="s">
        <v>642</v>
      </c>
      <c r="F61" s="715" t="s">
        <v>642</v>
      </c>
      <c r="G61" s="715" t="s">
        <v>642</v>
      </c>
      <c r="H61" s="715" t="s">
        <v>642</v>
      </c>
      <c r="I61" s="715" t="s">
        <v>642</v>
      </c>
      <c r="J61" s="715" t="s">
        <v>642</v>
      </c>
      <c r="K61" s="715" t="s">
        <v>642</v>
      </c>
      <c r="L61" s="715" t="s">
        <v>642</v>
      </c>
      <c r="M61" s="715" t="s">
        <v>642</v>
      </c>
      <c r="N61" s="715" t="s">
        <v>642</v>
      </c>
      <c r="O61" s="715" t="s">
        <v>642</v>
      </c>
      <c r="P61" s="715" t="s">
        <v>642</v>
      </c>
      <c r="Q61" s="715" t="s">
        <v>642</v>
      </c>
      <c r="R61" s="715" t="s">
        <v>642</v>
      </c>
      <c r="S61" s="715" t="s">
        <v>642</v>
      </c>
      <c r="T61" s="715" t="s">
        <v>642</v>
      </c>
      <c r="U61" s="715" t="s">
        <v>642</v>
      </c>
      <c r="V61" s="715" t="s">
        <v>642</v>
      </c>
      <c r="W61" s="715" t="s">
        <v>642</v>
      </c>
      <c r="X61" s="715" t="s">
        <v>642</v>
      </c>
    </row>
    <row r="62" spans="1:24" ht="38" x14ac:dyDescent="0.3">
      <c r="A62" s="735" t="s">
        <v>1010</v>
      </c>
      <c r="B62" s="737" t="s">
        <v>1011</v>
      </c>
      <c r="C62" s="715" t="s">
        <v>1012</v>
      </c>
      <c r="D62" s="792" t="s">
        <v>642</v>
      </c>
      <c r="E62" s="715" t="s">
        <v>642</v>
      </c>
      <c r="F62" s="715" t="s">
        <v>642</v>
      </c>
      <c r="G62" s="715" t="s">
        <v>642</v>
      </c>
      <c r="H62" s="715" t="s">
        <v>642</v>
      </c>
      <c r="I62" s="715" t="s">
        <v>642</v>
      </c>
      <c r="J62" s="715" t="s">
        <v>642</v>
      </c>
      <c r="K62" s="715" t="s">
        <v>642</v>
      </c>
      <c r="L62" s="715" t="s">
        <v>642</v>
      </c>
      <c r="M62" s="715" t="s">
        <v>642</v>
      </c>
      <c r="N62" s="715" t="s">
        <v>642</v>
      </c>
      <c r="O62" s="715" t="s">
        <v>642</v>
      </c>
      <c r="P62" s="715" t="s">
        <v>642</v>
      </c>
      <c r="Q62" s="715" t="s">
        <v>642</v>
      </c>
      <c r="R62" s="715" t="s">
        <v>642</v>
      </c>
      <c r="S62" s="715" t="s">
        <v>642</v>
      </c>
      <c r="T62" s="715" t="s">
        <v>642</v>
      </c>
      <c r="U62" s="715" t="s">
        <v>642</v>
      </c>
      <c r="V62" s="715" t="s">
        <v>642</v>
      </c>
      <c r="W62" s="715" t="s">
        <v>642</v>
      </c>
      <c r="X62" s="715" t="s">
        <v>642</v>
      </c>
    </row>
    <row r="63" spans="1:24" ht="38" x14ac:dyDescent="0.3">
      <c r="A63" s="735" t="s">
        <v>962</v>
      </c>
      <c r="B63" s="737" t="s">
        <v>1011</v>
      </c>
      <c r="C63" s="715" t="s">
        <v>1012</v>
      </c>
      <c r="D63" s="792" t="s">
        <v>1007</v>
      </c>
      <c r="E63" s="715">
        <v>4</v>
      </c>
      <c r="F63" s="715">
        <v>11</v>
      </c>
      <c r="G63" s="715">
        <v>4</v>
      </c>
      <c r="H63" s="715">
        <v>5</v>
      </c>
      <c r="I63" s="715">
        <v>-1.5</v>
      </c>
      <c r="J63" s="715">
        <v>8.5</v>
      </c>
      <c r="K63" s="715">
        <v>-8.5</v>
      </c>
      <c r="L63" s="715">
        <v>10</v>
      </c>
      <c r="M63" s="715">
        <v>5</v>
      </c>
      <c r="N63" s="715">
        <v>0</v>
      </c>
      <c r="O63" s="715">
        <v>-20</v>
      </c>
      <c r="P63" s="715">
        <v>35</v>
      </c>
      <c r="Q63" s="715">
        <v>20</v>
      </c>
      <c r="R63" s="715">
        <v>1.5</v>
      </c>
      <c r="S63" s="715">
        <v>-15</v>
      </c>
      <c r="T63" s="715">
        <v>21.5</v>
      </c>
      <c r="U63" s="715">
        <v>-1.5</v>
      </c>
      <c r="V63" s="715">
        <v>5</v>
      </c>
      <c r="W63" s="715" t="s">
        <v>642</v>
      </c>
      <c r="X63" s="715" t="s">
        <v>642</v>
      </c>
    </row>
    <row r="64" spans="1:24" ht="38" x14ac:dyDescent="0.3">
      <c r="A64" s="735" t="s">
        <v>963</v>
      </c>
      <c r="B64" s="737" t="s">
        <v>1011</v>
      </c>
      <c r="C64" s="715" t="s">
        <v>1012</v>
      </c>
      <c r="D64" s="792" t="s">
        <v>1007</v>
      </c>
      <c r="E64" s="715" t="s">
        <v>642</v>
      </c>
      <c r="F64" s="715" t="s">
        <v>642</v>
      </c>
      <c r="G64" s="715" t="s">
        <v>642</v>
      </c>
      <c r="H64" s="715" t="s">
        <v>642</v>
      </c>
      <c r="I64" s="715" t="s">
        <v>642</v>
      </c>
      <c r="J64" s="715" t="s">
        <v>642</v>
      </c>
      <c r="K64" s="715" t="s">
        <v>642</v>
      </c>
      <c r="L64" s="715" t="s">
        <v>642</v>
      </c>
      <c r="M64" s="715" t="s">
        <v>642</v>
      </c>
      <c r="N64" s="715" t="s">
        <v>642</v>
      </c>
      <c r="O64" s="715" t="s">
        <v>642</v>
      </c>
      <c r="P64" s="715" t="s">
        <v>642</v>
      </c>
      <c r="Q64" s="715" t="s">
        <v>642</v>
      </c>
      <c r="R64" s="715" t="s">
        <v>642</v>
      </c>
      <c r="S64" s="715" t="s">
        <v>642</v>
      </c>
      <c r="T64" s="715" t="s">
        <v>642</v>
      </c>
      <c r="U64" s="715" t="s">
        <v>642</v>
      </c>
      <c r="V64" s="715" t="s">
        <v>642</v>
      </c>
      <c r="W64" s="715" t="s">
        <v>642</v>
      </c>
      <c r="X64" s="715" t="s">
        <v>642</v>
      </c>
    </row>
    <row r="65" spans="1:24" ht="38" x14ac:dyDescent="0.3">
      <c r="A65" s="735" t="s">
        <v>964</v>
      </c>
      <c r="B65" s="737" t="s">
        <v>1011</v>
      </c>
      <c r="C65" s="715" t="s">
        <v>1012</v>
      </c>
      <c r="D65" s="792" t="s">
        <v>1008</v>
      </c>
      <c r="E65" s="715">
        <v>9</v>
      </c>
      <c r="F65" s="715">
        <v>8</v>
      </c>
      <c r="G65" s="715">
        <v>21</v>
      </c>
      <c r="H65" s="715">
        <v>1.5</v>
      </c>
      <c r="I65" s="715">
        <v>21.5</v>
      </c>
      <c r="J65" s="715">
        <v>11.5</v>
      </c>
      <c r="K65" s="715">
        <v>18.5</v>
      </c>
      <c r="L65" s="715">
        <v>8.5</v>
      </c>
      <c r="M65" s="715">
        <v>11.5</v>
      </c>
      <c r="N65" s="715">
        <v>8.5</v>
      </c>
      <c r="O65" s="715">
        <v>-15</v>
      </c>
      <c r="P65" s="715">
        <v>50</v>
      </c>
      <c r="Q65" s="715">
        <v>5</v>
      </c>
      <c r="R65" s="715">
        <v>-1.5</v>
      </c>
      <c r="S65" s="715">
        <v>0</v>
      </c>
      <c r="T65" s="715">
        <v>-1.5</v>
      </c>
      <c r="U65" s="715">
        <v>-15</v>
      </c>
      <c r="V65" s="715">
        <v>-5</v>
      </c>
      <c r="W65" s="715" t="s">
        <v>642</v>
      </c>
      <c r="X65" s="715" t="s">
        <v>642</v>
      </c>
    </row>
    <row r="66" spans="1:24" ht="38" x14ac:dyDescent="0.3">
      <c r="A66" s="735" t="s">
        <v>963</v>
      </c>
      <c r="B66" s="737" t="s">
        <v>1011</v>
      </c>
      <c r="C66" s="715" t="s">
        <v>1012</v>
      </c>
      <c r="D66" s="792" t="s">
        <v>1008</v>
      </c>
      <c r="E66" s="715" t="s">
        <v>642</v>
      </c>
      <c r="F66" s="715" t="s">
        <v>642</v>
      </c>
      <c r="G66" s="715" t="s">
        <v>642</v>
      </c>
      <c r="H66" s="715" t="s">
        <v>642</v>
      </c>
      <c r="I66" s="715" t="s">
        <v>642</v>
      </c>
      <c r="J66" s="715" t="s">
        <v>642</v>
      </c>
      <c r="K66" s="715" t="s">
        <v>642</v>
      </c>
      <c r="L66" s="715" t="s">
        <v>642</v>
      </c>
      <c r="M66" s="715" t="s">
        <v>642</v>
      </c>
      <c r="N66" s="715" t="s">
        <v>642</v>
      </c>
      <c r="O66" s="715" t="s">
        <v>642</v>
      </c>
      <c r="P66" s="715" t="s">
        <v>642</v>
      </c>
      <c r="Q66" s="715" t="s">
        <v>642</v>
      </c>
      <c r="R66" s="715" t="s">
        <v>642</v>
      </c>
      <c r="S66" s="715" t="s">
        <v>642</v>
      </c>
      <c r="T66" s="715" t="s">
        <v>642</v>
      </c>
      <c r="U66" s="715" t="s">
        <v>642</v>
      </c>
      <c r="V66" s="715" t="s">
        <v>642</v>
      </c>
      <c r="W66" s="715" t="s">
        <v>642</v>
      </c>
      <c r="X66" s="715" t="s">
        <v>642</v>
      </c>
    </row>
    <row r="67" spans="1:24" x14ac:dyDescent="0.3">
      <c r="A67" s="741" t="s">
        <v>811</v>
      </c>
      <c r="B67" s="741" t="s">
        <v>642</v>
      </c>
      <c r="C67" s="723" t="s">
        <v>642</v>
      </c>
      <c r="D67" s="741" t="s">
        <v>642</v>
      </c>
      <c r="E67" s="723" t="s">
        <v>642</v>
      </c>
      <c r="F67" s="723" t="s">
        <v>642</v>
      </c>
      <c r="G67" s="723" t="s">
        <v>642</v>
      </c>
      <c r="H67" s="723" t="s">
        <v>642</v>
      </c>
      <c r="I67" s="723" t="s">
        <v>642</v>
      </c>
      <c r="J67" s="723" t="s">
        <v>642</v>
      </c>
      <c r="K67" s="723" t="s">
        <v>642</v>
      </c>
      <c r="L67" s="723" t="s">
        <v>642</v>
      </c>
      <c r="M67" s="723" t="s">
        <v>642</v>
      </c>
      <c r="N67" s="723" t="s">
        <v>642</v>
      </c>
      <c r="O67" s="723" t="s">
        <v>642</v>
      </c>
      <c r="P67" s="723" t="s">
        <v>642</v>
      </c>
      <c r="Q67" s="723" t="s">
        <v>642</v>
      </c>
      <c r="R67" s="723" t="s">
        <v>642</v>
      </c>
      <c r="S67" s="723" t="s">
        <v>642</v>
      </c>
      <c r="T67" s="723" t="s">
        <v>642</v>
      </c>
      <c r="U67" s="723" t="s">
        <v>642</v>
      </c>
      <c r="V67" s="723" t="s">
        <v>642</v>
      </c>
      <c r="W67" s="723" t="s">
        <v>642</v>
      </c>
      <c r="X67" s="723" t="s">
        <v>642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2754A-2246-489D-8E1E-329D975DC6E5}">
  <sheetPr>
    <tabColor theme="7" tint="0.79998168889431442"/>
  </sheetPr>
  <dimension ref="B2:L14"/>
  <sheetViews>
    <sheetView showGridLines="0" zoomScale="70" zoomScaleNormal="70" workbookViewId="0"/>
  </sheetViews>
  <sheetFormatPr defaultRowHeight="14" x14ac:dyDescent="0.3"/>
  <cols>
    <col min="2" max="2" width="21.5" customWidth="1"/>
    <col min="3" max="3" width="28.33203125" bestFit="1" customWidth="1"/>
    <col min="4" max="4" width="15.25" customWidth="1"/>
    <col min="5" max="5" width="55.58203125" customWidth="1"/>
    <col min="6" max="6" width="18" customWidth="1"/>
    <col min="7" max="7" width="14" customWidth="1"/>
    <col min="8" max="8" width="38" customWidth="1"/>
    <col min="9" max="9" width="71.58203125" style="761" customWidth="1"/>
  </cols>
  <sheetData>
    <row r="2" spans="2:12" x14ac:dyDescent="0.3">
      <c r="B2" s="2" t="s">
        <v>1013</v>
      </c>
      <c r="C2" s="2" t="s">
        <v>1014</v>
      </c>
      <c r="D2" s="2" t="s">
        <v>1015</v>
      </c>
      <c r="E2" s="2" t="s">
        <v>1016</v>
      </c>
      <c r="F2" s="2" t="s">
        <v>1017</v>
      </c>
      <c r="G2" s="2" t="s">
        <v>1018</v>
      </c>
      <c r="H2" s="2" t="s">
        <v>1019</v>
      </c>
      <c r="I2" s="903" t="s">
        <v>1020</v>
      </c>
    </row>
    <row r="3" spans="2:12" ht="4" customHeight="1" x14ac:dyDescent="0.3">
      <c r="B3" s="893"/>
      <c r="C3" s="893"/>
      <c r="D3" s="893"/>
      <c r="E3" s="893"/>
      <c r="F3" s="893"/>
      <c r="G3" s="893"/>
      <c r="H3" s="893"/>
      <c r="I3" s="904"/>
    </row>
    <row r="4" spans="2:12" ht="112" x14ac:dyDescent="0.3">
      <c r="B4" s="905" t="s">
        <v>1021</v>
      </c>
      <c r="C4" s="906" t="s">
        <v>1022</v>
      </c>
      <c r="D4" s="906" t="s">
        <v>1023</v>
      </c>
      <c r="E4" s="907" t="s">
        <v>1024</v>
      </c>
      <c r="F4" s="908">
        <v>27</v>
      </c>
      <c r="G4" s="909">
        <v>45747</v>
      </c>
      <c r="H4" s="906" t="s">
        <v>1025</v>
      </c>
      <c r="I4" s="894" t="s">
        <v>1026</v>
      </c>
      <c r="J4" s="609"/>
      <c r="K4" s="609"/>
      <c r="L4" s="609"/>
    </row>
    <row r="5" spans="2:12" ht="70" x14ac:dyDescent="0.3">
      <c r="B5" s="905" t="s">
        <v>1027</v>
      </c>
      <c r="C5" s="906" t="s">
        <v>1022</v>
      </c>
      <c r="D5" s="906" t="s">
        <v>1028</v>
      </c>
      <c r="E5" s="907" t="s">
        <v>1029</v>
      </c>
      <c r="F5" s="908">
        <v>3</v>
      </c>
      <c r="G5" s="909">
        <v>46477</v>
      </c>
      <c r="H5" s="906" t="s">
        <v>1025</v>
      </c>
      <c r="I5" s="894" t="s">
        <v>1030</v>
      </c>
      <c r="J5" s="609"/>
      <c r="K5" s="609"/>
      <c r="L5" s="609"/>
    </row>
    <row r="6" spans="2:12" ht="66" x14ac:dyDescent="0.3">
      <c r="B6" s="905" t="s">
        <v>1031</v>
      </c>
      <c r="C6" s="906" t="s">
        <v>1032</v>
      </c>
      <c r="D6" s="906" t="s">
        <v>1033</v>
      </c>
      <c r="E6" s="907" t="s">
        <v>1034</v>
      </c>
      <c r="F6" s="908">
        <v>63</v>
      </c>
      <c r="G6" s="909">
        <v>45747</v>
      </c>
      <c r="H6" s="906" t="s">
        <v>1035</v>
      </c>
      <c r="I6" s="894" t="s">
        <v>1036</v>
      </c>
      <c r="J6" s="609"/>
      <c r="K6" s="609"/>
      <c r="L6" s="609"/>
    </row>
    <row r="7" spans="2:12" ht="70" x14ac:dyDescent="0.3">
      <c r="B7" s="905" t="s">
        <v>1037</v>
      </c>
      <c r="C7" s="906" t="s">
        <v>1032</v>
      </c>
      <c r="D7" s="906" t="s">
        <v>1038</v>
      </c>
      <c r="E7" s="907" t="s">
        <v>1039</v>
      </c>
      <c r="F7" s="908">
        <v>51</v>
      </c>
      <c r="G7" s="909">
        <v>46112</v>
      </c>
      <c r="H7" s="906" t="s">
        <v>1040</v>
      </c>
      <c r="I7" s="894" t="s">
        <v>1041</v>
      </c>
      <c r="J7" s="609"/>
      <c r="K7" s="609"/>
      <c r="L7" s="609"/>
    </row>
    <row r="8" spans="2:12" ht="98" x14ac:dyDescent="0.3">
      <c r="B8" s="905" t="s">
        <v>1042</v>
      </c>
      <c r="C8" s="906" t="s">
        <v>1032</v>
      </c>
      <c r="D8" s="906" t="s">
        <v>1043</v>
      </c>
      <c r="E8" s="907" t="s">
        <v>1044</v>
      </c>
      <c r="F8" s="908">
        <v>15</v>
      </c>
      <c r="G8" s="909">
        <v>46112</v>
      </c>
      <c r="H8" s="906" t="s">
        <v>1045</v>
      </c>
      <c r="I8" s="894" t="s">
        <v>1046</v>
      </c>
      <c r="J8" s="609"/>
      <c r="K8" s="609"/>
      <c r="L8" s="609"/>
    </row>
    <row r="9" spans="2:12" ht="49.5" x14ac:dyDescent="0.3">
      <c r="B9" s="905" t="s">
        <v>1047</v>
      </c>
      <c r="C9" s="906" t="s">
        <v>1032</v>
      </c>
      <c r="D9" s="906" t="s">
        <v>1048</v>
      </c>
      <c r="E9" s="907" t="s">
        <v>1049</v>
      </c>
      <c r="F9" s="908">
        <v>15</v>
      </c>
      <c r="G9" s="909">
        <v>46112</v>
      </c>
      <c r="H9" s="906" t="s">
        <v>1050</v>
      </c>
      <c r="I9" s="894" t="s">
        <v>1051</v>
      </c>
      <c r="J9" s="609"/>
      <c r="K9" s="609"/>
      <c r="L9" s="609"/>
    </row>
    <row r="10" spans="2:12" ht="56" x14ac:dyDescent="0.3">
      <c r="B10" s="905" t="s">
        <v>1052</v>
      </c>
      <c r="C10" s="906" t="s">
        <v>1032</v>
      </c>
      <c r="D10" s="906" t="s">
        <v>1043</v>
      </c>
      <c r="E10" s="907" t="s">
        <v>1053</v>
      </c>
      <c r="F10" s="908">
        <v>3</v>
      </c>
      <c r="G10" s="909">
        <v>46477</v>
      </c>
      <c r="H10" s="906" t="s">
        <v>1054</v>
      </c>
      <c r="I10" s="894" t="s">
        <v>1055</v>
      </c>
      <c r="J10" s="609"/>
      <c r="K10" s="609"/>
      <c r="L10" s="609"/>
    </row>
    <row r="11" spans="2:12" ht="33" x14ac:dyDescent="0.3">
      <c r="B11" s="905" t="s">
        <v>1056</v>
      </c>
      <c r="C11" s="906" t="s">
        <v>1032</v>
      </c>
      <c r="D11" s="906" t="s">
        <v>1057</v>
      </c>
      <c r="E11" s="907" t="s">
        <v>1029</v>
      </c>
      <c r="F11" s="908">
        <v>3</v>
      </c>
      <c r="G11" s="909">
        <v>46477</v>
      </c>
      <c r="H11" s="906" t="s">
        <v>1045</v>
      </c>
      <c r="I11" s="894" t="s">
        <v>1058</v>
      </c>
      <c r="J11" s="609"/>
      <c r="K11" s="609"/>
      <c r="L11" s="609"/>
    </row>
    <row r="12" spans="2:12" ht="70" x14ac:dyDescent="0.3">
      <c r="B12" s="905" t="s">
        <v>1059</v>
      </c>
      <c r="C12" s="906" t="s">
        <v>1060</v>
      </c>
      <c r="D12" s="906" t="s">
        <v>1023</v>
      </c>
      <c r="E12" s="907" t="s">
        <v>1061</v>
      </c>
      <c r="F12" s="908">
        <v>15</v>
      </c>
      <c r="G12" s="909">
        <v>46112</v>
      </c>
      <c r="H12" s="906" t="s">
        <v>1025</v>
      </c>
      <c r="I12" s="894" t="s">
        <v>1062</v>
      </c>
      <c r="J12" s="609"/>
      <c r="K12" s="609"/>
      <c r="L12" s="609"/>
    </row>
    <row r="13" spans="2:12" ht="70" x14ac:dyDescent="0.3">
      <c r="B13" s="905" t="s">
        <v>1063</v>
      </c>
      <c r="C13" s="906" t="s">
        <v>1060</v>
      </c>
      <c r="D13" s="906" t="s">
        <v>1064</v>
      </c>
      <c r="E13" s="907" t="s">
        <v>1065</v>
      </c>
      <c r="F13" s="908">
        <v>3</v>
      </c>
      <c r="G13" s="909">
        <v>46477</v>
      </c>
      <c r="H13" s="906" t="s">
        <v>1025</v>
      </c>
      <c r="I13" s="894" t="s">
        <v>1066</v>
      </c>
      <c r="J13" s="609"/>
      <c r="K13" s="609"/>
      <c r="L13" s="609"/>
    </row>
    <row r="14" spans="2:12" x14ac:dyDescent="0.3">
      <c r="B14" s="609"/>
      <c r="C14" s="609"/>
      <c r="D14" s="609"/>
      <c r="E14" s="609"/>
      <c r="F14" s="609"/>
      <c r="G14" s="609"/>
      <c r="H14" s="609"/>
      <c r="I14" s="892"/>
      <c r="J14" s="609"/>
      <c r="K14" s="609"/>
      <c r="L14" s="60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125"/>
  <sheetViews>
    <sheetView showGridLines="0" workbookViewId="0"/>
  </sheetViews>
  <sheetFormatPr defaultRowHeight="14" x14ac:dyDescent="0.3"/>
  <cols>
    <col min="1" max="1" width="36" bestFit="1" customWidth="1"/>
    <col min="2" max="19" width="11.58203125" bestFit="1" customWidth="1"/>
    <col min="20" max="21" width="11.75" bestFit="1" customWidth="1"/>
  </cols>
  <sheetData>
    <row r="1" spans="1:24" ht="60" x14ac:dyDescent="0.4">
      <c r="A1" s="726" t="s">
        <v>1067</v>
      </c>
      <c r="B1" s="703"/>
      <c r="C1" s="703"/>
      <c r="D1" s="703"/>
      <c r="E1" s="703"/>
      <c r="F1" s="703"/>
      <c r="G1" s="703"/>
      <c r="H1" s="702" t="s">
        <v>642</v>
      </c>
      <c r="I1" s="702" t="s">
        <v>642</v>
      </c>
      <c r="J1" s="702" t="s">
        <v>642</v>
      </c>
      <c r="K1" s="702" t="s">
        <v>642</v>
      </c>
      <c r="L1" s="702" t="s">
        <v>642</v>
      </c>
      <c r="M1" s="702" t="s">
        <v>642</v>
      </c>
      <c r="N1" s="702" t="s">
        <v>642</v>
      </c>
      <c r="O1" s="702" t="s">
        <v>642</v>
      </c>
      <c r="P1" s="702" t="s">
        <v>642</v>
      </c>
      <c r="Q1" s="702" t="s">
        <v>642</v>
      </c>
      <c r="R1" s="702" t="s">
        <v>642</v>
      </c>
      <c r="S1" s="702" t="s">
        <v>642</v>
      </c>
      <c r="T1" s="702" t="s">
        <v>642</v>
      </c>
      <c r="U1" s="702" t="s">
        <v>642</v>
      </c>
      <c r="V1" s="702" t="s">
        <v>642</v>
      </c>
      <c r="W1" s="702" t="s">
        <v>642</v>
      </c>
      <c r="X1" s="702" t="s">
        <v>642</v>
      </c>
    </row>
    <row r="2" spans="1:24" ht="39.5" x14ac:dyDescent="0.35">
      <c r="A2" s="788" t="s">
        <v>1068</v>
      </c>
      <c r="B2" s="745"/>
      <c r="C2" s="745"/>
      <c r="D2" s="745"/>
      <c r="E2" s="745"/>
      <c r="F2" s="745"/>
      <c r="G2" s="745"/>
      <c r="H2" s="745"/>
      <c r="I2" s="745"/>
      <c r="J2" s="745"/>
      <c r="K2" s="745"/>
      <c r="L2" s="745"/>
      <c r="M2" s="745"/>
      <c r="N2" s="745"/>
      <c r="O2" s="745"/>
      <c r="P2" s="745"/>
      <c r="Q2" s="745"/>
      <c r="R2" s="745"/>
      <c r="S2" s="745"/>
      <c r="T2" s="745"/>
      <c r="U2" s="745"/>
      <c r="V2" s="745"/>
      <c r="W2" s="745"/>
      <c r="X2" s="743"/>
    </row>
    <row r="3" spans="1:24" x14ac:dyDescent="0.3">
      <c r="A3" s="729" t="s">
        <v>946</v>
      </c>
      <c r="B3" s="706" t="s">
        <v>983</v>
      </c>
      <c r="C3" s="706" t="s">
        <v>984</v>
      </c>
      <c r="D3" s="706" t="s">
        <v>985</v>
      </c>
      <c r="E3" s="706" t="s">
        <v>986</v>
      </c>
      <c r="F3" s="706" t="s">
        <v>987</v>
      </c>
      <c r="G3" s="706" t="s">
        <v>988</v>
      </c>
      <c r="H3" s="706" t="s">
        <v>989</v>
      </c>
      <c r="I3" s="706" t="s">
        <v>990</v>
      </c>
      <c r="J3" s="706" t="s">
        <v>991</v>
      </c>
      <c r="K3" s="706" t="s">
        <v>992</v>
      </c>
      <c r="L3" s="706" t="s">
        <v>993</v>
      </c>
      <c r="M3" s="706" t="s">
        <v>994</v>
      </c>
      <c r="N3" s="706" t="s">
        <v>995</v>
      </c>
      <c r="O3" s="706" t="s">
        <v>996</v>
      </c>
      <c r="P3" s="706" t="s">
        <v>997</v>
      </c>
      <c r="Q3" s="706" t="s">
        <v>998</v>
      </c>
      <c r="R3" s="706" t="s">
        <v>1069</v>
      </c>
      <c r="S3" s="706" t="s">
        <v>1070</v>
      </c>
      <c r="T3" s="706" t="s">
        <v>1071</v>
      </c>
      <c r="U3" s="706" t="s">
        <v>1072</v>
      </c>
    </row>
    <row r="4" spans="1:24" x14ac:dyDescent="0.3">
      <c r="A4" s="731" t="s">
        <v>1001</v>
      </c>
      <c r="B4" s="708">
        <v>44168</v>
      </c>
      <c r="C4" s="708">
        <v>44259</v>
      </c>
      <c r="D4" s="708">
        <v>44350</v>
      </c>
      <c r="E4" s="708">
        <v>44441</v>
      </c>
      <c r="F4" s="708">
        <v>44532</v>
      </c>
      <c r="G4" s="708">
        <v>44623</v>
      </c>
      <c r="H4" s="708">
        <v>44714</v>
      </c>
      <c r="I4" s="708">
        <v>44805</v>
      </c>
      <c r="J4" s="708">
        <v>44896</v>
      </c>
      <c r="K4" s="708">
        <v>44987</v>
      </c>
      <c r="L4" s="708">
        <v>45078</v>
      </c>
      <c r="M4" s="708">
        <v>45169</v>
      </c>
      <c r="N4" s="708">
        <v>45260</v>
      </c>
      <c r="O4" s="708">
        <v>45351</v>
      </c>
      <c r="P4" s="708">
        <v>45442</v>
      </c>
      <c r="Q4" s="708">
        <v>45533</v>
      </c>
      <c r="R4" s="708">
        <v>45624</v>
      </c>
      <c r="S4" s="708">
        <v>45715</v>
      </c>
      <c r="T4" s="708">
        <v>45804</v>
      </c>
      <c r="U4" s="708">
        <v>45896</v>
      </c>
    </row>
    <row r="5" spans="1:24" x14ac:dyDescent="0.3">
      <c r="A5" s="735" t="s">
        <v>961</v>
      </c>
      <c r="B5" s="716">
        <v>6592.92</v>
      </c>
      <c r="C5" s="716">
        <v>6879.31</v>
      </c>
      <c r="D5" s="716">
        <v>8340.18</v>
      </c>
      <c r="E5" s="716">
        <v>9474.61</v>
      </c>
      <c r="F5" s="716">
        <v>9074.3799999999992</v>
      </c>
      <c r="G5" s="716">
        <v>9294.2000000000007</v>
      </c>
      <c r="H5" s="716">
        <v>10743.48</v>
      </c>
      <c r="I5" s="716">
        <v>8673.2099999999991</v>
      </c>
      <c r="J5" s="716">
        <v>5685.73</v>
      </c>
      <c r="K5" s="716">
        <v>4701.25</v>
      </c>
      <c r="L5" s="716">
        <v>4948.82</v>
      </c>
      <c r="M5" s="716">
        <v>5217.45</v>
      </c>
      <c r="N5" s="716">
        <v>6287.12</v>
      </c>
      <c r="O5" s="716">
        <v>7693.77</v>
      </c>
      <c r="P5" s="716">
        <v>9235.18</v>
      </c>
      <c r="Q5" s="716">
        <v>10634.28</v>
      </c>
      <c r="R5" s="716">
        <v>11864.35</v>
      </c>
      <c r="S5" s="716">
        <v>11642.82</v>
      </c>
      <c r="T5" s="715" t="s">
        <v>642</v>
      </c>
      <c r="U5" s="715" t="s">
        <v>642</v>
      </c>
    </row>
    <row r="6" spans="1:24" x14ac:dyDescent="0.3">
      <c r="A6" s="735" t="s">
        <v>1073</v>
      </c>
      <c r="B6" s="716">
        <v>4632.0600000000004</v>
      </c>
      <c r="C6" s="716">
        <v>4902.45</v>
      </c>
      <c r="D6" s="716">
        <v>6121.98</v>
      </c>
      <c r="E6" s="716">
        <v>6974.84</v>
      </c>
      <c r="F6" s="716">
        <v>6595.36</v>
      </c>
      <c r="G6" s="716">
        <v>6826.81</v>
      </c>
      <c r="H6" s="716">
        <v>7795.92</v>
      </c>
      <c r="I6" s="716">
        <v>6278.71</v>
      </c>
      <c r="J6" s="716">
        <v>3937.56</v>
      </c>
      <c r="K6" s="716">
        <v>3465.15</v>
      </c>
      <c r="L6" s="716">
        <v>3524.32</v>
      </c>
      <c r="M6" s="716">
        <v>3584.56</v>
      </c>
      <c r="N6" s="716">
        <v>4559.03</v>
      </c>
      <c r="O6" s="716">
        <v>5492.91</v>
      </c>
      <c r="P6" s="716">
        <v>6361.98</v>
      </c>
      <c r="Q6" s="716">
        <v>7308.15</v>
      </c>
      <c r="R6" s="716">
        <v>8718.7800000000007</v>
      </c>
      <c r="S6" s="716">
        <v>8852.48</v>
      </c>
      <c r="T6" s="716">
        <v>9850.51</v>
      </c>
      <c r="U6" s="716">
        <v>10938.31</v>
      </c>
    </row>
    <row r="7" spans="1:24" x14ac:dyDescent="0.3">
      <c r="A7" s="735" t="s">
        <v>963</v>
      </c>
      <c r="B7" s="715">
        <v>70.260000000000005</v>
      </c>
      <c r="C7" s="715">
        <v>71.260000000000005</v>
      </c>
      <c r="D7" s="715">
        <v>73.400000000000006</v>
      </c>
      <c r="E7" s="715">
        <v>73.62</v>
      </c>
      <c r="F7" s="715">
        <v>72.680000000000007</v>
      </c>
      <c r="G7" s="715">
        <v>73.45</v>
      </c>
      <c r="H7" s="715">
        <v>72.56</v>
      </c>
      <c r="I7" s="715">
        <v>72.39</v>
      </c>
      <c r="J7" s="715">
        <v>69.25</v>
      </c>
      <c r="K7" s="715">
        <v>73.709999999999994</v>
      </c>
      <c r="L7" s="715">
        <v>71.22</v>
      </c>
      <c r="M7" s="715">
        <v>68.7</v>
      </c>
      <c r="N7" s="715">
        <v>72.510000000000005</v>
      </c>
      <c r="O7" s="715">
        <v>71.39</v>
      </c>
      <c r="P7" s="715">
        <v>68.89</v>
      </c>
      <c r="Q7" s="715">
        <v>68.72</v>
      </c>
      <c r="R7" s="715">
        <v>73.489999999999995</v>
      </c>
      <c r="S7" s="715">
        <v>76.03</v>
      </c>
      <c r="T7" s="715" t="s">
        <v>642</v>
      </c>
      <c r="U7" s="715" t="s">
        <v>642</v>
      </c>
    </row>
    <row r="8" spans="1:24" x14ac:dyDescent="0.3">
      <c r="A8" s="735" t="s">
        <v>1074</v>
      </c>
      <c r="B8" s="716">
        <v>1797.55</v>
      </c>
      <c r="C8" s="716">
        <v>1820.22</v>
      </c>
      <c r="D8" s="716">
        <v>2036.16</v>
      </c>
      <c r="E8" s="716">
        <v>2257</v>
      </c>
      <c r="F8" s="716">
        <v>2216.9499999999998</v>
      </c>
      <c r="G8" s="716">
        <v>2336.08</v>
      </c>
      <c r="H8" s="716">
        <v>2844.37</v>
      </c>
      <c r="I8" s="716">
        <v>2203.88</v>
      </c>
      <c r="J8" s="716">
        <v>1535.22</v>
      </c>
      <c r="K8" s="716">
        <v>1126.6199999999999</v>
      </c>
      <c r="L8" s="716">
        <v>1336.13</v>
      </c>
      <c r="M8" s="716">
        <v>1567.84</v>
      </c>
      <c r="N8" s="716">
        <v>1636.3</v>
      </c>
      <c r="O8" s="716">
        <v>2070.08</v>
      </c>
      <c r="P8" s="716">
        <v>2799.98</v>
      </c>
      <c r="Q8" s="716">
        <v>3245.17</v>
      </c>
      <c r="R8" s="716">
        <v>3052.93</v>
      </c>
      <c r="S8" s="716">
        <v>2681.91</v>
      </c>
      <c r="T8" s="716">
        <v>2761</v>
      </c>
      <c r="U8" s="716">
        <v>2978.15</v>
      </c>
    </row>
    <row r="9" spans="1:24" x14ac:dyDescent="0.3">
      <c r="A9" s="735" t="s">
        <v>963</v>
      </c>
      <c r="B9" s="715">
        <v>27.26</v>
      </c>
      <c r="C9" s="715">
        <v>26.46</v>
      </c>
      <c r="D9" s="715">
        <v>24.41</v>
      </c>
      <c r="E9" s="715">
        <v>23.82</v>
      </c>
      <c r="F9" s="715">
        <v>24.43</v>
      </c>
      <c r="G9" s="715">
        <v>25.13</v>
      </c>
      <c r="H9" s="715">
        <v>26.48</v>
      </c>
      <c r="I9" s="715">
        <v>25.41</v>
      </c>
      <c r="J9" s="715">
        <v>27</v>
      </c>
      <c r="K9" s="715">
        <v>23.96</v>
      </c>
      <c r="L9" s="715">
        <v>27</v>
      </c>
      <c r="M9" s="715">
        <v>30.05</v>
      </c>
      <c r="N9" s="715">
        <v>26.03</v>
      </c>
      <c r="O9" s="715">
        <v>26.91</v>
      </c>
      <c r="P9" s="715">
        <v>30.32</v>
      </c>
      <c r="Q9" s="715">
        <v>30.52</v>
      </c>
      <c r="R9" s="715">
        <v>25.73</v>
      </c>
      <c r="S9" s="715">
        <v>23.03</v>
      </c>
      <c r="T9" s="715" t="s">
        <v>642</v>
      </c>
      <c r="U9" s="715" t="s">
        <v>642</v>
      </c>
    </row>
    <row r="10" spans="1:24" ht="25.5" x14ac:dyDescent="0.3">
      <c r="A10" s="735" t="s">
        <v>1075</v>
      </c>
      <c r="B10" s="715">
        <v>163.31</v>
      </c>
      <c r="C10" s="715">
        <v>156.65</v>
      </c>
      <c r="D10" s="715">
        <v>182.04</v>
      </c>
      <c r="E10" s="715">
        <v>242.76</v>
      </c>
      <c r="F10" s="715">
        <v>262.07</v>
      </c>
      <c r="G10" s="715">
        <v>131.31</v>
      </c>
      <c r="H10" s="715">
        <v>103.18</v>
      </c>
      <c r="I10" s="715">
        <v>190.62</v>
      </c>
      <c r="J10" s="715">
        <v>212.95</v>
      </c>
      <c r="K10" s="715">
        <v>109.48</v>
      </c>
      <c r="L10" s="715">
        <v>88.37</v>
      </c>
      <c r="M10" s="715">
        <v>65.06</v>
      </c>
      <c r="N10" s="715">
        <v>91.79</v>
      </c>
      <c r="O10" s="715">
        <v>130.78</v>
      </c>
      <c r="P10" s="715">
        <v>73.22</v>
      </c>
      <c r="Q10" s="715">
        <v>80.959999999999994</v>
      </c>
      <c r="R10" s="715">
        <v>92.64</v>
      </c>
      <c r="S10" s="715">
        <v>108.43</v>
      </c>
      <c r="T10" s="715">
        <v>103.93</v>
      </c>
      <c r="U10" s="715">
        <v>106.14</v>
      </c>
    </row>
    <row r="11" spans="1:24" x14ac:dyDescent="0.3">
      <c r="A11" s="735" t="s">
        <v>963</v>
      </c>
      <c r="B11" s="715">
        <v>2.48</v>
      </c>
      <c r="C11" s="715">
        <v>2.2799999999999998</v>
      </c>
      <c r="D11" s="715">
        <v>2.1800000000000002</v>
      </c>
      <c r="E11" s="715">
        <v>2.56</v>
      </c>
      <c r="F11" s="715">
        <v>2.89</v>
      </c>
      <c r="G11" s="715">
        <v>1.41</v>
      </c>
      <c r="H11" s="715">
        <v>0.96</v>
      </c>
      <c r="I11" s="715">
        <v>2.2000000000000002</v>
      </c>
      <c r="J11" s="715">
        <v>3.75</v>
      </c>
      <c r="K11" s="715">
        <v>2.33</v>
      </c>
      <c r="L11" s="715">
        <v>1.79</v>
      </c>
      <c r="M11" s="715">
        <v>1.25</v>
      </c>
      <c r="N11" s="715">
        <v>1.46</v>
      </c>
      <c r="O11" s="715">
        <v>1.7</v>
      </c>
      <c r="P11" s="715">
        <v>0.79</v>
      </c>
      <c r="Q11" s="715">
        <v>0.76</v>
      </c>
      <c r="R11" s="715">
        <v>0.78</v>
      </c>
      <c r="S11" s="715">
        <v>0.93</v>
      </c>
      <c r="T11" s="715" t="s">
        <v>642</v>
      </c>
      <c r="U11" s="715" t="s">
        <v>642</v>
      </c>
    </row>
    <row r="12" spans="1:24" x14ac:dyDescent="0.3">
      <c r="A12" s="735" t="s">
        <v>971</v>
      </c>
      <c r="B12" s="715" t="s">
        <v>642</v>
      </c>
      <c r="C12" s="715" t="s">
        <v>642</v>
      </c>
      <c r="D12" s="715" t="s">
        <v>642</v>
      </c>
      <c r="E12" s="715" t="s">
        <v>642</v>
      </c>
      <c r="F12" s="715" t="s">
        <v>642</v>
      </c>
      <c r="G12" s="715" t="s">
        <v>642</v>
      </c>
      <c r="H12" s="715" t="s">
        <v>642</v>
      </c>
      <c r="I12" s="715" t="s">
        <v>642</v>
      </c>
      <c r="J12" s="715" t="s">
        <v>642</v>
      </c>
      <c r="K12" s="715" t="s">
        <v>642</v>
      </c>
      <c r="L12" s="715" t="s">
        <v>642</v>
      </c>
      <c r="M12" s="715" t="s">
        <v>642</v>
      </c>
      <c r="N12" s="715" t="s">
        <v>642</v>
      </c>
      <c r="O12" s="715" t="s">
        <v>642</v>
      </c>
      <c r="P12" s="715" t="s">
        <v>642</v>
      </c>
      <c r="Q12" s="715" t="s">
        <v>642</v>
      </c>
      <c r="R12" s="715" t="s">
        <v>642</v>
      </c>
      <c r="S12" s="715" t="s">
        <v>642</v>
      </c>
      <c r="T12" s="715" t="s">
        <v>642</v>
      </c>
      <c r="U12" s="715" t="s">
        <v>642</v>
      </c>
    </row>
    <row r="13" spans="1:24" x14ac:dyDescent="0.3">
      <c r="A13" s="735" t="s">
        <v>1076</v>
      </c>
      <c r="B13" s="715" t="s">
        <v>642</v>
      </c>
      <c r="C13" s="715" t="s">
        <v>642</v>
      </c>
      <c r="D13" s="715" t="s">
        <v>642</v>
      </c>
      <c r="E13" s="715" t="s">
        <v>642</v>
      </c>
      <c r="F13" s="715" t="s">
        <v>642</v>
      </c>
      <c r="G13" s="715" t="s">
        <v>642</v>
      </c>
      <c r="H13" s="715" t="s">
        <v>642</v>
      </c>
      <c r="I13" s="715" t="s">
        <v>642</v>
      </c>
      <c r="J13" s="715" t="s">
        <v>642</v>
      </c>
      <c r="K13" s="715" t="s">
        <v>642</v>
      </c>
      <c r="L13" s="715" t="s">
        <v>642</v>
      </c>
      <c r="M13" s="715" t="s">
        <v>642</v>
      </c>
      <c r="N13" s="715" t="s">
        <v>642</v>
      </c>
      <c r="O13" s="715" t="s">
        <v>642</v>
      </c>
      <c r="P13" s="715" t="s">
        <v>642</v>
      </c>
      <c r="Q13" s="715" t="s">
        <v>642</v>
      </c>
      <c r="R13" s="715" t="s">
        <v>642</v>
      </c>
      <c r="S13" s="715" t="s">
        <v>642</v>
      </c>
      <c r="T13" s="715" t="s">
        <v>642</v>
      </c>
      <c r="U13" s="715" t="s">
        <v>642</v>
      </c>
    </row>
    <row r="14" spans="1:24" x14ac:dyDescent="0.3">
      <c r="A14" s="735" t="s">
        <v>1077</v>
      </c>
      <c r="B14" s="715" t="s">
        <v>642</v>
      </c>
      <c r="C14" s="715" t="s">
        <v>642</v>
      </c>
      <c r="D14" s="715" t="s">
        <v>642</v>
      </c>
      <c r="E14" s="715" t="s">
        <v>642</v>
      </c>
      <c r="F14" s="715" t="s">
        <v>642</v>
      </c>
      <c r="G14" s="715" t="s">
        <v>642</v>
      </c>
      <c r="H14" s="715" t="s">
        <v>642</v>
      </c>
      <c r="I14" s="715" t="s">
        <v>642</v>
      </c>
      <c r="J14" s="715" t="s">
        <v>642</v>
      </c>
      <c r="K14" s="715" t="s">
        <v>642</v>
      </c>
      <c r="L14" s="715" t="s">
        <v>642</v>
      </c>
      <c r="M14" s="715" t="s">
        <v>642</v>
      </c>
      <c r="N14" s="715" t="s">
        <v>642</v>
      </c>
      <c r="O14" s="715" t="s">
        <v>642</v>
      </c>
      <c r="P14" s="715" t="s">
        <v>642</v>
      </c>
      <c r="Q14" s="715" t="s">
        <v>642</v>
      </c>
      <c r="R14" s="715" t="s">
        <v>642</v>
      </c>
      <c r="S14" s="715" t="s">
        <v>642</v>
      </c>
      <c r="T14" s="715" t="s">
        <v>642</v>
      </c>
      <c r="U14" s="715" t="s">
        <v>642</v>
      </c>
    </row>
    <row r="15" spans="1:24" x14ac:dyDescent="0.3">
      <c r="A15" s="735" t="s">
        <v>1078</v>
      </c>
      <c r="B15" s="715" t="s">
        <v>642</v>
      </c>
      <c r="C15" s="715" t="s">
        <v>642</v>
      </c>
      <c r="D15" s="715" t="s">
        <v>642</v>
      </c>
      <c r="E15" s="715" t="s">
        <v>642</v>
      </c>
      <c r="F15" s="715" t="s">
        <v>642</v>
      </c>
      <c r="G15" s="715" t="s">
        <v>642</v>
      </c>
      <c r="H15" s="715" t="s">
        <v>642</v>
      </c>
      <c r="I15" s="715" t="s">
        <v>642</v>
      </c>
      <c r="J15" s="715" t="s">
        <v>642</v>
      </c>
      <c r="K15" s="715" t="s">
        <v>642</v>
      </c>
      <c r="L15" s="715" t="s">
        <v>642</v>
      </c>
      <c r="M15" s="715" t="s">
        <v>642</v>
      </c>
      <c r="N15" s="715" t="s">
        <v>642</v>
      </c>
      <c r="O15" s="715" t="s">
        <v>642</v>
      </c>
      <c r="P15" s="715" t="s">
        <v>642</v>
      </c>
      <c r="Q15" s="715" t="s">
        <v>642</v>
      </c>
      <c r="R15" s="715" t="s">
        <v>642</v>
      </c>
      <c r="S15" s="715" t="s">
        <v>642</v>
      </c>
      <c r="T15" s="715" t="s">
        <v>642</v>
      </c>
      <c r="U15" s="715" t="s">
        <v>642</v>
      </c>
    </row>
    <row r="16" spans="1:24" x14ac:dyDescent="0.3">
      <c r="A16" s="735" t="s">
        <v>1079</v>
      </c>
      <c r="B16" s="715" t="s">
        <v>642</v>
      </c>
      <c r="C16" s="715" t="s">
        <v>642</v>
      </c>
      <c r="D16" s="715" t="s">
        <v>642</v>
      </c>
      <c r="E16" s="715" t="s">
        <v>642</v>
      </c>
      <c r="F16" s="715" t="s">
        <v>642</v>
      </c>
      <c r="G16" s="715" t="s">
        <v>642</v>
      </c>
      <c r="H16" s="715" t="s">
        <v>642</v>
      </c>
      <c r="I16" s="715" t="s">
        <v>642</v>
      </c>
      <c r="J16" s="715" t="s">
        <v>642</v>
      </c>
      <c r="K16" s="715" t="s">
        <v>642</v>
      </c>
      <c r="L16" s="715" t="s">
        <v>642</v>
      </c>
      <c r="M16" s="715" t="s">
        <v>642</v>
      </c>
      <c r="N16" s="715" t="s">
        <v>642</v>
      </c>
      <c r="O16" s="715" t="s">
        <v>642</v>
      </c>
      <c r="P16" s="715" t="s">
        <v>642</v>
      </c>
      <c r="Q16" s="715" t="s">
        <v>642</v>
      </c>
      <c r="R16" s="715" t="s">
        <v>642</v>
      </c>
      <c r="S16" s="715" t="s">
        <v>642</v>
      </c>
      <c r="T16" s="715" t="s">
        <v>642</v>
      </c>
      <c r="U16" s="715" t="s">
        <v>642</v>
      </c>
    </row>
    <row r="17" spans="1:21" x14ac:dyDescent="0.3">
      <c r="A17" s="735" t="s">
        <v>1080</v>
      </c>
      <c r="B17" s="715" t="s">
        <v>642</v>
      </c>
      <c r="C17" s="715" t="s">
        <v>642</v>
      </c>
      <c r="D17" s="715" t="s">
        <v>642</v>
      </c>
      <c r="E17" s="715" t="s">
        <v>642</v>
      </c>
      <c r="F17" s="715" t="s">
        <v>642</v>
      </c>
      <c r="G17" s="715" t="s">
        <v>642</v>
      </c>
      <c r="H17" s="715" t="s">
        <v>642</v>
      </c>
      <c r="I17" s="715" t="s">
        <v>642</v>
      </c>
      <c r="J17" s="715" t="s">
        <v>642</v>
      </c>
      <c r="K17" s="715" t="s">
        <v>642</v>
      </c>
      <c r="L17" s="715" t="s">
        <v>642</v>
      </c>
      <c r="M17" s="715" t="s">
        <v>642</v>
      </c>
      <c r="N17" s="715" t="s">
        <v>642</v>
      </c>
      <c r="O17" s="715" t="s">
        <v>642</v>
      </c>
      <c r="P17" s="715" t="s">
        <v>642</v>
      </c>
      <c r="Q17" s="715" t="s">
        <v>642</v>
      </c>
      <c r="R17" s="715" t="s">
        <v>642</v>
      </c>
      <c r="S17" s="715" t="s">
        <v>642</v>
      </c>
      <c r="T17" s="715" t="s">
        <v>642</v>
      </c>
      <c r="U17" s="715" t="s">
        <v>642</v>
      </c>
    </row>
    <row r="18" spans="1:21" x14ac:dyDescent="0.3">
      <c r="A18" s="735" t="s">
        <v>1081</v>
      </c>
      <c r="B18" s="715" t="s">
        <v>642</v>
      </c>
      <c r="C18" s="715" t="s">
        <v>642</v>
      </c>
      <c r="D18" s="715" t="s">
        <v>642</v>
      </c>
      <c r="E18" s="715" t="s">
        <v>642</v>
      </c>
      <c r="F18" s="715" t="s">
        <v>642</v>
      </c>
      <c r="G18" s="715" t="s">
        <v>642</v>
      </c>
      <c r="H18" s="715" t="s">
        <v>642</v>
      </c>
      <c r="I18" s="715" t="s">
        <v>642</v>
      </c>
      <c r="J18" s="715" t="s">
        <v>642</v>
      </c>
      <c r="K18" s="715" t="s">
        <v>642</v>
      </c>
      <c r="L18" s="715" t="s">
        <v>642</v>
      </c>
      <c r="M18" s="715" t="s">
        <v>642</v>
      </c>
      <c r="N18" s="715" t="s">
        <v>642</v>
      </c>
      <c r="O18" s="715" t="s">
        <v>642</v>
      </c>
      <c r="P18" s="715" t="s">
        <v>642</v>
      </c>
      <c r="Q18" s="715" t="s">
        <v>642</v>
      </c>
      <c r="R18" s="715" t="s">
        <v>642</v>
      </c>
      <c r="S18" s="715" t="s">
        <v>642</v>
      </c>
      <c r="T18" s="715" t="s">
        <v>642</v>
      </c>
      <c r="U18" s="715" t="s">
        <v>642</v>
      </c>
    </row>
    <row r="19" spans="1:21" x14ac:dyDescent="0.3">
      <c r="A19" s="735" t="s">
        <v>1082</v>
      </c>
      <c r="B19" s="715" t="s">
        <v>642</v>
      </c>
      <c r="C19" s="715" t="s">
        <v>642</v>
      </c>
      <c r="D19" s="715" t="s">
        <v>642</v>
      </c>
      <c r="E19" s="715" t="s">
        <v>642</v>
      </c>
      <c r="F19" s="715" t="s">
        <v>642</v>
      </c>
      <c r="G19" s="715" t="s">
        <v>642</v>
      </c>
      <c r="H19" s="715" t="s">
        <v>642</v>
      </c>
      <c r="I19" s="715" t="s">
        <v>642</v>
      </c>
      <c r="J19" s="715" t="s">
        <v>642</v>
      </c>
      <c r="K19" s="715" t="s">
        <v>642</v>
      </c>
      <c r="L19" s="715" t="s">
        <v>642</v>
      </c>
      <c r="M19" s="715" t="s">
        <v>642</v>
      </c>
      <c r="N19" s="715" t="s">
        <v>642</v>
      </c>
      <c r="O19" s="715" t="s">
        <v>642</v>
      </c>
      <c r="P19" s="715" t="s">
        <v>642</v>
      </c>
      <c r="Q19" s="715" t="s">
        <v>642</v>
      </c>
      <c r="R19" s="715" t="s">
        <v>642</v>
      </c>
      <c r="S19" s="715" t="s">
        <v>642</v>
      </c>
      <c r="T19" s="715" t="s">
        <v>642</v>
      </c>
      <c r="U19" s="715" t="s">
        <v>642</v>
      </c>
    </row>
    <row r="20" spans="1:21" x14ac:dyDescent="0.3">
      <c r="A20" s="735" t="s">
        <v>1083</v>
      </c>
      <c r="B20" s="715" t="s">
        <v>642</v>
      </c>
      <c r="C20" s="715" t="s">
        <v>642</v>
      </c>
      <c r="D20" s="715" t="s">
        <v>642</v>
      </c>
      <c r="E20" s="715" t="s">
        <v>642</v>
      </c>
      <c r="F20" s="715" t="s">
        <v>642</v>
      </c>
      <c r="G20" s="715" t="s">
        <v>642</v>
      </c>
      <c r="H20" s="715" t="s">
        <v>642</v>
      </c>
      <c r="I20" s="715" t="s">
        <v>642</v>
      </c>
      <c r="J20" s="715" t="s">
        <v>642</v>
      </c>
      <c r="K20" s="715" t="s">
        <v>642</v>
      </c>
      <c r="L20" s="715" t="s">
        <v>642</v>
      </c>
      <c r="M20" s="715" t="s">
        <v>642</v>
      </c>
      <c r="N20" s="715" t="s">
        <v>642</v>
      </c>
      <c r="O20" s="715" t="s">
        <v>642</v>
      </c>
      <c r="P20" s="715" t="s">
        <v>642</v>
      </c>
      <c r="Q20" s="715" t="s">
        <v>642</v>
      </c>
      <c r="R20" s="715" t="s">
        <v>642</v>
      </c>
      <c r="S20" s="715" t="s">
        <v>642</v>
      </c>
      <c r="T20" s="715" t="s">
        <v>642</v>
      </c>
      <c r="U20" s="715" t="s">
        <v>642</v>
      </c>
    </row>
    <row r="21" spans="1:21" x14ac:dyDescent="0.3">
      <c r="A21" s="735" t="s">
        <v>226</v>
      </c>
      <c r="B21" s="715" t="s">
        <v>642</v>
      </c>
      <c r="C21" s="715" t="s">
        <v>642</v>
      </c>
      <c r="D21" s="715" t="s">
        <v>642</v>
      </c>
      <c r="E21" s="715" t="s">
        <v>642</v>
      </c>
      <c r="F21" s="715" t="s">
        <v>642</v>
      </c>
      <c r="G21" s="715" t="s">
        <v>642</v>
      </c>
      <c r="H21" s="715" t="s">
        <v>642</v>
      </c>
      <c r="I21" s="715" t="s">
        <v>642</v>
      </c>
      <c r="J21" s="715" t="s">
        <v>642</v>
      </c>
      <c r="K21" s="715" t="s">
        <v>642</v>
      </c>
      <c r="L21" s="715" t="s">
        <v>642</v>
      </c>
      <c r="M21" s="715" t="s">
        <v>642</v>
      </c>
      <c r="N21" s="715" t="s">
        <v>642</v>
      </c>
      <c r="O21" s="715" t="s">
        <v>642</v>
      </c>
      <c r="P21" s="715" t="s">
        <v>642</v>
      </c>
      <c r="Q21" s="715" t="s">
        <v>642</v>
      </c>
      <c r="R21" s="715" t="s">
        <v>642</v>
      </c>
      <c r="S21" s="715" t="s">
        <v>642</v>
      </c>
      <c r="T21" s="715" t="s">
        <v>642</v>
      </c>
      <c r="U21" s="715" t="s">
        <v>642</v>
      </c>
    </row>
    <row r="22" spans="1:21" ht="25.5" x14ac:dyDescent="0.3">
      <c r="A22" s="735" t="s">
        <v>1010</v>
      </c>
      <c r="B22" s="715" t="s">
        <v>642</v>
      </c>
      <c r="C22" s="715" t="s">
        <v>642</v>
      </c>
      <c r="D22" s="715" t="s">
        <v>642</v>
      </c>
      <c r="E22" s="715" t="s">
        <v>642</v>
      </c>
      <c r="F22" s="715" t="s">
        <v>642</v>
      </c>
      <c r="G22" s="715" t="s">
        <v>642</v>
      </c>
      <c r="H22" s="715" t="s">
        <v>642</v>
      </c>
      <c r="I22" s="715" t="s">
        <v>642</v>
      </c>
      <c r="J22" s="715" t="s">
        <v>642</v>
      </c>
      <c r="K22" s="715" t="s">
        <v>642</v>
      </c>
      <c r="L22" s="715" t="s">
        <v>642</v>
      </c>
      <c r="M22" s="715" t="s">
        <v>642</v>
      </c>
      <c r="N22" s="715" t="s">
        <v>642</v>
      </c>
      <c r="O22" s="715" t="s">
        <v>642</v>
      </c>
      <c r="P22" s="715" t="s">
        <v>642</v>
      </c>
      <c r="Q22" s="715" t="s">
        <v>642</v>
      </c>
      <c r="R22" s="715" t="s">
        <v>642</v>
      </c>
      <c r="S22" s="715" t="s">
        <v>642</v>
      </c>
      <c r="T22" s="715" t="s">
        <v>642</v>
      </c>
      <c r="U22" s="715" t="s">
        <v>642</v>
      </c>
    </row>
    <row r="23" spans="1:21" x14ac:dyDescent="0.3">
      <c r="A23" s="735" t="s">
        <v>1073</v>
      </c>
      <c r="B23" s="715">
        <v>-5.46</v>
      </c>
      <c r="C23" s="715">
        <v>2.65</v>
      </c>
      <c r="D23" s="715">
        <v>2.88</v>
      </c>
      <c r="E23" s="715">
        <v>3.5</v>
      </c>
      <c r="F23" s="715">
        <v>-5.05</v>
      </c>
      <c r="G23" s="715">
        <v>3.29</v>
      </c>
      <c r="H23" s="715">
        <v>7.29</v>
      </c>
      <c r="I23" s="715">
        <v>-9.07</v>
      </c>
      <c r="J23" s="715">
        <v>-18.47</v>
      </c>
      <c r="K23" s="715">
        <v>5.4</v>
      </c>
      <c r="L23" s="715">
        <v>6.14</v>
      </c>
      <c r="M23" s="715">
        <v>9.8800000000000008</v>
      </c>
      <c r="N23" s="715">
        <v>11.42</v>
      </c>
      <c r="O23" s="715">
        <v>-3.23</v>
      </c>
      <c r="P23" s="715">
        <v>-2.8</v>
      </c>
      <c r="Q23" s="715">
        <v>0.17</v>
      </c>
      <c r="R23" s="715">
        <v>4.79</v>
      </c>
      <c r="S23" s="715">
        <v>-3.02</v>
      </c>
      <c r="T23" s="715">
        <v>8.51</v>
      </c>
      <c r="U23" s="715">
        <v>8.1999999999999993</v>
      </c>
    </row>
    <row r="24" spans="1:21" x14ac:dyDescent="0.3">
      <c r="A24" s="735" t="s">
        <v>963</v>
      </c>
      <c r="B24" s="715" t="s">
        <v>642</v>
      </c>
      <c r="C24" s="715" t="s">
        <v>642</v>
      </c>
      <c r="D24" s="715" t="s">
        <v>642</v>
      </c>
      <c r="E24" s="715" t="s">
        <v>642</v>
      </c>
      <c r="F24" s="715" t="s">
        <v>642</v>
      </c>
      <c r="G24" s="715" t="s">
        <v>642</v>
      </c>
      <c r="H24" s="715" t="s">
        <v>642</v>
      </c>
      <c r="I24" s="715" t="s">
        <v>642</v>
      </c>
      <c r="J24" s="715" t="s">
        <v>642</v>
      </c>
      <c r="K24" s="715" t="s">
        <v>642</v>
      </c>
      <c r="L24" s="715" t="s">
        <v>642</v>
      </c>
      <c r="M24" s="715" t="s">
        <v>642</v>
      </c>
      <c r="N24" s="715" t="s">
        <v>642</v>
      </c>
      <c r="O24" s="715" t="s">
        <v>642</v>
      </c>
      <c r="P24" s="715" t="s">
        <v>642</v>
      </c>
      <c r="Q24" s="715" t="s">
        <v>642</v>
      </c>
      <c r="R24" s="715" t="s">
        <v>642</v>
      </c>
      <c r="S24" s="715" t="s">
        <v>642</v>
      </c>
      <c r="T24" s="715" t="s">
        <v>642</v>
      </c>
      <c r="U24" s="715" t="s">
        <v>642</v>
      </c>
    </row>
    <row r="25" spans="1:21" x14ac:dyDescent="0.3">
      <c r="A25" s="735" t="s">
        <v>1074</v>
      </c>
      <c r="B25" s="715">
        <v>4.33</v>
      </c>
      <c r="C25" s="715">
        <v>3.5</v>
      </c>
      <c r="D25" s="715">
        <v>6.75</v>
      </c>
      <c r="E25" s="715">
        <v>7</v>
      </c>
      <c r="F25" s="715">
        <v>-2.92</v>
      </c>
      <c r="G25" s="715">
        <v>3.4</v>
      </c>
      <c r="H25" s="715">
        <v>15.33</v>
      </c>
      <c r="I25" s="715">
        <v>-5.57</v>
      </c>
      <c r="J25" s="715">
        <v>-22.44</v>
      </c>
      <c r="K25" s="715">
        <v>6.11</v>
      </c>
      <c r="L25" s="715">
        <v>18.75</v>
      </c>
      <c r="M25" s="715">
        <v>12.3</v>
      </c>
      <c r="N25" s="715">
        <v>-7.4</v>
      </c>
      <c r="O25" s="715">
        <v>-2.75</v>
      </c>
      <c r="P25" s="715">
        <v>3.62</v>
      </c>
      <c r="Q25" s="715">
        <v>1.65</v>
      </c>
      <c r="R25" s="715">
        <v>2.36</v>
      </c>
      <c r="S25" s="715">
        <v>-15.71</v>
      </c>
      <c r="T25" s="715">
        <v>7.11</v>
      </c>
      <c r="U25" s="715">
        <v>6.77</v>
      </c>
    </row>
    <row r="26" spans="1:21" x14ac:dyDescent="0.3">
      <c r="A26" s="735" t="s">
        <v>963</v>
      </c>
      <c r="B26" s="715" t="s">
        <v>642</v>
      </c>
      <c r="C26" s="715" t="s">
        <v>642</v>
      </c>
      <c r="D26" s="715" t="s">
        <v>642</v>
      </c>
      <c r="E26" s="715" t="s">
        <v>642</v>
      </c>
      <c r="F26" s="715" t="s">
        <v>642</v>
      </c>
      <c r="G26" s="715" t="s">
        <v>642</v>
      </c>
      <c r="H26" s="715" t="s">
        <v>642</v>
      </c>
      <c r="I26" s="715" t="s">
        <v>642</v>
      </c>
      <c r="J26" s="715" t="s">
        <v>642</v>
      </c>
      <c r="K26" s="715" t="s">
        <v>642</v>
      </c>
      <c r="L26" s="715" t="s">
        <v>642</v>
      </c>
      <c r="M26" s="715" t="s">
        <v>642</v>
      </c>
      <c r="N26" s="715" t="s">
        <v>642</v>
      </c>
      <c r="O26" s="715" t="s">
        <v>642</v>
      </c>
      <c r="P26" s="715" t="s">
        <v>642</v>
      </c>
      <c r="Q26" s="715" t="s">
        <v>642</v>
      </c>
      <c r="R26" s="715" t="s">
        <v>642</v>
      </c>
      <c r="S26" s="715" t="s">
        <v>642</v>
      </c>
      <c r="T26" s="715" t="s">
        <v>642</v>
      </c>
      <c r="U26" s="715" t="s">
        <v>642</v>
      </c>
    </row>
    <row r="27" spans="1:21" x14ac:dyDescent="0.3">
      <c r="A27" s="735" t="s">
        <v>226</v>
      </c>
      <c r="B27" s="715" t="s">
        <v>642</v>
      </c>
      <c r="C27" s="715" t="s">
        <v>642</v>
      </c>
      <c r="D27" s="715" t="s">
        <v>642</v>
      </c>
      <c r="E27" s="715" t="s">
        <v>642</v>
      </c>
      <c r="F27" s="715" t="s">
        <v>642</v>
      </c>
      <c r="G27" s="715" t="s">
        <v>642</v>
      </c>
      <c r="H27" s="715" t="s">
        <v>642</v>
      </c>
      <c r="I27" s="715" t="s">
        <v>642</v>
      </c>
      <c r="J27" s="715" t="s">
        <v>642</v>
      </c>
      <c r="K27" s="715" t="s">
        <v>642</v>
      </c>
      <c r="L27" s="715" t="s">
        <v>642</v>
      </c>
      <c r="M27" s="715" t="s">
        <v>642</v>
      </c>
      <c r="N27" s="715" t="s">
        <v>642</v>
      </c>
      <c r="O27" s="715" t="s">
        <v>642</v>
      </c>
      <c r="P27" s="715" t="s">
        <v>642</v>
      </c>
      <c r="Q27" s="715" t="s">
        <v>642</v>
      </c>
      <c r="R27" s="715" t="s">
        <v>642</v>
      </c>
      <c r="S27" s="715" t="s">
        <v>642</v>
      </c>
      <c r="T27" s="715" t="s">
        <v>642</v>
      </c>
      <c r="U27" s="715" t="s">
        <v>642</v>
      </c>
    </row>
    <row r="28" spans="1:21" x14ac:dyDescent="0.3">
      <c r="A28" s="735" t="s">
        <v>1084</v>
      </c>
      <c r="B28" s="715">
        <v>989</v>
      </c>
      <c r="C28" s="715">
        <v>731.4</v>
      </c>
      <c r="D28" s="716">
        <v>2021.56</v>
      </c>
      <c r="E28" s="716">
        <v>3383.79</v>
      </c>
      <c r="F28" s="716">
        <v>3105.85</v>
      </c>
      <c r="G28" s="716">
        <v>3039.18</v>
      </c>
      <c r="H28" s="716">
        <v>3734.48</v>
      </c>
      <c r="I28" s="716">
        <v>1985.84</v>
      </c>
      <c r="J28" s="715">
        <v>-290.89999999999998</v>
      </c>
      <c r="K28" s="716">
        <v>-2931.76</v>
      </c>
      <c r="L28" s="716">
        <v>-2322.73</v>
      </c>
      <c r="M28" s="716">
        <v>-1915.23</v>
      </c>
      <c r="N28" s="716">
        <v>-1500.61</v>
      </c>
      <c r="O28" s="715">
        <v>252.32</v>
      </c>
      <c r="P28" s="715">
        <v>974.91</v>
      </c>
      <c r="Q28" s="716">
        <v>2088.44</v>
      </c>
      <c r="R28" s="716">
        <v>2961.66</v>
      </c>
      <c r="S28" s="716">
        <v>2563.36</v>
      </c>
      <c r="T28" s="715" t="s">
        <v>642</v>
      </c>
      <c r="U28" s="715" t="s">
        <v>642</v>
      </c>
    </row>
    <row r="29" spans="1:21" x14ac:dyDescent="0.3">
      <c r="A29" s="735" t="s">
        <v>1085</v>
      </c>
      <c r="B29" s="715">
        <v>551.6</v>
      </c>
      <c r="C29" s="715">
        <v>782.14</v>
      </c>
      <c r="D29" s="716">
        <v>1508.02</v>
      </c>
      <c r="E29" s="716">
        <v>2016.53</v>
      </c>
      <c r="F29" s="716">
        <v>1799.06</v>
      </c>
      <c r="G29" s="716">
        <v>1864.57</v>
      </c>
      <c r="H29" s="716">
        <v>2210.36</v>
      </c>
      <c r="I29" s="716">
        <v>1279.5</v>
      </c>
      <c r="J29" s="715">
        <v>264.45</v>
      </c>
      <c r="K29" s="715">
        <v>-44.56</v>
      </c>
      <c r="L29" s="715">
        <v>-444.5</v>
      </c>
      <c r="M29" s="715">
        <v>-524.35</v>
      </c>
      <c r="N29" s="715">
        <v>-528.14</v>
      </c>
      <c r="O29" s="715">
        <v>36.99</v>
      </c>
      <c r="P29" s="715">
        <v>599.32000000000005</v>
      </c>
      <c r="Q29" s="716">
        <v>1244.55</v>
      </c>
      <c r="R29" s="716">
        <v>2330.91</v>
      </c>
      <c r="S29" s="716">
        <v>2774.44</v>
      </c>
      <c r="T29" s="716">
        <v>2165.37</v>
      </c>
      <c r="U29" s="716">
        <v>2165.7399999999998</v>
      </c>
    </row>
    <row r="30" spans="1:21" x14ac:dyDescent="0.3">
      <c r="A30" s="735" t="s">
        <v>963</v>
      </c>
      <c r="B30" s="715">
        <v>55.77</v>
      </c>
      <c r="C30" s="715">
        <v>106.94</v>
      </c>
      <c r="D30" s="715">
        <v>74.599999999999994</v>
      </c>
      <c r="E30" s="715">
        <v>59.59</v>
      </c>
      <c r="F30" s="715">
        <v>57.92</v>
      </c>
      <c r="G30" s="715">
        <v>61.35</v>
      </c>
      <c r="H30" s="715">
        <v>59.19</v>
      </c>
      <c r="I30" s="715">
        <v>64.430000000000007</v>
      </c>
      <c r="J30" s="715">
        <v>-90.91</v>
      </c>
      <c r="K30" s="715">
        <v>1.52</v>
      </c>
      <c r="L30" s="715">
        <v>19.14</v>
      </c>
      <c r="M30" s="715">
        <v>27.38</v>
      </c>
      <c r="N30" s="715">
        <v>35.200000000000003</v>
      </c>
      <c r="O30" s="715">
        <v>14.66</v>
      </c>
      <c r="P30" s="715">
        <v>61.47</v>
      </c>
      <c r="Q30" s="715">
        <v>59.59</v>
      </c>
      <c r="R30" s="715">
        <v>78.7</v>
      </c>
      <c r="S30" s="715">
        <v>108.23</v>
      </c>
      <c r="T30" s="715" t="s">
        <v>642</v>
      </c>
      <c r="U30" s="715" t="s">
        <v>642</v>
      </c>
    </row>
    <row r="31" spans="1:21" x14ac:dyDescent="0.3">
      <c r="A31" s="735" t="s">
        <v>1086</v>
      </c>
      <c r="B31" s="715">
        <v>422.55</v>
      </c>
      <c r="C31" s="715">
        <v>511.87</v>
      </c>
      <c r="D31" s="715">
        <v>767.49</v>
      </c>
      <c r="E31" s="715">
        <v>751.19</v>
      </c>
      <c r="F31" s="715">
        <v>736.62</v>
      </c>
      <c r="G31" s="715">
        <v>701.9</v>
      </c>
      <c r="H31" s="715">
        <v>795.63</v>
      </c>
      <c r="I31" s="715">
        <v>402.13</v>
      </c>
      <c r="J31" s="715">
        <v>-271.41000000000003</v>
      </c>
      <c r="K31" s="715">
        <v>-437.92</v>
      </c>
      <c r="L31" s="715">
        <v>-630.47</v>
      </c>
      <c r="M31" s="715">
        <v>-953.71</v>
      </c>
      <c r="N31" s="715">
        <v>-913.93</v>
      </c>
      <c r="O31" s="715">
        <v>-11.89</v>
      </c>
      <c r="P31" s="715">
        <v>408.13</v>
      </c>
      <c r="Q31" s="715">
        <v>698.43</v>
      </c>
      <c r="R31" s="715">
        <v>445.47</v>
      </c>
      <c r="S31" s="715">
        <v>86.75</v>
      </c>
      <c r="T31" s="715">
        <v>614.42999999999995</v>
      </c>
      <c r="U31" s="715">
        <v>638.49</v>
      </c>
    </row>
    <row r="32" spans="1:21" x14ac:dyDescent="0.3">
      <c r="A32" s="735" t="s">
        <v>963</v>
      </c>
      <c r="B32" s="715">
        <v>42.73</v>
      </c>
      <c r="C32" s="715">
        <v>69.98</v>
      </c>
      <c r="D32" s="715">
        <v>37.97</v>
      </c>
      <c r="E32" s="715">
        <v>22.2</v>
      </c>
      <c r="F32" s="715">
        <v>23.72</v>
      </c>
      <c r="G32" s="715">
        <v>23.1</v>
      </c>
      <c r="H32" s="715">
        <v>21.3</v>
      </c>
      <c r="I32" s="715">
        <v>20.25</v>
      </c>
      <c r="J32" s="715">
        <v>93.3</v>
      </c>
      <c r="K32" s="715">
        <v>14.94</v>
      </c>
      <c r="L32" s="715">
        <v>27.14</v>
      </c>
      <c r="M32" s="715">
        <v>49.8</v>
      </c>
      <c r="N32" s="715">
        <v>60.9</v>
      </c>
      <c r="O32" s="715">
        <v>-4.71</v>
      </c>
      <c r="P32" s="715">
        <v>41.86</v>
      </c>
      <c r="Q32" s="715">
        <v>33.44</v>
      </c>
      <c r="R32" s="715">
        <v>15.04</v>
      </c>
      <c r="S32" s="715">
        <v>3.38</v>
      </c>
      <c r="T32" s="715" t="s">
        <v>642</v>
      </c>
      <c r="U32" s="715" t="s">
        <v>642</v>
      </c>
    </row>
    <row r="33" spans="1:21" x14ac:dyDescent="0.3">
      <c r="A33" s="735" t="s">
        <v>1087</v>
      </c>
      <c r="B33" s="715">
        <v>4.57</v>
      </c>
      <c r="C33" s="715">
        <v>-65.09</v>
      </c>
      <c r="D33" s="715">
        <v>59.56</v>
      </c>
      <c r="E33" s="715">
        <v>200.39</v>
      </c>
      <c r="F33" s="715">
        <v>179.43</v>
      </c>
      <c r="G33" s="715">
        <v>212.48</v>
      </c>
      <c r="H33" s="715">
        <v>274.74</v>
      </c>
      <c r="I33" s="715">
        <v>-49.61</v>
      </c>
      <c r="J33" s="715">
        <v>-357.71</v>
      </c>
      <c r="K33" s="715">
        <v>-454.47</v>
      </c>
      <c r="L33" s="715">
        <v>-792.71</v>
      </c>
      <c r="M33" s="715">
        <v>-874.35</v>
      </c>
      <c r="N33" s="715">
        <v>-651.86</v>
      </c>
      <c r="O33" s="715">
        <v>-286.67</v>
      </c>
      <c r="P33" s="715">
        <v>103.05</v>
      </c>
      <c r="Q33" s="715">
        <v>369.11</v>
      </c>
      <c r="R33" s="715">
        <v>472.72</v>
      </c>
      <c r="S33" s="715">
        <v>34.700000000000003</v>
      </c>
      <c r="T33" s="715">
        <v>194.03</v>
      </c>
      <c r="U33" s="715">
        <v>191.55</v>
      </c>
    </row>
    <row r="34" spans="1:21" x14ac:dyDescent="0.3">
      <c r="A34" s="735" t="s">
        <v>963</v>
      </c>
      <c r="B34" s="715">
        <v>0.46</v>
      </c>
      <c r="C34" s="715">
        <v>-8.9</v>
      </c>
      <c r="D34" s="715">
        <v>2.95</v>
      </c>
      <c r="E34" s="715">
        <v>5.92</v>
      </c>
      <c r="F34" s="715">
        <v>5.78</v>
      </c>
      <c r="G34" s="715">
        <v>6.99</v>
      </c>
      <c r="H34" s="715">
        <v>7.36</v>
      </c>
      <c r="I34" s="715">
        <v>-2.5</v>
      </c>
      <c r="J34" s="715">
        <v>122.97</v>
      </c>
      <c r="K34" s="715">
        <v>15.5</v>
      </c>
      <c r="L34" s="715">
        <v>34.130000000000003</v>
      </c>
      <c r="M34" s="715">
        <v>45.65</v>
      </c>
      <c r="N34" s="715">
        <v>43.44</v>
      </c>
      <c r="O34" s="715">
        <v>-113.61</v>
      </c>
      <c r="P34" s="715">
        <v>10.57</v>
      </c>
      <c r="Q34" s="715">
        <v>17.670000000000002</v>
      </c>
      <c r="R34" s="715">
        <v>15.96</v>
      </c>
      <c r="S34" s="715">
        <v>1.35</v>
      </c>
      <c r="T34" s="715" t="s">
        <v>642</v>
      </c>
      <c r="U34" s="715" t="s">
        <v>642</v>
      </c>
    </row>
    <row r="35" spans="1:21" x14ac:dyDescent="0.3">
      <c r="A35" s="735" t="s">
        <v>1088</v>
      </c>
      <c r="B35" s="715">
        <v>132.47999999999999</v>
      </c>
      <c r="C35" s="715">
        <v>155.55000000000001</v>
      </c>
      <c r="D35" s="715">
        <v>316.89</v>
      </c>
      <c r="E35" s="715">
        <v>534.76</v>
      </c>
      <c r="F35" s="715">
        <v>498.16</v>
      </c>
      <c r="G35" s="715">
        <v>502.55</v>
      </c>
      <c r="H35" s="715">
        <v>626.55999999999995</v>
      </c>
      <c r="I35" s="715">
        <v>528.77</v>
      </c>
      <c r="J35" s="715">
        <v>270.02</v>
      </c>
      <c r="K35" s="715">
        <v>112.03</v>
      </c>
      <c r="L35" s="715">
        <v>85.73</v>
      </c>
      <c r="M35" s="715">
        <v>45.54</v>
      </c>
      <c r="N35" s="715">
        <v>13.3</v>
      </c>
      <c r="O35" s="715">
        <v>-1.32</v>
      </c>
      <c r="P35" s="715">
        <v>168.13</v>
      </c>
      <c r="Q35" s="715">
        <v>90.56</v>
      </c>
      <c r="R35" s="715">
        <v>14.99</v>
      </c>
      <c r="S35" s="715">
        <v>4.34</v>
      </c>
      <c r="T35" s="715">
        <v>388.06</v>
      </c>
      <c r="U35" s="715">
        <v>383.09</v>
      </c>
    </row>
    <row r="36" spans="1:21" x14ac:dyDescent="0.3">
      <c r="A36" s="735" t="s">
        <v>963</v>
      </c>
      <c r="B36" s="715">
        <v>13.39</v>
      </c>
      <c r="C36" s="715">
        <v>21.27</v>
      </c>
      <c r="D36" s="715">
        <v>15.68</v>
      </c>
      <c r="E36" s="715">
        <v>15.8</v>
      </c>
      <c r="F36" s="715">
        <v>16.04</v>
      </c>
      <c r="G36" s="715">
        <v>16.54</v>
      </c>
      <c r="H36" s="715">
        <v>16.78</v>
      </c>
      <c r="I36" s="715">
        <v>26.63</v>
      </c>
      <c r="J36" s="715">
        <v>-92.82</v>
      </c>
      <c r="K36" s="715">
        <v>-3.82</v>
      </c>
      <c r="L36" s="715">
        <v>-3.69</v>
      </c>
      <c r="M36" s="715">
        <v>-2.38</v>
      </c>
      <c r="N36" s="715">
        <v>-0.89</v>
      </c>
      <c r="O36" s="715">
        <v>-0.52</v>
      </c>
      <c r="P36" s="715">
        <v>17.25</v>
      </c>
      <c r="Q36" s="715">
        <v>4.34</v>
      </c>
      <c r="R36" s="715">
        <v>0.51</v>
      </c>
      <c r="S36" s="715">
        <v>0.17</v>
      </c>
      <c r="T36" s="715" t="s">
        <v>642</v>
      </c>
      <c r="U36" s="715" t="s">
        <v>642</v>
      </c>
    </row>
    <row r="37" spans="1:21" x14ac:dyDescent="0.3">
      <c r="A37" s="735" t="s">
        <v>1089</v>
      </c>
      <c r="B37" s="715">
        <v>0</v>
      </c>
      <c r="C37" s="715">
        <v>2.21</v>
      </c>
      <c r="D37" s="715">
        <v>4.49</v>
      </c>
      <c r="E37" s="715">
        <v>16.03</v>
      </c>
      <c r="F37" s="715">
        <v>3.54</v>
      </c>
      <c r="G37" s="715">
        <v>1.19</v>
      </c>
      <c r="H37" s="715">
        <v>1.24</v>
      </c>
      <c r="I37" s="715">
        <v>9.14</v>
      </c>
      <c r="J37" s="715">
        <v>4.18</v>
      </c>
      <c r="K37" s="715">
        <v>1.27</v>
      </c>
      <c r="L37" s="715">
        <v>2.64</v>
      </c>
      <c r="M37" s="715">
        <v>2.6</v>
      </c>
      <c r="N37" s="715">
        <v>5.32</v>
      </c>
      <c r="O37" s="715">
        <v>27.74</v>
      </c>
      <c r="P37" s="715">
        <v>-2.71</v>
      </c>
      <c r="Q37" s="715">
        <v>-8.23</v>
      </c>
      <c r="R37" s="715">
        <v>-2.72</v>
      </c>
      <c r="S37" s="715">
        <v>1.45</v>
      </c>
      <c r="T37" s="715">
        <v>4.4000000000000004</v>
      </c>
      <c r="U37" s="715">
        <v>4.4000000000000004</v>
      </c>
    </row>
    <row r="38" spans="1:21" x14ac:dyDescent="0.3">
      <c r="A38" s="735" t="s">
        <v>963</v>
      </c>
      <c r="B38" s="715">
        <v>0</v>
      </c>
      <c r="C38" s="715">
        <v>0.3</v>
      </c>
      <c r="D38" s="715">
        <v>0.22</v>
      </c>
      <c r="E38" s="715">
        <v>0.47</v>
      </c>
      <c r="F38" s="715">
        <v>0.11</v>
      </c>
      <c r="G38" s="715">
        <v>0.04</v>
      </c>
      <c r="H38" s="715">
        <v>0.03</v>
      </c>
      <c r="I38" s="715">
        <v>0.46</v>
      </c>
      <c r="J38" s="715">
        <v>-1.44</v>
      </c>
      <c r="K38" s="715">
        <v>-0.04</v>
      </c>
      <c r="L38" s="715">
        <v>-0.11</v>
      </c>
      <c r="M38" s="715">
        <v>-0.14000000000000001</v>
      </c>
      <c r="N38" s="715">
        <v>-0.35</v>
      </c>
      <c r="O38" s="715">
        <v>10.99</v>
      </c>
      <c r="P38" s="715">
        <v>-0.28000000000000003</v>
      </c>
      <c r="Q38" s="715">
        <v>-0.39</v>
      </c>
      <c r="R38" s="715">
        <v>-0.09</v>
      </c>
      <c r="S38" s="715">
        <v>0.06</v>
      </c>
      <c r="T38" s="715" t="s">
        <v>642</v>
      </c>
      <c r="U38" s="715" t="s">
        <v>642</v>
      </c>
    </row>
    <row r="39" spans="1:21" x14ac:dyDescent="0.3">
      <c r="A39" s="735" t="s">
        <v>1090</v>
      </c>
      <c r="B39" s="715">
        <v>-122.2</v>
      </c>
      <c r="C39" s="715">
        <v>-655.28</v>
      </c>
      <c r="D39" s="715">
        <v>-634.9</v>
      </c>
      <c r="E39" s="715">
        <v>-135.12</v>
      </c>
      <c r="F39" s="715">
        <v>-110.97</v>
      </c>
      <c r="G39" s="715">
        <v>-243.52</v>
      </c>
      <c r="H39" s="715">
        <v>-174.04</v>
      </c>
      <c r="I39" s="715">
        <v>-184.09</v>
      </c>
      <c r="J39" s="715">
        <v>-200.43</v>
      </c>
      <c r="K39" s="716">
        <v>-2108.12</v>
      </c>
      <c r="L39" s="715">
        <v>-543.41999999999996</v>
      </c>
      <c r="M39" s="715">
        <v>389.03</v>
      </c>
      <c r="N39" s="715">
        <v>574.70000000000005</v>
      </c>
      <c r="O39" s="715">
        <v>487.47</v>
      </c>
      <c r="P39" s="715">
        <v>-301.01</v>
      </c>
      <c r="Q39" s="715">
        <v>-305.99</v>
      </c>
      <c r="R39" s="715">
        <v>-299.70999999999998</v>
      </c>
      <c r="S39" s="715">
        <v>-338.31</v>
      </c>
      <c r="T39" s="715" t="s">
        <v>642</v>
      </c>
      <c r="U39" s="715" t="s">
        <v>642</v>
      </c>
    </row>
    <row r="40" spans="1:21" x14ac:dyDescent="0.3">
      <c r="A40" s="735" t="s">
        <v>963</v>
      </c>
      <c r="B40" s="715">
        <v>-12.36</v>
      </c>
      <c r="C40" s="715">
        <v>-89.59</v>
      </c>
      <c r="D40" s="715">
        <v>-31.41</v>
      </c>
      <c r="E40" s="715">
        <v>-3.99</v>
      </c>
      <c r="F40" s="715">
        <v>-3.57</v>
      </c>
      <c r="G40" s="715">
        <v>-8.01</v>
      </c>
      <c r="H40" s="715">
        <v>-4.66</v>
      </c>
      <c r="I40" s="715">
        <v>-9.27</v>
      </c>
      <c r="J40" s="715">
        <v>68.900000000000006</v>
      </c>
      <c r="K40" s="715">
        <v>71.91</v>
      </c>
      <c r="L40" s="715">
        <v>23.4</v>
      </c>
      <c r="M40" s="715">
        <v>-20.309999999999999</v>
      </c>
      <c r="N40" s="715">
        <v>-38.299999999999997</v>
      </c>
      <c r="O40" s="715">
        <v>193.19</v>
      </c>
      <c r="P40" s="715">
        <v>-30.88</v>
      </c>
      <c r="Q40" s="715">
        <v>-14.65</v>
      </c>
      <c r="R40" s="715">
        <v>-10.119999999999999</v>
      </c>
      <c r="S40" s="715">
        <v>-13.2</v>
      </c>
      <c r="T40" s="715" t="s">
        <v>642</v>
      </c>
      <c r="U40" s="715" t="s">
        <v>642</v>
      </c>
    </row>
    <row r="41" spans="1:21" x14ac:dyDescent="0.3">
      <c r="A41" s="735" t="s">
        <v>1091</v>
      </c>
      <c r="B41" s="715" t="s">
        <v>642</v>
      </c>
      <c r="C41" s="715" t="s">
        <v>642</v>
      </c>
      <c r="D41" s="715" t="s">
        <v>642</v>
      </c>
      <c r="E41" s="715" t="s">
        <v>642</v>
      </c>
      <c r="F41" s="715" t="s">
        <v>642</v>
      </c>
      <c r="G41" s="715" t="s">
        <v>642</v>
      </c>
      <c r="H41" s="715" t="s">
        <v>642</v>
      </c>
      <c r="I41" s="715" t="s">
        <v>642</v>
      </c>
      <c r="J41" s="715" t="s">
        <v>642</v>
      </c>
      <c r="K41" s="715" t="s">
        <v>642</v>
      </c>
      <c r="L41" s="715" t="s">
        <v>642</v>
      </c>
      <c r="M41" s="715" t="s">
        <v>642</v>
      </c>
      <c r="N41" s="715" t="s">
        <v>642</v>
      </c>
      <c r="O41" s="715" t="s">
        <v>642</v>
      </c>
      <c r="P41" s="715" t="s">
        <v>642</v>
      </c>
      <c r="Q41" s="715" t="s">
        <v>642</v>
      </c>
      <c r="R41" s="715" t="s">
        <v>642</v>
      </c>
      <c r="S41" s="715" t="s">
        <v>642</v>
      </c>
      <c r="T41" s="715" t="s">
        <v>642</v>
      </c>
      <c r="U41" s="715" t="s">
        <v>642</v>
      </c>
    </row>
    <row r="42" spans="1:21" x14ac:dyDescent="0.3">
      <c r="A42" s="735" t="s">
        <v>963</v>
      </c>
      <c r="B42" s="715" t="s">
        <v>642</v>
      </c>
      <c r="C42" s="715" t="s">
        <v>642</v>
      </c>
      <c r="D42" s="715" t="s">
        <v>642</v>
      </c>
      <c r="E42" s="715" t="s">
        <v>642</v>
      </c>
      <c r="F42" s="715" t="s">
        <v>642</v>
      </c>
      <c r="G42" s="715" t="s">
        <v>642</v>
      </c>
      <c r="H42" s="715" t="s">
        <v>642</v>
      </c>
      <c r="I42" s="715" t="s">
        <v>642</v>
      </c>
      <c r="J42" s="715" t="s">
        <v>642</v>
      </c>
      <c r="K42" s="715" t="s">
        <v>642</v>
      </c>
      <c r="L42" s="715" t="s">
        <v>642</v>
      </c>
      <c r="M42" s="715" t="s">
        <v>642</v>
      </c>
      <c r="N42" s="715" t="s">
        <v>642</v>
      </c>
      <c r="O42" s="715" t="s">
        <v>642</v>
      </c>
      <c r="P42" s="715" t="s">
        <v>642</v>
      </c>
      <c r="Q42" s="715" t="s">
        <v>642</v>
      </c>
      <c r="R42" s="715" t="s">
        <v>642</v>
      </c>
      <c r="S42" s="715" t="s">
        <v>642</v>
      </c>
      <c r="T42" s="715" t="s">
        <v>642</v>
      </c>
      <c r="U42" s="715" t="s">
        <v>642</v>
      </c>
    </row>
    <row r="43" spans="1:21" x14ac:dyDescent="0.3">
      <c r="A43" s="735" t="s">
        <v>971</v>
      </c>
      <c r="B43" s="715" t="s">
        <v>642</v>
      </c>
      <c r="C43" s="715" t="s">
        <v>642</v>
      </c>
      <c r="D43" s="715" t="s">
        <v>642</v>
      </c>
      <c r="E43" s="715" t="s">
        <v>642</v>
      </c>
      <c r="F43" s="715" t="s">
        <v>642</v>
      </c>
      <c r="G43" s="715" t="s">
        <v>642</v>
      </c>
      <c r="H43" s="715" t="s">
        <v>642</v>
      </c>
      <c r="I43" s="715" t="s">
        <v>642</v>
      </c>
      <c r="J43" s="715" t="s">
        <v>642</v>
      </c>
      <c r="K43" s="715" t="s">
        <v>642</v>
      </c>
      <c r="L43" s="715" t="s">
        <v>642</v>
      </c>
      <c r="M43" s="715" t="s">
        <v>642</v>
      </c>
      <c r="N43" s="715" t="s">
        <v>642</v>
      </c>
      <c r="O43" s="715" t="s">
        <v>642</v>
      </c>
      <c r="P43" s="715" t="s">
        <v>642</v>
      </c>
      <c r="Q43" s="715" t="s">
        <v>642</v>
      </c>
      <c r="R43" s="715" t="s">
        <v>642</v>
      </c>
      <c r="S43" s="715" t="s">
        <v>642</v>
      </c>
      <c r="T43" s="715" t="s">
        <v>642</v>
      </c>
      <c r="U43" s="715" t="s">
        <v>642</v>
      </c>
    </row>
    <row r="44" spans="1:21" x14ac:dyDescent="0.3">
      <c r="A44" s="735" t="s">
        <v>1092</v>
      </c>
      <c r="B44" s="715" t="s">
        <v>642</v>
      </c>
      <c r="C44" s="715" t="s">
        <v>642</v>
      </c>
      <c r="D44" s="715" t="s">
        <v>642</v>
      </c>
      <c r="E44" s="715" t="s">
        <v>642</v>
      </c>
      <c r="F44" s="715" t="s">
        <v>642</v>
      </c>
      <c r="G44" s="715" t="s">
        <v>642</v>
      </c>
      <c r="H44" s="715" t="s">
        <v>642</v>
      </c>
      <c r="I44" s="715" t="s">
        <v>642</v>
      </c>
      <c r="J44" s="715" t="s">
        <v>642</v>
      </c>
      <c r="K44" s="715" t="s">
        <v>642</v>
      </c>
      <c r="L44" s="715" t="s">
        <v>642</v>
      </c>
      <c r="M44" s="715" t="s">
        <v>642</v>
      </c>
      <c r="N44" s="715" t="s">
        <v>642</v>
      </c>
      <c r="O44" s="715" t="s">
        <v>642</v>
      </c>
      <c r="P44" s="715" t="s">
        <v>642</v>
      </c>
      <c r="Q44" s="715" t="s">
        <v>642</v>
      </c>
      <c r="R44" s="715" t="s">
        <v>642</v>
      </c>
      <c r="S44" s="715" t="s">
        <v>642</v>
      </c>
      <c r="T44" s="715" t="s">
        <v>642</v>
      </c>
      <c r="U44" s="715" t="s">
        <v>642</v>
      </c>
    </row>
    <row r="45" spans="1:21" x14ac:dyDescent="0.3">
      <c r="A45" s="735" t="s">
        <v>1093</v>
      </c>
      <c r="B45" s="715" t="s">
        <v>642</v>
      </c>
      <c r="C45" s="715" t="s">
        <v>642</v>
      </c>
      <c r="D45" s="715" t="s">
        <v>642</v>
      </c>
      <c r="E45" s="715" t="s">
        <v>642</v>
      </c>
      <c r="F45" s="715" t="s">
        <v>642</v>
      </c>
      <c r="G45" s="715" t="s">
        <v>642</v>
      </c>
      <c r="H45" s="715" t="s">
        <v>642</v>
      </c>
      <c r="I45" s="715" t="s">
        <v>642</v>
      </c>
      <c r="J45" s="715" t="s">
        <v>642</v>
      </c>
      <c r="K45" s="715" t="s">
        <v>642</v>
      </c>
      <c r="L45" s="715" t="s">
        <v>642</v>
      </c>
      <c r="M45" s="715" t="s">
        <v>642</v>
      </c>
      <c r="N45" s="715" t="s">
        <v>642</v>
      </c>
      <c r="O45" s="715" t="s">
        <v>642</v>
      </c>
      <c r="P45" s="715" t="s">
        <v>642</v>
      </c>
      <c r="Q45" s="715" t="s">
        <v>642</v>
      </c>
      <c r="R45" s="715" t="s">
        <v>642</v>
      </c>
      <c r="S45" s="715" t="s">
        <v>642</v>
      </c>
      <c r="T45" s="715" t="s">
        <v>642</v>
      </c>
      <c r="U45" s="715" t="s">
        <v>642</v>
      </c>
    </row>
    <row r="46" spans="1:21" x14ac:dyDescent="0.3">
      <c r="A46" s="735" t="s">
        <v>1094</v>
      </c>
      <c r="B46" s="715" t="s">
        <v>642</v>
      </c>
      <c r="C46" s="715" t="s">
        <v>642</v>
      </c>
      <c r="D46" s="715" t="s">
        <v>642</v>
      </c>
      <c r="E46" s="715" t="s">
        <v>642</v>
      </c>
      <c r="F46" s="715" t="s">
        <v>642</v>
      </c>
      <c r="G46" s="715" t="s">
        <v>642</v>
      </c>
      <c r="H46" s="715" t="s">
        <v>642</v>
      </c>
      <c r="I46" s="715" t="s">
        <v>642</v>
      </c>
      <c r="J46" s="715" t="s">
        <v>642</v>
      </c>
      <c r="K46" s="715" t="s">
        <v>642</v>
      </c>
      <c r="L46" s="715" t="s">
        <v>642</v>
      </c>
      <c r="M46" s="715" t="s">
        <v>642</v>
      </c>
      <c r="N46" s="715" t="s">
        <v>642</v>
      </c>
      <c r="O46" s="715" t="s">
        <v>642</v>
      </c>
      <c r="P46" s="715" t="s">
        <v>642</v>
      </c>
      <c r="Q46" s="715" t="s">
        <v>642</v>
      </c>
      <c r="R46" s="715" t="s">
        <v>642</v>
      </c>
      <c r="S46" s="715" t="s">
        <v>642</v>
      </c>
      <c r="T46" s="715" t="s">
        <v>642</v>
      </c>
      <c r="U46" s="715" t="s">
        <v>642</v>
      </c>
    </row>
    <row r="47" spans="1:21" x14ac:dyDescent="0.3">
      <c r="A47" s="735" t="s">
        <v>1095</v>
      </c>
      <c r="B47" s="715" t="s">
        <v>642</v>
      </c>
      <c r="C47" s="715" t="s">
        <v>642</v>
      </c>
      <c r="D47" s="715" t="s">
        <v>642</v>
      </c>
      <c r="E47" s="715" t="s">
        <v>642</v>
      </c>
      <c r="F47" s="715" t="s">
        <v>642</v>
      </c>
      <c r="G47" s="715" t="s">
        <v>642</v>
      </c>
      <c r="H47" s="715" t="s">
        <v>642</v>
      </c>
      <c r="I47" s="715" t="s">
        <v>642</v>
      </c>
      <c r="J47" s="715" t="s">
        <v>642</v>
      </c>
      <c r="K47" s="715" t="s">
        <v>642</v>
      </c>
      <c r="L47" s="715" t="s">
        <v>642</v>
      </c>
      <c r="M47" s="715" t="s">
        <v>642</v>
      </c>
      <c r="N47" s="715" t="s">
        <v>642</v>
      </c>
      <c r="O47" s="715" t="s">
        <v>642</v>
      </c>
      <c r="P47" s="715" t="s">
        <v>642</v>
      </c>
      <c r="Q47" s="715" t="s">
        <v>642</v>
      </c>
      <c r="R47" s="715" t="s">
        <v>642</v>
      </c>
      <c r="S47" s="715" t="s">
        <v>642</v>
      </c>
      <c r="T47" s="715" t="s">
        <v>642</v>
      </c>
      <c r="U47" s="715" t="s">
        <v>642</v>
      </c>
    </row>
    <row r="48" spans="1:21" x14ac:dyDescent="0.3">
      <c r="A48" s="735" t="s">
        <v>1078</v>
      </c>
      <c r="B48" s="715" t="s">
        <v>642</v>
      </c>
      <c r="C48" s="715" t="s">
        <v>642</v>
      </c>
      <c r="D48" s="715" t="s">
        <v>642</v>
      </c>
      <c r="E48" s="715" t="s">
        <v>642</v>
      </c>
      <c r="F48" s="715" t="s">
        <v>642</v>
      </c>
      <c r="G48" s="715" t="s">
        <v>642</v>
      </c>
      <c r="H48" s="715" t="s">
        <v>642</v>
      </c>
      <c r="I48" s="715" t="s">
        <v>642</v>
      </c>
      <c r="J48" s="715" t="s">
        <v>642</v>
      </c>
      <c r="K48" s="715" t="s">
        <v>642</v>
      </c>
      <c r="L48" s="715" t="s">
        <v>642</v>
      </c>
      <c r="M48" s="715" t="s">
        <v>642</v>
      </c>
      <c r="N48" s="715" t="s">
        <v>642</v>
      </c>
      <c r="O48" s="715" t="s">
        <v>642</v>
      </c>
      <c r="P48" s="715" t="s">
        <v>642</v>
      </c>
      <c r="Q48" s="715" t="s">
        <v>642</v>
      </c>
      <c r="R48" s="715" t="s">
        <v>642</v>
      </c>
      <c r="S48" s="715" t="s">
        <v>642</v>
      </c>
      <c r="T48" s="715" t="s">
        <v>642</v>
      </c>
      <c r="U48" s="715" t="s">
        <v>642</v>
      </c>
    </row>
    <row r="49" spans="1:21" x14ac:dyDescent="0.3">
      <c r="A49" s="735" t="s">
        <v>1096</v>
      </c>
      <c r="B49" s="715" t="s">
        <v>642</v>
      </c>
      <c r="C49" s="715" t="s">
        <v>642</v>
      </c>
      <c r="D49" s="715" t="s">
        <v>642</v>
      </c>
      <c r="E49" s="715" t="s">
        <v>642</v>
      </c>
      <c r="F49" s="715" t="s">
        <v>642</v>
      </c>
      <c r="G49" s="715" t="s">
        <v>642</v>
      </c>
      <c r="H49" s="715" t="s">
        <v>642</v>
      </c>
      <c r="I49" s="715" t="s">
        <v>642</v>
      </c>
      <c r="J49" s="715" t="s">
        <v>642</v>
      </c>
      <c r="K49" s="715" t="s">
        <v>642</v>
      </c>
      <c r="L49" s="715" t="s">
        <v>642</v>
      </c>
      <c r="M49" s="715" t="s">
        <v>642</v>
      </c>
      <c r="N49" s="715" t="s">
        <v>642</v>
      </c>
      <c r="O49" s="715" t="s">
        <v>642</v>
      </c>
      <c r="P49" s="715" t="s">
        <v>642</v>
      </c>
      <c r="Q49" s="715" t="s">
        <v>642</v>
      </c>
      <c r="R49" s="715" t="s">
        <v>642</v>
      </c>
      <c r="S49" s="715" t="s">
        <v>642</v>
      </c>
      <c r="T49" s="715" t="s">
        <v>642</v>
      </c>
      <c r="U49" s="715" t="s">
        <v>642</v>
      </c>
    </row>
    <row r="50" spans="1:21" x14ac:dyDescent="0.3">
      <c r="A50" s="735" t="s">
        <v>1097</v>
      </c>
      <c r="B50" s="715" t="s">
        <v>642</v>
      </c>
      <c r="C50" s="715" t="s">
        <v>642</v>
      </c>
      <c r="D50" s="715" t="s">
        <v>642</v>
      </c>
      <c r="E50" s="715" t="s">
        <v>642</v>
      </c>
      <c r="F50" s="715" t="s">
        <v>642</v>
      </c>
      <c r="G50" s="715" t="s">
        <v>642</v>
      </c>
      <c r="H50" s="715" t="s">
        <v>642</v>
      </c>
      <c r="I50" s="715" t="s">
        <v>642</v>
      </c>
      <c r="J50" s="715" t="s">
        <v>642</v>
      </c>
      <c r="K50" s="715" t="s">
        <v>642</v>
      </c>
      <c r="L50" s="715" t="s">
        <v>642</v>
      </c>
      <c r="M50" s="715" t="s">
        <v>642</v>
      </c>
      <c r="N50" s="715" t="s">
        <v>642</v>
      </c>
      <c r="O50" s="715" t="s">
        <v>642</v>
      </c>
      <c r="P50" s="715" t="s">
        <v>642</v>
      </c>
      <c r="Q50" s="715" t="s">
        <v>642</v>
      </c>
      <c r="R50" s="715" t="s">
        <v>642</v>
      </c>
      <c r="S50" s="715" t="s">
        <v>642</v>
      </c>
      <c r="T50" s="715" t="s">
        <v>642</v>
      </c>
      <c r="U50" s="715" t="s">
        <v>642</v>
      </c>
    </row>
    <row r="51" spans="1:21" x14ac:dyDescent="0.3">
      <c r="A51" s="735" t="s">
        <v>1098</v>
      </c>
      <c r="B51" s="715" t="s">
        <v>642</v>
      </c>
      <c r="C51" s="715" t="s">
        <v>642</v>
      </c>
      <c r="D51" s="715" t="s">
        <v>642</v>
      </c>
      <c r="E51" s="715" t="s">
        <v>642</v>
      </c>
      <c r="F51" s="715" t="s">
        <v>642</v>
      </c>
      <c r="G51" s="715" t="s">
        <v>642</v>
      </c>
      <c r="H51" s="715" t="s">
        <v>642</v>
      </c>
      <c r="I51" s="715" t="s">
        <v>642</v>
      </c>
      <c r="J51" s="715" t="s">
        <v>642</v>
      </c>
      <c r="K51" s="715" t="s">
        <v>642</v>
      </c>
      <c r="L51" s="715" t="s">
        <v>642</v>
      </c>
      <c r="M51" s="715" t="s">
        <v>642</v>
      </c>
      <c r="N51" s="715" t="s">
        <v>642</v>
      </c>
      <c r="O51" s="715" t="s">
        <v>642</v>
      </c>
      <c r="P51" s="715" t="s">
        <v>642</v>
      </c>
      <c r="Q51" s="715" t="s">
        <v>642</v>
      </c>
      <c r="R51" s="715" t="s">
        <v>642</v>
      </c>
      <c r="S51" s="715" t="s">
        <v>642</v>
      </c>
      <c r="T51" s="715" t="s">
        <v>642</v>
      </c>
      <c r="U51" s="715" t="s">
        <v>642</v>
      </c>
    </row>
    <row r="52" spans="1:21" x14ac:dyDescent="0.3">
      <c r="A52" s="735" t="s">
        <v>226</v>
      </c>
      <c r="B52" s="715" t="s">
        <v>642</v>
      </c>
      <c r="C52" s="715" t="s">
        <v>642</v>
      </c>
      <c r="D52" s="715" t="s">
        <v>642</v>
      </c>
      <c r="E52" s="715" t="s">
        <v>642</v>
      </c>
      <c r="F52" s="715" t="s">
        <v>642</v>
      </c>
      <c r="G52" s="715" t="s">
        <v>642</v>
      </c>
      <c r="H52" s="715" t="s">
        <v>642</v>
      </c>
      <c r="I52" s="715" t="s">
        <v>642</v>
      </c>
      <c r="J52" s="715" t="s">
        <v>642</v>
      </c>
      <c r="K52" s="715" t="s">
        <v>642</v>
      </c>
      <c r="L52" s="715" t="s">
        <v>642</v>
      </c>
      <c r="M52" s="715" t="s">
        <v>642</v>
      </c>
      <c r="N52" s="715" t="s">
        <v>642</v>
      </c>
      <c r="O52" s="715" t="s">
        <v>642</v>
      </c>
      <c r="P52" s="715" t="s">
        <v>642</v>
      </c>
      <c r="Q52" s="715" t="s">
        <v>642</v>
      </c>
      <c r="R52" s="715" t="s">
        <v>642</v>
      </c>
      <c r="S52" s="715" t="s">
        <v>642</v>
      </c>
      <c r="T52" s="715" t="s">
        <v>642</v>
      </c>
      <c r="U52" s="715" t="s">
        <v>642</v>
      </c>
    </row>
    <row r="53" spans="1:21" x14ac:dyDescent="0.3">
      <c r="A53" s="735" t="s">
        <v>1099</v>
      </c>
      <c r="B53" s="715" t="s">
        <v>642</v>
      </c>
      <c r="C53" s="715" t="s">
        <v>642</v>
      </c>
      <c r="D53" s="715" t="s">
        <v>642</v>
      </c>
      <c r="E53" s="715" t="s">
        <v>642</v>
      </c>
      <c r="F53" s="715" t="s">
        <v>642</v>
      </c>
      <c r="G53" s="715" t="s">
        <v>642</v>
      </c>
      <c r="H53" s="715" t="s">
        <v>642</v>
      </c>
      <c r="I53" s="715" t="s">
        <v>642</v>
      </c>
      <c r="J53" s="715" t="s">
        <v>642</v>
      </c>
      <c r="K53" s="715" t="s">
        <v>642</v>
      </c>
      <c r="L53" s="715" t="s">
        <v>642</v>
      </c>
      <c r="M53" s="715" t="s">
        <v>642</v>
      </c>
      <c r="N53" s="715" t="s">
        <v>642</v>
      </c>
      <c r="O53" s="715" t="s">
        <v>642</v>
      </c>
      <c r="P53" s="715" t="s">
        <v>642</v>
      </c>
      <c r="Q53" s="715" t="s">
        <v>642</v>
      </c>
      <c r="R53" s="715" t="s">
        <v>642</v>
      </c>
      <c r="S53" s="715" t="s">
        <v>642</v>
      </c>
      <c r="T53" s="715" t="s">
        <v>642</v>
      </c>
      <c r="U53" s="715" t="s">
        <v>642</v>
      </c>
    </row>
    <row r="54" spans="1:21" x14ac:dyDescent="0.3">
      <c r="A54" s="735" t="s">
        <v>1085</v>
      </c>
      <c r="B54" s="715">
        <v>19</v>
      </c>
      <c r="C54" s="715">
        <v>27</v>
      </c>
      <c r="D54" s="715">
        <v>41</v>
      </c>
      <c r="E54" s="715" t="s">
        <v>642</v>
      </c>
      <c r="F54" s="715">
        <v>45</v>
      </c>
      <c r="G54" s="715">
        <v>45</v>
      </c>
      <c r="H54" s="715">
        <v>46</v>
      </c>
      <c r="I54" s="715">
        <v>35.29</v>
      </c>
      <c r="J54" s="715">
        <v>11</v>
      </c>
      <c r="K54" s="715">
        <v>-3</v>
      </c>
      <c r="L54" s="715">
        <v>-24</v>
      </c>
      <c r="M54" s="715">
        <v>-22</v>
      </c>
      <c r="N54" s="715">
        <v>-23</v>
      </c>
      <c r="O54" s="715">
        <v>1</v>
      </c>
      <c r="P54" s="715">
        <v>17</v>
      </c>
      <c r="Q54" s="715">
        <v>22</v>
      </c>
      <c r="R54" s="715">
        <v>39</v>
      </c>
      <c r="S54" s="715">
        <v>42</v>
      </c>
      <c r="T54" s="715">
        <v>31</v>
      </c>
      <c r="U54" s="715">
        <v>32</v>
      </c>
    </row>
    <row r="55" spans="1:21" x14ac:dyDescent="0.3">
      <c r="A55" s="735" t="s">
        <v>963</v>
      </c>
      <c r="B55" s="715" t="s">
        <v>642</v>
      </c>
      <c r="C55" s="715" t="s">
        <v>642</v>
      </c>
      <c r="D55" s="715" t="s">
        <v>642</v>
      </c>
      <c r="E55" s="715" t="s">
        <v>642</v>
      </c>
      <c r="F55" s="715" t="s">
        <v>642</v>
      </c>
      <c r="G55" s="715" t="s">
        <v>642</v>
      </c>
      <c r="H55" s="715" t="s">
        <v>642</v>
      </c>
      <c r="I55" s="715" t="s">
        <v>642</v>
      </c>
      <c r="J55" s="715" t="s">
        <v>642</v>
      </c>
      <c r="K55" s="715" t="s">
        <v>642</v>
      </c>
      <c r="L55" s="715" t="s">
        <v>642</v>
      </c>
      <c r="M55" s="715" t="s">
        <v>642</v>
      </c>
      <c r="N55" s="715" t="s">
        <v>642</v>
      </c>
      <c r="O55" s="715" t="s">
        <v>642</v>
      </c>
      <c r="P55" s="715" t="s">
        <v>642</v>
      </c>
      <c r="Q55" s="715" t="s">
        <v>642</v>
      </c>
      <c r="R55" s="715" t="s">
        <v>642</v>
      </c>
      <c r="S55" s="715" t="s">
        <v>642</v>
      </c>
      <c r="T55" s="715" t="s">
        <v>642</v>
      </c>
      <c r="U55" s="715" t="s">
        <v>642</v>
      </c>
    </row>
    <row r="56" spans="1:21" x14ac:dyDescent="0.3">
      <c r="A56" s="735" t="s">
        <v>1086</v>
      </c>
      <c r="B56" s="715">
        <v>25</v>
      </c>
      <c r="C56" s="715">
        <v>26</v>
      </c>
      <c r="D56" s="715">
        <v>34</v>
      </c>
      <c r="E56" s="715" t="s">
        <v>642</v>
      </c>
      <c r="F56" s="715">
        <v>33</v>
      </c>
      <c r="G56" s="715">
        <v>31</v>
      </c>
      <c r="H56" s="715">
        <v>33</v>
      </c>
      <c r="I56" s="715">
        <v>26.11</v>
      </c>
      <c r="J56" s="715">
        <v>-30</v>
      </c>
      <c r="K56" s="715">
        <v>-36</v>
      </c>
      <c r="L56" s="715">
        <v>-58</v>
      </c>
      <c r="M56" s="715">
        <v>-40</v>
      </c>
      <c r="N56" s="715">
        <v>-53</v>
      </c>
      <c r="O56" s="715">
        <v>-1</v>
      </c>
      <c r="P56" s="715">
        <v>19</v>
      </c>
      <c r="Q56" s="715">
        <v>20</v>
      </c>
      <c r="R56" s="715">
        <v>21</v>
      </c>
      <c r="S56" s="715">
        <v>6</v>
      </c>
      <c r="T56" s="715">
        <v>25</v>
      </c>
      <c r="U56" s="715">
        <v>25</v>
      </c>
    </row>
    <row r="57" spans="1:21" x14ac:dyDescent="0.3">
      <c r="A57" s="735" t="s">
        <v>963</v>
      </c>
      <c r="B57" s="715" t="s">
        <v>642</v>
      </c>
      <c r="C57" s="715" t="s">
        <v>642</v>
      </c>
      <c r="D57" s="715" t="s">
        <v>642</v>
      </c>
      <c r="E57" s="715" t="s">
        <v>642</v>
      </c>
      <c r="F57" s="715" t="s">
        <v>642</v>
      </c>
      <c r="G57" s="715" t="s">
        <v>642</v>
      </c>
      <c r="H57" s="715" t="s">
        <v>642</v>
      </c>
      <c r="I57" s="715" t="s">
        <v>642</v>
      </c>
      <c r="J57" s="715" t="s">
        <v>642</v>
      </c>
      <c r="K57" s="715" t="s">
        <v>642</v>
      </c>
      <c r="L57" s="715" t="s">
        <v>642</v>
      </c>
      <c r="M57" s="715" t="s">
        <v>642</v>
      </c>
      <c r="N57" s="715" t="s">
        <v>642</v>
      </c>
      <c r="O57" s="715" t="s">
        <v>642</v>
      </c>
      <c r="P57" s="715" t="s">
        <v>642</v>
      </c>
      <c r="Q57" s="715" t="s">
        <v>642</v>
      </c>
      <c r="R57" s="715" t="s">
        <v>642</v>
      </c>
      <c r="S57" s="715" t="s">
        <v>642</v>
      </c>
      <c r="T57" s="715" t="s">
        <v>642</v>
      </c>
      <c r="U57" s="715" t="s">
        <v>642</v>
      </c>
    </row>
    <row r="58" spans="1:21" x14ac:dyDescent="0.3">
      <c r="A58" s="735" t="s">
        <v>1087</v>
      </c>
      <c r="B58" s="715">
        <v>0</v>
      </c>
      <c r="C58" s="715">
        <v>-7</v>
      </c>
      <c r="D58" s="715">
        <v>5</v>
      </c>
      <c r="E58" s="715" t="s">
        <v>642</v>
      </c>
      <c r="F58" s="715">
        <v>13</v>
      </c>
      <c r="G58" s="715">
        <v>15</v>
      </c>
      <c r="H58" s="715">
        <v>16</v>
      </c>
      <c r="I58" s="715">
        <v>-11.89</v>
      </c>
      <c r="J58" s="715">
        <v>-38</v>
      </c>
      <c r="K58" s="715">
        <v>-70</v>
      </c>
      <c r="L58" s="715">
        <v>-96</v>
      </c>
      <c r="M58" s="715">
        <v>-70</v>
      </c>
      <c r="N58" s="715">
        <v>-75</v>
      </c>
      <c r="O58" s="715">
        <v>-24</v>
      </c>
      <c r="P58" s="715">
        <v>6</v>
      </c>
      <c r="Q58" s="715">
        <v>10</v>
      </c>
      <c r="R58" s="715">
        <v>20</v>
      </c>
      <c r="S58" s="715">
        <v>2</v>
      </c>
      <c r="T58" s="715">
        <v>10</v>
      </c>
      <c r="U58" s="715">
        <v>10</v>
      </c>
    </row>
    <row r="59" spans="1:21" x14ac:dyDescent="0.3">
      <c r="A59" s="735" t="s">
        <v>963</v>
      </c>
      <c r="B59" s="715" t="s">
        <v>642</v>
      </c>
      <c r="C59" s="715" t="s">
        <v>642</v>
      </c>
      <c r="D59" s="715" t="s">
        <v>642</v>
      </c>
      <c r="E59" s="715" t="s">
        <v>642</v>
      </c>
      <c r="F59" s="715" t="s">
        <v>642</v>
      </c>
      <c r="G59" s="715" t="s">
        <v>642</v>
      </c>
      <c r="H59" s="715" t="s">
        <v>642</v>
      </c>
      <c r="I59" s="715" t="s">
        <v>642</v>
      </c>
      <c r="J59" s="715" t="s">
        <v>642</v>
      </c>
      <c r="K59" s="715" t="s">
        <v>642</v>
      </c>
      <c r="L59" s="715" t="s">
        <v>642</v>
      </c>
      <c r="M59" s="715" t="s">
        <v>642</v>
      </c>
      <c r="N59" s="715" t="s">
        <v>642</v>
      </c>
      <c r="O59" s="715" t="s">
        <v>642</v>
      </c>
      <c r="P59" s="715" t="s">
        <v>642</v>
      </c>
      <c r="Q59" s="715" t="s">
        <v>642</v>
      </c>
      <c r="R59" s="715" t="s">
        <v>642</v>
      </c>
      <c r="S59" s="715" t="s">
        <v>642</v>
      </c>
      <c r="T59" s="715" t="s">
        <v>642</v>
      </c>
      <c r="U59" s="715" t="s">
        <v>642</v>
      </c>
    </row>
    <row r="60" spans="1:21" x14ac:dyDescent="0.3">
      <c r="A60" s="735" t="s">
        <v>1088</v>
      </c>
      <c r="B60" s="715">
        <v>14</v>
      </c>
      <c r="C60" s="715">
        <v>15</v>
      </c>
      <c r="D60" s="715">
        <v>26</v>
      </c>
      <c r="E60" s="715" t="s">
        <v>642</v>
      </c>
      <c r="F60" s="715">
        <v>35</v>
      </c>
      <c r="G60" s="715">
        <v>33</v>
      </c>
      <c r="H60" s="715">
        <v>35</v>
      </c>
      <c r="I60" s="715">
        <v>26.59</v>
      </c>
      <c r="J60" s="715">
        <v>19</v>
      </c>
      <c r="K60" s="715">
        <v>10</v>
      </c>
      <c r="L60" s="715">
        <v>7</v>
      </c>
      <c r="M60" s="715">
        <v>10</v>
      </c>
      <c r="N60" s="715">
        <v>1</v>
      </c>
      <c r="O60" s="715">
        <v>0</v>
      </c>
      <c r="P60" s="715">
        <v>10</v>
      </c>
      <c r="Q60" s="715">
        <v>12</v>
      </c>
      <c r="R60" s="715">
        <v>1</v>
      </c>
      <c r="S60" s="715">
        <v>0</v>
      </c>
      <c r="T60" s="715">
        <v>25</v>
      </c>
      <c r="U60" s="715">
        <v>25</v>
      </c>
    </row>
    <row r="61" spans="1:21" x14ac:dyDescent="0.3">
      <c r="A61" s="735" t="s">
        <v>963</v>
      </c>
      <c r="B61" s="715" t="s">
        <v>642</v>
      </c>
      <c r="C61" s="715" t="s">
        <v>642</v>
      </c>
      <c r="D61" s="715" t="s">
        <v>642</v>
      </c>
      <c r="E61" s="715" t="s">
        <v>642</v>
      </c>
      <c r="F61" s="715" t="s">
        <v>642</v>
      </c>
      <c r="G61" s="715" t="s">
        <v>642</v>
      </c>
      <c r="H61" s="715" t="s">
        <v>642</v>
      </c>
      <c r="I61" s="715" t="s">
        <v>642</v>
      </c>
      <c r="J61" s="715" t="s">
        <v>642</v>
      </c>
      <c r="K61" s="715" t="s">
        <v>642</v>
      </c>
      <c r="L61" s="715" t="s">
        <v>642</v>
      </c>
      <c r="M61" s="715" t="s">
        <v>642</v>
      </c>
      <c r="N61" s="715" t="s">
        <v>642</v>
      </c>
      <c r="O61" s="715" t="s">
        <v>642</v>
      </c>
      <c r="P61" s="715" t="s">
        <v>642</v>
      </c>
      <c r="Q61" s="715" t="s">
        <v>642</v>
      </c>
      <c r="R61" s="715" t="s">
        <v>642</v>
      </c>
      <c r="S61" s="715" t="s">
        <v>642</v>
      </c>
      <c r="T61" s="715" t="s">
        <v>642</v>
      </c>
      <c r="U61" s="715" t="s">
        <v>642</v>
      </c>
    </row>
    <row r="62" spans="1:21" x14ac:dyDescent="0.3">
      <c r="A62" s="735" t="s">
        <v>1089</v>
      </c>
      <c r="B62" s="715">
        <v>0</v>
      </c>
      <c r="C62" s="715">
        <v>50</v>
      </c>
      <c r="D62" s="715">
        <v>80</v>
      </c>
      <c r="E62" s="715" t="s">
        <v>642</v>
      </c>
      <c r="F62" s="715">
        <v>75</v>
      </c>
      <c r="G62" s="715">
        <v>50</v>
      </c>
      <c r="H62" s="715">
        <v>25</v>
      </c>
      <c r="I62" s="715">
        <v>33.57</v>
      </c>
      <c r="J62" s="715">
        <v>75</v>
      </c>
      <c r="K62" s="715">
        <v>100</v>
      </c>
      <c r="L62" s="715">
        <v>40</v>
      </c>
      <c r="M62" s="715" t="s">
        <v>642</v>
      </c>
      <c r="N62" s="715">
        <v>67</v>
      </c>
      <c r="O62" s="715">
        <v>84</v>
      </c>
      <c r="P62" s="715">
        <v>-67</v>
      </c>
      <c r="Q62" s="715" t="s">
        <v>642</v>
      </c>
      <c r="R62" s="715">
        <v>-50</v>
      </c>
      <c r="S62" s="715">
        <v>25</v>
      </c>
      <c r="T62" s="715" t="s">
        <v>642</v>
      </c>
      <c r="U62" s="715" t="s">
        <v>642</v>
      </c>
    </row>
    <row r="63" spans="1:21" x14ac:dyDescent="0.3">
      <c r="A63" s="735" t="s">
        <v>963</v>
      </c>
      <c r="B63" s="715" t="s">
        <v>642</v>
      </c>
      <c r="C63" s="715" t="s">
        <v>642</v>
      </c>
      <c r="D63" s="715" t="s">
        <v>642</v>
      </c>
      <c r="E63" s="715" t="s">
        <v>642</v>
      </c>
      <c r="F63" s="715" t="s">
        <v>642</v>
      </c>
      <c r="G63" s="715" t="s">
        <v>642</v>
      </c>
      <c r="H63" s="715" t="s">
        <v>642</v>
      </c>
      <c r="I63" s="715" t="s">
        <v>642</v>
      </c>
      <c r="J63" s="715" t="s">
        <v>642</v>
      </c>
      <c r="K63" s="715" t="s">
        <v>642</v>
      </c>
      <c r="L63" s="715" t="s">
        <v>642</v>
      </c>
      <c r="M63" s="715" t="s">
        <v>642</v>
      </c>
      <c r="N63" s="715" t="s">
        <v>642</v>
      </c>
      <c r="O63" s="715" t="s">
        <v>642</v>
      </c>
      <c r="P63" s="715" t="s">
        <v>642</v>
      </c>
      <c r="Q63" s="715" t="s">
        <v>642</v>
      </c>
      <c r="R63" s="715" t="s">
        <v>642</v>
      </c>
      <c r="S63" s="715" t="s">
        <v>642</v>
      </c>
      <c r="T63" s="715" t="s">
        <v>642</v>
      </c>
      <c r="U63" s="715" t="s">
        <v>642</v>
      </c>
    </row>
    <row r="64" spans="1:21" x14ac:dyDescent="0.3">
      <c r="A64" s="735" t="s">
        <v>226</v>
      </c>
      <c r="B64" s="715" t="s">
        <v>642</v>
      </c>
      <c r="C64" s="715" t="s">
        <v>642</v>
      </c>
      <c r="D64" s="715" t="s">
        <v>642</v>
      </c>
      <c r="E64" s="715" t="s">
        <v>642</v>
      </c>
      <c r="F64" s="715" t="s">
        <v>642</v>
      </c>
      <c r="G64" s="715" t="s">
        <v>642</v>
      </c>
      <c r="H64" s="715" t="s">
        <v>642</v>
      </c>
      <c r="I64" s="715" t="s">
        <v>642</v>
      </c>
      <c r="J64" s="715" t="s">
        <v>642</v>
      </c>
      <c r="K64" s="715" t="s">
        <v>642</v>
      </c>
      <c r="L64" s="715" t="s">
        <v>642</v>
      </c>
      <c r="M64" s="715" t="s">
        <v>642</v>
      </c>
      <c r="N64" s="715" t="s">
        <v>642</v>
      </c>
      <c r="O64" s="715" t="s">
        <v>642</v>
      </c>
      <c r="P64" s="715" t="s">
        <v>642</v>
      </c>
      <c r="Q64" s="715" t="s">
        <v>642</v>
      </c>
      <c r="R64" s="715" t="s">
        <v>642</v>
      </c>
      <c r="S64" s="715" t="s">
        <v>642</v>
      </c>
      <c r="T64" s="715" t="s">
        <v>642</v>
      </c>
      <c r="U64" s="715" t="s">
        <v>642</v>
      </c>
    </row>
    <row r="65" spans="1:21" x14ac:dyDescent="0.3">
      <c r="A65" s="735" t="s">
        <v>1100</v>
      </c>
      <c r="B65" s="716">
        <v>1982.56</v>
      </c>
      <c r="C65" s="716">
        <v>1819.11</v>
      </c>
      <c r="D65" s="716">
        <v>3512.72</v>
      </c>
      <c r="E65" s="716">
        <v>4479.66</v>
      </c>
      <c r="F65" s="716">
        <v>4208.42</v>
      </c>
      <c r="G65" s="716">
        <v>4388.0600000000004</v>
      </c>
      <c r="H65" s="716">
        <v>5016.1899999999996</v>
      </c>
      <c r="I65" s="716">
        <v>3423.33</v>
      </c>
      <c r="J65" s="716">
        <v>1242.93</v>
      </c>
      <c r="K65" s="716">
        <v>-1535.26</v>
      </c>
      <c r="L65" s="715">
        <v>-881.08</v>
      </c>
      <c r="M65" s="715">
        <v>-565.98</v>
      </c>
      <c r="N65" s="715">
        <v>-46.56</v>
      </c>
      <c r="O65" s="716">
        <v>1425.41</v>
      </c>
      <c r="P65" s="716">
        <v>2484.0500000000002</v>
      </c>
      <c r="Q65" s="716">
        <v>3755.62</v>
      </c>
      <c r="R65" s="716">
        <v>4561.01</v>
      </c>
      <c r="S65" s="716">
        <v>4283.83</v>
      </c>
      <c r="T65" s="716">
        <v>4633.34</v>
      </c>
      <c r="U65" s="716">
        <v>5448.57</v>
      </c>
    </row>
    <row r="66" spans="1:21" x14ac:dyDescent="0.3">
      <c r="A66" s="735" t="s">
        <v>1089</v>
      </c>
      <c r="B66" s="715" t="s">
        <v>642</v>
      </c>
      <c r="C66" s="715" t="s">
        <v>642</v>
      </c>
      <c r="D66" s="715" t="s">
        <v>642</v>
      </c>
      <c r="E66" s="715" t="s">
        <v>642</v>
      </c>
      <c r="F66" s="715" t="s">
        <v>642</v>
      </c>
      <c r="G66" s="715" t="s">
        <v>642</v>
      </c>
      <c r="H66" s="715" t="s">
        <v>642</v>
      </c>
      <c r="I66" s="715" t="s">
        <v>642</v>
      </c>
      <c r="J66" s="715" t="s">
        <v>642</v>
      </c>
      <c r="K66" s="715" t="s">
        <v>642</v>
      </c>
      <c r="L66" s="715" t="s">
        <v>642</v>
      </c>
      <c r="M66" s="715" t="s">
        <v>642</v>
      </c>
      <c r="N66" s="715" t="s">
        <v>642</v>
      </c>
      <c r="O66" s="715" t="s">
        <v>642</v>
      </c>
      <c r="P66" s="715" t="s">
        <v>642</v>
      </c>
      <c r="Q66" s="715" t="s">
        <v>642</v>
      </c>
      <c r="R66" s="715" t="s">
        <v>642</v>
      </c>
      <c r="S66" s="715" t="s">
        <v>642</v>
      </c>
      <c r="T66" s="715" t="s">
        <v>642</v>
      </c>
      <c r="U66" s="715" t="s">
        <v>642</v>
      </c>
    </row>
    <row r="67" spans="1:21" x14ac:dyDescent="0.3">
      <c r="A67" s="735" t="s">
        <v>963</v>
      </c>
      <c r="B67" s="715" t="s">
        <v>642</v>
      </c>
      <c r="C67" s="715" t="s">
        <v>642</v>
      </c>
      <c r="D67" s="715" t="s">
        <v>642</v>
      </c>
      <c r="E67" s="715" t="s">
        <v>642</v>
      </c>
      <c r="F67" s="715" t="s">
        <v>642</v>
      </c>
      <c r="G67" s="715" t="s">
        <v>642</v>
      </c>
      <c r="H67" s="715" t="s">
        <v>642</v>
      </c>
      <c r="I67" s="715" t="s">
        <v>642</v>
      </c>
      <c r="J67" s="715" t="s">
        <v>642</v>
      </c>
      <c r="K67" s="715" t="s">
        <v>642</v>
      </c>
      <c r="L67" s="715" t="s">
        <v>642</v>
      </c>
      <c r="M67" s="715" t="s">
        <v>642</v>
      </c>
      <c r="N67" s="715" t="s">
        <v>642</v>
      </c>
      <c r="O67" s="715" t="s">
        <v>642</v>
      </c>
      <c r="P67" s="715" t="s">
        <v>642</v>
      </c>
      <c r="Q67" s="715" t="s">
        <v>642</v>
      </c>
      <c r="R67" s="715" t="s">
        <v>642</v>
      </c>
      <c r="S67" s="715" t="s">
        <v>642</v>
      </c>
      <c r="T67" s="715" t="s">
        <v>642</v>
      </c>
      <c r="U67" s="715" t="s">
        <v>642</v>
      </c>
    </row>
    <row r="68" spans="1:21" x14ac:dyDescent="0.3">
      <c r="A68" s="735" t="s">
        <v>971</v>
      </c>
      <c r="B68" s="715" t="s">
        <v>642</v>
      </c>
      <c r="C68" s="715" t="s">
        <v>642</v>
      </c>
      <c r="D68" s="715" t="s">
        <v>642</v>
      </c>
      <c r="E68" s="715" t="s">
        <v>642</v>
      </c>
      <c r="F68" s="715" t="s">
        <v>642</v>
      </c>
      <c r="G68" s="715" t="s">
        <v>642</v>
      </c>
      <c r="H68" s="715" t="s">
        <v>642</v>
      </c>
      <c r="I68" s="715" t="s">
        <v>642</v>
      </c>
      <c r="J68" s="715" t="s">
        <v>642</v>
      </c>
      <c r="K68" s="715" t="s">
        <v>642</v>
      </c>
      <c r="L68" s="715" t="s">
        <v>642</v>
      </c>
      <c r="M68" s="715" t="s">
        <v>642</v>
      </c>
      <c r="N68" s="715" t="s">
        <v>642</v>
      </c>
      <c r="O68" s="715" t="s">
        <v>642</v>
      </c>
      <c r="P68" s="715" t="s">
        <v>642</v>
      </c>
      <c r="Q68" s="715" t="s">
        <v>642</v>
      </c>
      <c r="R68" s="715" t="s">
        <v>642</v>
      </c>
      <c r="S68" s="715" t="s">
        <v>642</v>
      </c>
      <c r="T68" s="715" t="s">
        <v>642</v>
      </c>
      <c r="U68" s="715" t="s">
        <v>642</v>
      </c>
    </row>
    <row r="69" spans="1:21" x14ac:dyDescent="0.3">
      <c r="A69" s="735" t="s">
        <v>1095</v>
      </c>
      <c r="B69" s="715" t="s">
        <v>642</v>
      </c>
      <c r="C69" s="715" t="s">
        <v>642</v>
      </c>
      <c r="D69" s="715" t="s">
        <v>642</v>
      </c>
      <c r="E69" s="715" t="s">
        <v>642</v>
      </c>
      <c r="F69" s="715" t="s">
        <v>642</v>
      </c>
      <c r="G69" s="715" t="s">
        <v>642</v>
      </c>
      <c r="H69" s="715" t="s">
        <v>642</v>
      </c>
      <c r="I69" s="715" t="s">
        <v>642</v>
      </c>
      <c r="J69" s="715" t="s">
        <v>642</v>
      </c>
      <c r="K69" s="715" t="s">
        <v>642</v>
      </c>
      <c r="L69" s="715" t="s">
        <v>642</v>
      </c>
      <c r="M69" s="715" t="s">
        <v>642</v>
      </c>
      <c r="N69" s="715" t="s">
        <v>642</v>
      </c>
      <c r="O69" s="715" t="s">
        <v>642</v>
      </c>
      <c r="P69" s="715" t="s">
        <v>642</v>
      </c>
      <c r="Q69" s="715" t="s">
        <v>642</v>
      </c>
      <c r="R69" s="715" t="s">
        <v>642</v>
      </c>
      <c r="S69" s="715" t="s">
        <v>642</v>
      </c>
      <c r="T69" s="715" t="s">
        <v>642</v>
      </c>
      <c r="U69" s="715" t="s">
        <v>642</v>
      </c>
    </row>
    <row r="70" spans="1:21" ht="25.5" x14ac:dyDescent="0.3">
      <c r="A70" s="735" t="s">
        <v>1101</v>
      </c>
      <c r="B70" s="715" t="s">
        <v>642</v>
      </c>
      <c r="C70" s="716">
        <v>1934.95</v>
      </c>
      <c r="D70" s="715" t="s">
        <v>642</v>
      </c>
      <c r="E70" s="716">
        <v>3883.31</v>
      </c>
      <c r="F70" s="715" t="s">
        <v>642</v>
      </c>
      <c r="G70" s="716">
        <v>3529.09</v>
      </c>
      <c r="H70" s="716">
        <v>3911.51</v>
      </c>
      <c r="I70" s="715" t="s">
        <v>642</v>
      </c>
      <c r="J70" s="716">
        <v>1218.71</v>
      </c>
      <c r="K70" s="715">
        <v>312.56</v>
      </c>
      <c r="L70" s="715">
        <v>-161</v>
      </c>
      <c r="M70" s="715">
        <v>-143.12</v>
      </c>
      <c r="N70" s="715">
        <v>148.06</v>
      </c>
      <c r="O70" s="715">
        <v>930.66</v>
      </c>
      <c r="P70" s="716">
        <v>2113.5</v>
      </c>
      <c r="Q70" s="716">
        <v>2643.47</v>
      </c>
      <c r="R70" s="716">
        <v>3839.5</v>
      </c>
      <c r="S70" s="716">
        <v>3900.18</v>
      </c>
      <c r="T70" s="716">
        <v>4411.99</v>
      </c>
      <c r="U70" s="716">
        <v>5234.8</v>
      </c>
    </row>
    <row r="71" spans="1:21" x14ac:dyDescent="0.3">
      <c r="A71" s="735" t="s">
        <v>1097</v>
      </c>
      <c r="B71" s="715" t="s">
        <v>642</v>
      </c>
      <c r="C71" s="715" t="s">
        <v>642</v>
      </c>
      <c r="D71" s="715" t="s">
        <v>642</v>
      </c>
      <c r="E71" s="715" t="s">
        <v>642</v>
      </c>
      <c r="F71" s="715" t="s">
        <v>642</v>
      </c>
      <c r="G71" s="715" t="s">
        <v>642</v>
      </c>
      <c r="H71" s="715" t="s">
        <v>642</v>
      </c>
      <c r="I71" s="715" t="s">
        <v>642</v>
      </c>
      <c r="J71" s="715" t="s">
        <v>642</v>
      </c>
      <c r="K71" s="715" t="s">
        <v>642</v>
      </c>
      <c r="L71" s="715" t="s">
        <v>642</v>
      </c>
      <c r="M71" s="715" t="s">
        <v>642</v>
      </c>
      <c r="N71" s="715" t="s">
        <v>642</v>
      </c>
      <c r="O71" s="715" t="s">
        <v>642</v>
      </c>
      <c r="P71" s="715" t="s">
        <v>642</v>
      </c>
      <c r="Q71" s="715" t="s">
        <v>642</v>
      </c>
      <c r="R71" s="715" t="s">
        <v>642</v>
      </c>
      <c r="S71" s="715" t="s">
        <v>642</v>
      </c>
      <c r="T71" s="715" t="s">
        <v>642</v>
      </c>
      <c r="U71" s="715" t="s">
        <v>642</v>
      </c>
    </row>
    <row r="72" spans="1:21" x14ac:dyDescent="0.3">
      <c r="A72" s="735" t="s">
        <v>1098</v>
      </c>
      <c r="B72" s="715" t="s">
        <v>642</v>
      </c>
      <c r="C72" s="715" t="s">
        <v>642</v>
      </c>
      <c r="D72" s="715" t="s">
        <v>642</v>
      </c>
      <c r="E72" s="715" t="s">
        <v>642</v>
      </c>
      <c r="F72" s="715" t="s">
        <v>642</v>
      </c>
      <c r="G72" s="715" t="s">
        <v>642</v>
      </c>
      <c r="H72" s="715" t="s">
        <v>642</v>
      </c>
      <c r="I72" s="715" t="s">
        <v>642</v>
      </c>
      <c r="J72" s="715" t="s">
        <v>642</v>
      </c>
      <c r="K72" s="715" t="s">
        <v>642</v>
      </c>
      <c r="L72" s="715" t="s">
        <v>642</v>
      </c>
      <c r="M72" s="715" t="s">
        <v>642</v>
      </c>
      <c r="N72" s="715" t="s">
        <v>642</v>
      </c>
      <c r="O72" s="715" t="s">
        <v>642</v>
      </c>
      <c r="P72" s="715" t="s">
        <v>642</v>
      </c>
      <c r="Q72" s="715" t="s">
        <v>642</v>
      </c>
      <c r="R72" s="715" t="s">
        <v>642</v>
      </c>
      <c r="S72" s="715" t="s">
        <v>642</v>
      </c>
      <c r="T72" s="715" t="s">
        <v>642</v>
      </c>
      <c r="U72" s="715" t="s">
        <v>642</v>
      </c>
    </row>
    <row r="73" spans="1:21" x14ac:dyDescent="0.3">
      <c r="A73" s="735" t="s">
        <v>226</v>
      </c>
      <c r="B73" s="715" t="s">
        <v>642</v>
      </c>
      <c r="C73" s="715" t="s">
        <v>642</v>
      </c>
      <c r="D73" s="715" t="s">
        <v>642</v>
      </c>
      <c r="E73" s="715" t="s">
        <v>642</v>
      </c>
      <c r="F73" s="715" t="s">
        <v>642</v>
      </c>
      <c r="G73" s="715" t="s">
        <v>642</v>
      </c>
      <c r="H73" s="715" t="s">
        <v>642</v>
      </c>
      <c r="I73" s="715" t="s">
        <v>642</v>
      </c>
      <c r="J73" s="715" t="s">
        <v>642</v>
      </c>
      <c r="K73" s="715" t="s">
        <v>642</v>
      </c>
      <c r="L73" s="715" t="s">
        <v>642</v>
      </c>
      <c r="M73" s="715" t="s">
        <v>642</v>
      </c>
      <c r="N73" s="715" t="s">
        <v>642</v>
      </c>
      <c r="O73" s="715" t="s">
        <v>642</v>
      </c>
      <c r="P73" s="715" t="s">
        <v>642</v>
      </c>
      <c r="Q73" s="715" t="s">
        <v>642</v>
      </c>
      <c r="R73" s="715" t="s">
        <v>642</v>
      </c>
      <c r="S73" s="715" t="s">
        <v>642</v>
      </c>
      <c r="T73" s="715" t="s">
        <v>642</v>
      </c>
      <c r="U73" s="715" t="s">
        <v>642</v>
      </c>
    </row>
    <row r="74" spans="1:21" x14ac:dyDescent="0.3">
      <c r="A74" s="735" t="s">
        <v>1102</v>
      </c>
      <c r="B74" s="715">
        <v>30</v>
      </c>
      <c r="C74" s="715">
        <v>26.4</v>
      </c>
      <c r="D74" s="715">
        <v>42.1</v>
      </c>
      <c r="E74" s="715">
        <v>47.3</v>
      </c>
      <c r="F74" s="715">
        <v>46.4</v>
      </c>
      <c r="G74" s="715">
        <v>47.2</v>
      </c>
      <c r="H74" s="715">
        <v>46.7</v>
      </c>
      <c r="I74" s="715">
        <v>39.5</v>
      </c>
      <c r="J74" s="715">
        <v>21.9</v>
      </c>
      <c r="K74" s="715">
        <v>33</v>
      </c>
      <c r="L74" s="715">
        <v>-18</v>
      </c>
      <c r="M74" s="715">
        <v>-10.8</v>
      </c>
      <c r="N74" s="715">
        <v>-1</v>
      </c>
      <c r="O74" s="715">
        <v>19</v>
      </c>
      <c r="P74" s="715">
        <v>27</v>
      </c>
      <c r="Q74" s="715">
        <v>35.299999999999997</v>
      </c>
      <c r="R74" s="715">
        <v>38</v>
      </c>
      <c r="S74" s="715">
        <v>37</v>
      </c>
      <c r="T74" s="715" t="s">
        <v>642</v>
      </c>
      <c r="U74" s="715" t="s">
        <v>642</v>
      </c>
    </row>
    <row r="75" spans="1:21" x14ac:dyDescent="0.3">
      <c r="A75" s="735" t="s">
        <v>1089</v>
      </c>
      <c r="B75" s="715" t="s">
        <v>642</v>
      </c>
      <c r="C75" s="715" t="s">
        <v>642</v>
      </c>
      <c r="D75" s="715" t="s">
        <v>642</v>
      </c>
      <c r="E75" s="715" t="s">
        <v>642</v>
      </c>
      <c r="F75" s="715" t="s">
        <v>642</v>
      </c>
      <c r="G75" s="715" t="s">
        <v>642</v>
      </c>
      <c r="H75" s="715" t="s">
        <v>642</v>
      </c>
      <c r="I75" s="715" t="s">
        <v>642</v>
      </c>
      <c r="J75" s="715" t="s">
        <v>642</v>
      </c>
      <c r="K75" s="715" t="s">
        <v>642</v>
      </c>
      <c r="L75" s="715" t="s">
        <v>642</v>
      </c>
      <c r="M75" s="715" t="s">
        <v>642</v>
      </c>
      <c r="N75" s="715" t="s">
        <v>642</v>
      </c>
      <c r="O75" s="715" t="s">
        <v>642</v>
      </c>
      <c r="P75" s="715" t="s">
        <v>642</v>
      </c>
      <c r="Q75" s="715" t="s">
        <v>642</v>
      </c>
      <c r="R75" s="715" t="s">
        <v>642</v>
      </c>
      <c r="S75" s="715" t="s">
        <v>642</v>
      </c>
      <c r="T75" s="715" t="s">
        <v>642</v>
      </c>
      <c r="U75" s="715" t="s">
        <v>642</v>
      </c>
    </row>
    <row r="76" spans="1:21" x14ac:dyDescent="0.3">
      <c r="A76" s="735" t="s">
        <v>963</v>
      </c>
      <c r="B76" s="715" t="s">
        <v>642</v>
      </c>
      <c r="C76" s="715" t="s">
        <v>642</v>
      </c>
      <c r="D76" s="715" t="s">
        <v>642</v>
      </c>
      <c r="E76" s="715" t="s">
        <v>642</v>
      </c>
      <c r="F76" s="715" t="s">
        <v>642</v>
      </c>
      <c r="G76" s="715" t="s">
        <v>642</v>
      </c>
      <c r="H76" s="715" t="s">
        <v>642</v>
      </c>
      <c r="I76" s="715" t="s">
        <v>642</v>
      </c>
      <c r="J76" s="715" t="s">
        <v>642</v>
      </c>
      <c r="K76" s="715" t="s">
        <v>642</v>
      </c>
      <c r="L76" s="715" t="s">
        <v>642</v>
      </c>
      <c r="M76" s="715" t="s">
        <v>642</v>
      </c>
      <c r="N76" s="715" t="s">
        <v>642</v>
      </c>
      <c r="O76" s="715" t="s">
        <v>642</v>
      </c>
      <c r="P76" s="715" t="s">
        <v>642</v>
      </c>
      <c r="Q76" s="715" t="s">
        <v>642</v>
      </c>
      <c r="R76" s="715" t="s">
        <v>642</v>
      </c>
      <c r="S76" s="715" t="s">
        <v>642</v>
      </c>
      <c r="T76" s="715" t="s">
        <v>642</v>
      </c>
      <c r="U76" s="715" t="s">
        <v>642</v>
      </c>
    </row>
    <row r="77" spans="1:21" x14ac:dyDescent="0.3">
      <c r="A77" s="735" t="s">
        <v>971</v>
      </c>
      <c r="B77" s="715" t="s">
        <v>642</v>
      </c>
      <c r="C77" s="715" t="s">
        <v>642</v>
      </c>
      <c r="D77" s="715" t="s">
        <v>642</v>
      </c>
      <c r="E77" s="715" t="s">
        <v>642</v>
      </c>
      <c r="F77" s="715" t="s">
        <v>642</v>
      </c>
      <c r="G77" s="715" t="s">
        <v>642</v>
      </c>
      <c r="H77" s="715" t="s">
        <v>642</v>
      </c>
      <c r="I77" s="715" t="s">
        <v>642</v>
      </c>
      <c r="J77" s="715" t="s">
        <v>642</v>
      </c>
      <c r="K77" s="715" t="s">
        <v>642</v>
      </c>
      <c r="L77" s="715" t="s">
        <v>642</v>
      </c>
      <c r="M77" s="715" t="s">
        <v>642</v>
      </c>
      <c r="N77" s="715" t="s">
        <v>642</v>
      </c>
      <c r="O77" s="715" t="s">
        <v>642</v>
      </c>
      <c r="P77" s="715" t="s">
        <v>642</v>
      </c>
      <c r="Q77" s="715" t="s">
        <v>642</v>
      </c>
      <c r="R77" s="715" t="s">
        <v>642</v>
      </c>
      <c r="S77" s="715" t="s">
        <v>642</v>
      </c>
      <c r="T77" s="715" t="s">
        <v>642</v>
      </c>
      <c r="U77" s="715" t="s">
        <v>642</v>
      </c>
    </row>
    <row r="78" spans="1:21" x14ac:dyDescent="0.3">
      <c r="A78" s="735" t="s">
        <v>1095</v>
      </c>
      <c r="B78" s="715" t="s">
        <v>642</v>
      </c>
      <c r="C78" s="715" t="s">
        <v>642</v>
      </c>
      <c r="D78" s="715" t="s">
        <v>642</v>
      </c>
      <c r="E78" s="715" t="s">
        <v>642</v>
      </c>
      <c r="F78" s="715" t="s">
        <v>642</v>
      </c>
      <c r="G78" s="715" t="s">
        <v>642</v>
      </c>
      <c r="H78" s="715" t="s">
        <v>642</v>
      </c>
      <c r="I78" s="715" t="s">
        <v>642</v>
      </c>
      <c r="J78" s="715" t="s">
        <v>642</v>
      </c>
      <c r="K78" s="715" t="s">
        <v>642</v>
      </c>
      <c r="L78" s="715" t="s">
        <v>642</v>
      </c>
      <c r="M78" s="715" t="s">
        <v>642</v>
      </c>
      <c r="N78" s="715" t="s">
        <v>642</v>
      </c>
      <c r="O78" s="715" t="s">
        <v>642</v>
      </c>
      <c r="P78" s="715" t="s">
        <v>642</v>
      </c>
      <c r="Q78" s="715" t="s">
        <v>642</v>
      </c>
      <c r="R78" s="715" t="s">
        <v>642</v>
      </c>
      <c r="S78" s="715" t="s">
        <v>642</v>
      </c>
      <c r="T78" s="715" t="s">
        <v>642</v>
      </c>
      <c r="U78" s="715" t="s">
        <v>642</v>
      </c>
    </row>
    <row r="79" spans="1:21" x14ac:dyDescent="0.3">
      <c r="A79" s="735" t="s">
        <v>1097</v>
      </c>
      <c r="B79" s="715" t="s">
        <v>642</v>
      </c>
      <c r="C79" s="715" t="s">
        <v>642</v>
      </c>
      <c r="D79" s="715" t="s">
        <v>642</v>
      </c>
      <c r="E79" s="715" t="s">
        <v>642</v>
      </c>
      <c r="F79" s="715" t="s">
        <v>642</v>
      </c>
      <c r="G79" s="715" t="s">
        <v>642</v>
      </c>
      <c r="H79" s="715" t="s">
        <v>642</v>
      </c>
      <c r="I79" s="715" t="s">
        <v>642</v>
      </c>
      <c r="J79" s="715" t="s">
        <v>642</v>
      </c>
      <c r="K79" s="715" t="s">
        <v>642</v>
      </c>
      <c r="L79" s="715" t="s">
        <v>642</v>
      </c>
      <c r="M79" s="715" t="s">
        <v>642</v>
      </c>
      <c r="N79" s="715" t="s">
        <v>642</v>
      </c>
      <c r="O79" s="715" t="s">
        <v>642</v>
      </c>
      <c r="P79" s="715" t="s">
        <v>642</v>
      </c>
      <c r="Q79" s="715" t="s">
        <v>642</v>
      </c>
      <c r="R79" s="715" t="s">
        <v>642</v>
      </c>
      <c r="S79" s="715" t="s">
        <v>642</v>
      </c>
      <c r="T79" s="715" t="s">
        <v>642</v>
      </c>
      <c r="U79" s="715" t="s">
        <v>642</v>
      </c>
    </row>
    <row r="80" spans="1:21" x14ac:dyDescent="0.3">
      <c r="A80" s="735" t="s">
        <v>1098</v>
      </c>
      <c r="B80" s="715" t="s">
        <v>642</v>
      </c>
      <c r="C80" s="715" t="s">
        <v>642</v>
      </c>
      <c r="D80" s="715" t="s">
        <v>642</v>
      </c>
      <c r="E80" s="715" t="s">
        <v>642</v>
      </c>
      <c r="F80" s="715" t="s">
        <v>642</v>
      </c>
      <c r="G80" s="715" t="s">
        <v>642</v>
      </c>
      <c r="H80" s="715" t="s">
        <v>642</v>
      </c>
      <c r="I80" s="715" t="s">
        <v>642</v>
      </c>
      <c r="J80" s="715" t="s">
        <v>642</v>
      </c>
      <c r="K80" s="715" t="s">
        <v>642</v>
      </c>
      <c r="L80" s="715" t="s">
        <v>642</v>
      </c>
      <c r="M80" s="715" t="s">
        <v>642</v>
      </c>
      <c r="N80" s="715" t="s">
        <v>642</v>
      </c>
      <c r="O80" s="715" t="s">
        <v>642</v>
      </c>
      <c r="P80" s="715" t="s">
        <v>642</v>
      </c>
      <c r="Q80" s="715" t="s">
        <v>642</v>
      </c>
      <c r="R80" s="715" t="s">
        <v>642</v>
      </c>
      <c r="S80" s="715" t="s">
        <v>642</v>
      </c>
      <c r="T80" s="715" t="s">
        <v>642</v>
      </c>
      <c r="U80" s="715" t="s">
        <v>642</v>
      </c>
    </row>
    <row r="81" spans="1:21" x14ac:dyDescent="0.3">
      <c r="A81" s="735" t="s">
        <v>226</v>
      </c>
      <c r="B81" s="715" t="s">
        <v>642</v>
      </c>
      <c r="C81" s="715" t="s">
        <v>642</v>
      </c>
      <c r="D81" s="715" t="s">
        <v>642</v>
      </c>
      <c r="E81" s="715" t="s">
        <v>642</v>
      </c>
      <c r="F81" s="715" t="s">
        <v>642</v>
      </c>
      <c r="G81" s="715" t="s">
        <v>642</v>
      </c>
      <c r="H81" s="715" t="s">
        <v>642</v>
      </c>
      <c r="I81" s="715" t="s">
        <v>642</v>
      </c>
      <c r="J81" s="715" t="s">
        <v>642</v>
      </c>
      <c r="K81" s="715" t="s">
        <v>642</v>
      </c>
      <c r="L81" s="715" t="s">
        <v>642</v>
      </c>
      <c r="M81" s="715" t="s">
        <v>642</v>
      </c>
      <c r="N81" s="715" t="s">
        <v>642</v>
      </c>
      <c r="O81" s="715" t="s">
        <v>642</v>
      </c>
      <c r="P81" s="715" t="s">
        <v>642</v>
      </c>
      <c r="Q81" s="715" t="s">
        <v>642</v>
      </c>
      <c r="R81" s="715" t="s">
        <v>642</v>
      </c>
      <c r="S81" s="715" t="s">
        <v>642</v>
      </c>
      <c r="T81" s="715" t="s">
        <v>642</v>
      </c>
      <c r="U81" s="715" t="s">
        <v>642</v>
      </c>
    </row>
    <row r="82" spans="1:21" x14ac:dyDescent="0.3">
      <c r="A82" s="735" t="s">
        <v>1103</v>
      </c>
      <c r="B82" s="716">
        <v>1698.19</v>
      </c>
      <c r="C82" s="716">
        <v>1708.8</v>
      </c>
      <c r="D82" s="716">
        <v>1749.62</v>
      </c>
      <c r="E82" s="716">
        <v>1856.22</v>
      </c>
      <c r="F82" s="716">
        <v>1972.59</v>
      </c>
      <c r="G82" s="716">
        <v>2079.44</v>
      </c>
      <c r="H82" s="716">
        <v>2263.81</v>
      </c>
      <c r="I82" s="716">
        <v>2457.17</v>
      </c>
      <c r="J82" s="716">
        <v>2673.75</v>
      </c>
      <c r="K82" s="716">
        <v>2472.1999999999998</v>
      </c>
      <c r="L82" s="716">
        <v>2579.9299999999998</v>
      </c>
      <c r="M82" s="716">
        <v>2520.25</v>
      </c>
      <c r="N82" s="716">
        <v>2547.58</v>
      </c>
      <c r="O82" s="716">
        <v>2541.69</v>
      </c>
      <c r="P82" s="716">
        <v>2650.82</v>
      </c>
      <c r="Q82" s="716">
        <v>2725.12</v>
      </c>
      <c r="R82" s="716">
        <v>2765.49</v>
      </c>
      <c r="S82" s="716">
        <v>3005.77</v>
      </c>
      <c r="T82" s="716">
        <v>3166.27</v>
      </c>
      <c r="U82" s="716">
        <v>3233.29</v>
      </c>
    </row>
    <row r="83" spans="1:21" x14ac:dyDescent="0.3">
      <c r="A83" s="735" t="s">
        <v>1085</v>
      </c>
      <c r="B83" s="715" t="s">
        <v>642</v>
      </c>
      <c r="C83" s="715" t="s">
        <v>642</v>
      </c>
      <c r="D83" s="715" t="s">
        <v>642</v>
      </c>
      <c r="E83" s="715" t="s">
        <v>642</v>
      </c>
      <c r="F83" s="715" t="s">
        <v>642</v>
      </c>
      <c r="G83" s="715" t="s">
        <v>642</v>
      </c>
      <c r="H83" s="715" t="s">
        <v>642</v>
      </c>
      <c r="I83" s="715" t="s">
        <v>642</v>
      </c>
      <c r="J83" s="715" t="s">
        <v>642</v>
      </c>
      <c r="K83" s="715" t="s">
        <v>642</v>
      </c>
      <c r="L83" s="715" t="s">
        <v>642</v>
      </c>
      <c r="M83" s="715" t="s">
        <v>642</v>
      </c>
      <c r="N83" s="715" t="s">
        <v>642</v>
      </c>
      <c r="O83" s="715" t="s">
        <v>642</v>
      </c>
      <c r="P83" s="715" t="s">
        <v>642</v>
      </c>
      <c r="Q83" s="716">
        <v>3787.18</v>
      </c>
      <c r="R83" s="715" t="s">
        <v>642</v>
      </c>
      <c r="S83" s="715" t="s">
        <v>642</v>
      </c>
      <c r="T83" s="715" t="s">
        <v>642</v>
      </c>
      <c r="U83" s="715" t="s">
        <v>642</v>
      </c>
    </row>
    <row r="84" spans="1:21" x14ac:dyDescent="0.3">
      <c r="A84" s="735" t="s">
        <v>963</v>
      </c>
      <c r="B84" s="715" t="s">
        <v>642</v>
      </c>
      <c r="C84" s="715" t="s">
        <v>642</v>
      </c>
      <c r="D84" s="715" t="s">
        <v>642</v>
      </c>
      <c r="E84" s="715" t="s">
        <v>642</v>
      </c>
      <c r="F84" s="715" t="s">
        <v>642</v>
      </c>
      <c r="G84" s="715" t="s">
        <v>642</v>
      </c>
      <c r="H84" s="715" t="s">
        <v>642</v>
      </c>
      <c r="I84" s="715" t="s">
        <v>642</v>
      </c>
      <c r="J84" s="715" t="s">
        <v>642</v>
      </c>
      <c r="K84" s="715" t="s">
        <v>642</v>
      </c>
      <c r="L84" s="715" t="s">
        <v>642</v>
      </c>
      <c r="M84" s="715" t="s">
        <v>642</v>
      </c>
      <c r="N84" s="715" t="s">
        <v>642</v>
      </c>
      <c r="O84" s="715" t="s">
        <v>642</v>
      </c>
      <c r="P84" s="715" t="s">
        <v>642</v>
      </c>
      <c r="Q84" s="715">
        <v>138.97</v>
      </c>
      <c r="R84" s="715" t="s">
        <v>642</v>
      </c>
      <c r="S84" s="715" t="s">
        <v>642</v>
      </c>
      <c r="T84" s="715" t="s">
        <v>642</v>
      </c>
      <c r="U84" s="715" t="s">
        <v>642</v>
      </c>
    </row>
    <row r="85" spans="1:21" x14ac:dyDescent="0.3">
      <c r="A85" s="735" t="s">
        <v>1086</v>
      </c>
      <c r="B85" s="715" t="s">
        <v>642</v>
      </c>
      <c r="C85" s="715" t="s">
        <v>642</v>
      </c>
      <c r="D85" s="715" t="s">
        <v>642</v>
      </c>
      <c r="E85" s="715" t="s">
        <v>642</v>
      </c>
      <c r="F85" s="715" t="s">
        <v>642</v>
      </c>
      <c r="G85" s="715" t="s">
        <v>642</v>
      </c>
      <c r="H85" s="715" t="s">
        <v>642</v>
      </c>
      <c r="I85" s="715" t="s">
        <v>642</v>
      </c>
      <c r="J85" s="715" t="s">
        <v>642</v>
      </c>
      <c r="K85" s="715" t="s">
        <v>642</v>
      </c>
      <c r="L85" s="715" t="s">
        <v>642</v>
      </c>
      <c r="M85" s="715" t="s">
        <v>642</v>
      </c>
      <c r="N85" s="715" t="s">
        <v>642</v>
      </c>
      <c r="O85" s="715" t="s">
        <v>642</v>
      </c>
      <c r="P85" s="715" t="s">
        <v>642</v>
      </c>
      <c r="Q85" s="716">
        <v>2747.08</v>
      </c>
      <c r="R85" s="715" t="s">
        <v>642</v>
      </c>
      <c r="S85" s="715" t="s">
        <v>642</v>
      </c>
      <c r="T85" s="715" t="s">
        <v>642</v>
      </c>
      <c r="U85" s="715" t="s">
        <v>642</v>
      </c>
    </row>
    <row r="86" spans="1:21" x14ac:dyDescent="0.3">
      <c r="A86" s="735" t="s">
        <v>963</v>
      </c>
      <c r="B86" s="715" t="s">
        <v>642</v>
      </c>
      <c r="C86" s="715" t="s">
        <v>642</v>
      </c>
      <c r="D86" s="715" t="s">
        <v>642</v>
      </c>
      <c r="E86" s="715" t="s">
        <v>642</v>
      </c>
      <c r="F86" s="715" t="s">
        <v>642</v>
      </c>
      <c r="G86" s="715" t="s">
        <v>642</v>
      </c>
      <c r="H86" s="715" t="s">
        <v>642</v>
      </c>
      <c r="I86" s="715" t="s">
        <v>642</v>
      </c>
      <c r="J86" s="715" t="s">
        <v>642</v>
      </c>
      <c r="K86" s="715" t="s">
        <v>642</v>
      </c>
      <c r="L86" s="715" t="s">
        <v>642</v>
      </c>
      <c r="M86" s="715" t="s">
        <v>642</v>
      </c>
      <c r="N86" s="715" t="s">
        <v>642</v>
      </c>
      <c r="O86" s="715" t="s">
        <v>642</v>
      </c>
      <c r="P86" s="715" t="s">
        <v>642</v>
      </c>
      <c r="Q86" s="715">
        <v>100.81</v>
      </c>
      <c r="R86" s="715" t="s">
        <v>642</v>
      </c>
      <c r="S86" s="715" t="s">
        <v>642</v>
      </c>
      <c r="T86" s="715" t="s">
        <v>642</v>
      </c>
      <c r="U86" s="715" t="s">
        <v>642</v>
      </c>
    </row>
    <row r="87" spans="1:21" x14ac:dyDescent="0.3">
      <c r="A87" s="735" t="s">
        <v>1087</v>
      </c>
      <c r="B87" s="715" t="s">
        <v>642</v>
      </c>
      <c r="C87" s="715" t="s">
        <v>642</v>
      </c>
      <c r="D87" s="715" t="s">
        <v>642</v>
      </c>
      <c r="E87" s="715" t="s">
        <v>642</v>
      </c>
      <c r="F87" s="715" t="s">
        <v>642</v>
      </c>
      <c r="G87" s="715" t="s">
        <v>642</v>
      </c>
      <c r="H87" s="715" t="s">
        <v>642</v>
      </c>
      <c r="I87" s="715" t="s">
        <v>642</v>
      </c>
      <c r="J87" s="715" t="s">
        <v>642</v>
      </c>
      <c r="K87" s="715" t="s">
        <v>642</v>
      </c>
      <c r="L87" s="715" t="s">
        <v>642</v>
      </c>
      <c r="M87" s="715" t="s">
        <v>642</v>
      </c>
      <c r="N87" s="715" t="s">
        <v>642</v>
      </c>
      <c r="O87" s="715" t="s">
        <v>642</v>
      </c>
      <c r="P87" s="715" t="s">
        <v>642</v>
      </c>
      <c r="Q87" s="716">
        <v>2059.62</v>
      </c>
      <c r="R87" s="715" t="s">
        <v>642</v>
      </c>
      <c r="S87" s="715" t="s">
        <v>642</v>
      </c>
      <c r="T87" s="715" t="s">
        <v>642</v>
      </c>
      <c r="U87" s="715" t="s">
        <v>642</v>
      </c>
    </row>
    <row r="88" spans="1:21" x14ac:dyDescent="0.3">
      <c r="A88" s="735" t="s">
        <v>963</v>
      </c>
      <c r="B88" s="715" t="s">
        <v>642</v>
      </c>
      <c r="C88" s="715" t="s">
        <v>642</v>
      </c>
      <c r="D88" s="715" t="s">
        <v>642</v>
      </c>
      <c r="E88" s="715" t="s">
        <v>642</v>
      </c>
      <c r="F88" s="715" t="s">
        <v>642</v>
      </c>
      <c r="G88" s="715" t="s">
        <v>642</v>
      </c>
      <c r="H88" s="715" t="s">
        <v>642</v>
      </c>
      <c r="I88" s="715" t="s">
        <v>642</v>
      </c>
      <c r="J88" s="715" t="s">
        <v>642</v>
      </c>
      <c r="K88" s="715" t="s">
        <v>642</v>
      </c>
      <c r="L88" s="715" t="s">
        <v>642</v>
      </c>
      <c r="M88" s="715" t="s">
        <v>642</v>
      </c>
      <c r="N88" s="715" t="s">
        <v>642</v>
      </c>
      <c r="O88" s="715" t="s">
        <v>642</v>
      </c>
      <c r="P88" s="715" t="s">
        <v>642</v>
      </c>
      <c r="Q88" s="715">
        <v>75.58</v>
      </c>
      <c r="R88" s="715" t="s">
        <v>642</v>
      </c>
      <c r="S88" s="715" t="s">
        <v>642</v>
      </c>
      <c r="T88" s="715" t="s">
        <v>642</v>
      </c>
      <c r="U88" s="715" t="s">
        <v>642</v>
      </c>
    </row>
    <row r="89" spans="1:21" x14ac:dyDescent="0.3">
      <c r="A89" s="735" t="s">
        <v>1088</v>
      </c>
      <c r="B89" s="715" t="s">
        <v>642</v>
      </c>
      <c r="C89" s="715" t="s">
        <v>642</v>
      </c>
      <c r="D89" s="715" t="s">
        <v>642</v>
      </c>
      <c r="E89" s="715" t="s">
        <v>642</v>
      </c>
      <c r="F89" s="715" t="s">
        <v>642</v>
      </c>
      <c r="G89" s="715" t="s">
        <v>642</v>
      </c>
      <c r="H89" s="715" t="s">
        <v>642</v>
      </c>
      <c r="I89" s="715" t="s">
        <v>642</v>
      </c>
      <c r="J89" s="715" t="s">
        <v>642</v>
      </c>
      <c r="K89" s="715" t="s">
        <v>642</v>
      </c>
      <c r="L89" s="715" t="s">
        <v>642</v>
      </c>
      <c r="M89" s="715" t="s">
        <v>642</v>
      </c>
      <c r="N89" s="715" t="s">
        <v>642</v>
      </c>
      <c r="O89" s="715" t="s">
        <v>642</v>
      </c>
      <c r="P89" s="715" t="s">
        <v>642</v>
      </c>
      <c r="Q89" s="716">
        <v>2045.9</v>
      </c>
      <c r="R89" s="715" t="s">
        <v>642</v>
      </c>
      <c r="S89" s="715" t="s">
        <v>642</v>
      </c>
      <c r="T89" s="715" t="s">
        <v>642</v>
      </c>
      <c r="U89" s="715" t="s">
        <v>642</v>
      </c>
    </row>
    <row r="90" spans="1:21" x14ac:dyDescent="0.3">
      <c r="A90" s="735" t="s">
        <v>963</v>
      </c>
      <c r="B90" s="715" t="s">
        <v>642</v>
      </c>
      <c r="C90" s="715" t="s">
        <v>642</v>
      </c>
      <c r="D90" s="715" t="s">
        <v>642</v>
      </c>
      <c r="E90" s="715" t="s">
        <v>642</v>
      </c>
      <c r="F90" s="715" t="s">
        <v>642</v>
      </c>
      <c r="G90" s="715" t="s">
        <v>642</v>
      </c>
      <c r="H90" s="715" t="s">
        <v>642</v>
      </c>
      <c r="I90" s="715" t="s">
        <v>642</v>
      </c>
      <c r="J90" s="715" t="s">
        <v>642</v>
      </c>
      <c r="K90" s="715" t="s">
        <v>642</v>
      </c>
      <c r="L90" s="715" t="s">
        <v>642</v>
      </c>
      <c r="M90" s="715" t="s">
        <v>642</v>
      </c>
      <c r="N90" s="715" t="s">
        <v>642</v>
      </c>
      <c r="O90" s="715" t="s">
        <v>642</v>
      </c>
      <c r="P90" s="715" t="s">
        <v>642</v>
      </c>
      <c r="Q90" s="715">
        <v>75.08</v>
      </c>
      <c r="R90" s="715" t="s">
        <v>642</v>
      </c>
      <c r="S90" s="715" t="s">
        <v>642</v>
      </c>
      <c r="T90" s="715" t="s">
        <v>642</v>
      </c>
      <c r="U90" s="715" t="s">
        <v>642</v>
      </c>
    </row>
    <row r="91" spans="1:21" x14ac:dyDescent="0.3">
      <c r="A91" s="735" t="s">
        <v>1089</v>
      </c>
      <c r="B91" s="715" t="s">
        <v>642</v>
      </c>
      <c r="C91" s="715" t="s">
        <v>642</v>
      </c>
      <c r="D91" s="715" t="s">
        <v>642</v>
      </c>
      <c r="E91" s="715" t="s">
        <v>642</v>
      </c>
      <c r="F91" s="715" t="s">
        <v>642</v>
      </c>
      <c r="G91" s="715" t="s">
        <v>642</v>
      </c>
      <c r="H91" s="715" t="s">
        <v>642</v>
      </c>
      <c r="I91" s="715" t="s">
        <v>642</v>
      </c>
      <c r="J91" s="715" t="s">
        <v>642</v>
      </c>
      <c r="K91" s="715" t="s">
        <v>642</v>
      </c>
      <c r="L91" s="715" t="s">
        <v>642</v>
      </c>
      <c r="M91" s="715" t="s">
        <v>642</v>
      </c>
      <c r="N91" s="715" t="s">
        <v>642</v>
      </c>
      <c r="O91" s="715" t="s">
        <v>642</v>
      </c>
      <c r="P91" s="715" t="s">
        <v>642</v>
      </c>
      <c r="Q91" s="715">
        <v>10.98</v>
      </c>
      <c r="R91" s="715" t="s">
        <v>642</v>
      </c>
      <c r="S91" s="715" t="s">
        <v>642</v>
      </c>
      <c r="T91" s="715" t="s">
        <v>642</v>
      </c>
      <c r="U91" s="715" t="s">
        <v>642</v>
      </c>
    </row>
    <row r="92" spans="1:21" x14ac:dyDescent="0.3">
      <c r="A92" s="735" t="s">
        <v>963</v>
      </c>
      <c r="B92" s="715" t="s">
        <v>642</v>
      </c>
      <c r="C92" s="715" t="s">
        <v>642</v>
      </c>
      <c r="D92" s="715" t="s">
        <v>642</v>
      </c>
      <c r="E92" s="715" t="s">
        <v>642</v>
      </c>
      <c r="F92" s="715" t="s">
        <v>642</v>
      </c>
      <c r="G92" s="715" t="s">
        <v>642</v>
      </c>
      <c r="H92" s="715" t="s">
        <v>642</v>
      </c>
      <c r="I92" s="715" t="s">
        <v>642</v>
      </c>
      <c r="J92" s="715" t="s">
        <v>642</v>
      </c>
      <c r="K92" s="715" t="s">
        <v>642</v>
      </c>
      <c r="L92" s="715" t="s">
        <v>642</v>
      </c>
      <c r="M92" s="715" t="s">
        <v>642</v>
      </c>
      <c r="N92" s="715" t="s">
        <v>642</v>
      </c>
      <c r="O92" s="715" t="s">
        <v>642</v>
      </c>
      <c r="P92" s="715" t="s">
        <v>642</v>
      </c>
      <c r="Q92" s="715">
        <v>0.4</v>
      </c>
      <c r="R92" s="715" t="s">
        <v>642</v>
      </c>
      <c r="S92" s="715" t="s">
        <v>642</v>
      </c>
      <c r="T92" s="715" t="s">
        <v>642</v>
      </c>
      <c r="U92" s="715" t="s">
        <v>642</v>
      </c>
    </row>
    <row r="93" spans="1:21" x14ac:dyDescent="0.3">
      <c r="A93" s="735" t="s">
        <v>1090</v>
      </c>
      <c r="B93" s="715" t="s">
        <v>642</v>
      </c>
      <c r="C93" s="715" t="s">
        <v>642</v>
      </c>
      <c r="D93" s="715" t="s">
        <v>642</v>
      </c>
      <c r="E93" s="715" t="s">
        <v>642</v>
      </c>
      <c r="F93" s="715" t="s">
        <v>642</v>
      </c>
      <c r="G93" s="715" t="s">
        <v>642</v>
      </c>
      <c r="H93" s="715" t="s">
        <v>642</v>
      </c>
      <c r="I93" s="715" t="s">
        <v>642</v>
      </c>
      <c r="J93" s="715" t="s">
        <v>642</v>
      </c>
      <c r="K93" s="715" t="s">
        <v>642</v>
      </c>
      <c r="L93" s="715" t="s">
        <v>642</v>
      </c>
      <c r="M93" s="715" t="s">
        <v>642</v>
      </c>
      <c r="N93" s="715" t="s">
        <v>642</v>
      </c>
      <c r="O93" s="715" t="s">
        <v>642</v>
      </c>
      <c r="P93" s="715" t="s">
        <v>642</v>
      </c>
      <c r="Q93" s="715">
        <v>24.7</v>
      </c>
      <c r="R93" s="715" t="s">
        <v>642</v>
      </c>
      <c r="S93" s="715" t="s">
        <v>642</v>
      </c>
      <c r="T93" s="715" t="s">
        <v>642</v>
      </c>
      <c r="U93" s="715" t="s">
        <v>642</v>
      </c>
    </row>
    <row r="94" spans="1:21" x14ac:dyDescent="0.3">
      <c r="A94" s="735" t="s">
        <v>963</v>
      </c>
      <c r="B94" s="715" t="s">
        <v>642</v>
      </c>
      <c r="C94" s="715" t="s">
        <v>642</v>
      </c>
      <c r="D94" s="715" t="s">
        <v>642</v>
      </c>
      <c r="E94" s="715" t="s">
        <v>642</v>
      </c>
      <c r="F94" s="715" t="s">
        <v>642</v>
      </c>
      <c r="G94" s="715" t="s">
        <v>642</v>
      </c>
      <c r="H94" s="715" t="s">
        <v>642</v>
      </c>
      <c r="I94" s="715" t="s">
        <v>642</v>
      </c>
      <c r="J94" s="715" t="s">
        <v>642</v>
      </c>
      <c r="K94" s="715" t="s">
        <v>642</v>
      </c>
      <c r="L94" s="715" t="s">
        <v>642</v>
      </c>
      <c r="M94" s="715" t="s">
        <v>642</v>
      </c>
      <c r="N94" s="715" t="s">
        <v>642</v>
      </c>
      <c r="O94" s="715" t="s">
        <v>642</v>
      </c>
      <c r="P94" s="715" t="s">
        <v>642</v>
      </c>
      <c r="Q94" s="715">
        <v>0.91</v>
      </c>
      <c r="R94" s="715" t="s">
        <v>642</v>
      </c>
      <c r="S94" s="715" t="s">
        <v>642</v>
      </c>
      <c r="T94" s="715" t="s">
        <v>642</v>
      </c>
      <c r="U94" s="715" t="s">
        <v>642</v>
      </c>
    </row>
    <row r="95" spans="1:21" x14ac:dyDescent="0.3">
      <c r="A95" s="735" t="s">
        <v>971</v>
      </c>
      <c r="B95" s="715" t="s">
        <v>642</v>
      </c>
      <c r="C95" s="715" t="s">
        <v>642</v>
      </c>
      <c r="D95" s="715" t="s">
        <v>642</v>
      </c>
      <c r="E95" s="715" t="s">
        <v>642</v>
      </c>
      <c r="F95" s="715" t="s">
        <v>642</v>
      </c>
      <c r="G95" s="715" t="s">
        <v>642</v>
      </c>
      <c r="H95" s="715" t="s">
        <v>642</v>
      </c>
      <c r="I95" s="715" t="s">
        <v>642</v>
      </c>
      <c r="J95" s="715" t="s">
        <v>642</v>
      </c>
      <c r="K95" s="715" t="s">
        <v>642</v>
      </c>
      <c r="L95" s="715" t="s">
        <v>642</v>
      </c>
      <c r="M95" s="715" t="s">
        <v>642</v>
      </c>
      <c r="N95" s="715" t="s">
        <v>642</v>
      </c>
      <c r="O95" s="715" t="s">
        <v>642</v>
      </c>
      <c r="P95" s="715" t="s">
        <v>642</v>
      </c>
      <c r="Q95" s="715" t="s">
        <v>642</v>
      </c>
      <c r="R95" s="715" t="s">
        <v>642</v>
      </c>
      <c r="S95" s="715" t="s">
        <v>642</v>
      </c>
      <c r="T95" s="715" t="s">
        <v>642</v>
      </c>
      <c r="U95" s="715" t="s">
        <v>642</v>
      </c>
    </row>
    <row r="96" spans="1:21" x14ac:dyDescent="0.3">
      <c r="A96" s="735" t="s">
        <v>1092</v>
      </c>
      <c r="B96" s="715" t="s">
        <v>642</v>
      </c>
      <c r="C96" s="715" t="s">
        <v>642</v>
      </c>
      <c r="D96" s="715" t="s">
        <v>642</v>
      </c>
      <c r="E96" s="715" t="s">
        <v>642</v>
      </c>
      <c r="F96" s="715" t="s">
        <v>642</v>
      </c>
      <c r="G96" s="715" t="s">
        <v>642</v>
      </c>
      <c r="H96" s="715" t="s">
        <v>642</v>
      </c>
      <c r="I96" s="715" t="s">
        <v>642</v>
      </c>
      <c r="J96" s="715" t="s">
        <v>642</v>
      </c>
      <c r="K96" s="715" t="s">
        <v>642</v>
      </c>
      <c r="L96" s="715" t="s">
        <v>642</v>
      </c>
      <c r="M96" s="715" t="s">
        <v>642</v>
      </c>
      <c r="N96" s="715" t="s">
        <v>642</v>
      </c>
      <c r="O96" s="715" t="s">
        <v>642</v>
      </c>
      <c r="P96" s="715" t="s">
        <v>642</v>
      </c>
      <c r="Q96" s="715" t="s">
        <v>642</v>
      </c>
      <c r="R96" s="715" t="s">
        <v>642</v>
      </c>
      <c r="S96" s="715" t="s">
        <v>642</v>
      </c>
      <c r="T96" s="715" t="s">
        <v>642</v>
      </c>
      <c r="U96" s="715" t="s">
        <v>642</v>
      </c>
    </row>
    <row r="97" spans="1:21" x14ac:dyDescent="0.3">
      <c r="A97" s="735" t="s">
        <v>1093</v>
      </c>
      <c r="B97" s="715" t="s">
        <v>642</v>
      </c>
      <c r="C97" s="715" t="s">
        <v>642</v>
      </c>
      <c r="D97" s="715" t="s">
        <v>642</v>
      </c>
      <c r="E97" s="715" t="s">
        <v>642</v>
      </c>
      <c r="F97" s="715" t="s">
        <v>642</v>
      </c>
      <c r="G97" s="715" t="s">
        <v>642</v>
      </c>
      <c r="H97" s="715" t="s">
        <v>642</v>
      </c>
      <c r="I97" s="715" t="s">
        <v>642</v>
      </c>
      <c r="J97" s="715" t="s">
        <v>642</v>
      </c>
      <c r="K97" s="715" t="s">
        <v>642</v>
      </c>
      <c r="L97" s="715" t="s">
        <v>642</v>
      </c>
      <c r="M97" s="715" t="s">
        <v>642</v>
      </c>
      <c r="N97" s="715" t="s">
        <v>642</v>
      </c>
      <c r="O97" s="715" t="s">
        <v>642</v>
      </c>
      <c r="P97" s="715" t="s">
        <v>642</v>
      </c>
      <c r="Q97" s="715" t="s">
        <v>642</v>
      </c>
      <c r="R97" s="715" t="s">
        <v>642</v>
      </c>
      <c r="S97" s="715" t="s">
        <v>642</v>
      </c>
      <c r="T97" s="715" t="s">
        <v>642</v>
      </c>
      <c r="U97" s="715" t="s">
        <v>642</v>
      </c>
    </row>
    <row r="98" spans="1:21" x14ac:dyDescent="0.3">
      <c r="A98" s="735" t="s">
        <v>1094</v>
      </c>
      <c r="B98" s="715" t="s">
        <v>642</v>
      </c>
      <c r="C98" s="715" t="s">
        <v>642</v>
      </c>
      <c r="D98" s="715" t="s">
        <v>642</v>
      </c>
      <c r="E98" s="715" t="s">
        <v>642</v>
      </c>
      <c r="F98" s="715" t="s">
        <v>642</v>
      </c>
      <c r="G98" s="715" t="s">
        <v>642</v>
      </c>
      <c r="H98" s="715" t="s">
        <v>642</v>
      </c>
      <c r="I98" s="715" t="s">
        <v>642</v>
      </c>
      <c r="J98" s="715" t="s">
        <v>642</v>
      </c>
      <c r="K98" s="715" t="s">
        <v>642</v>
      </c>
      <c r="L98" s="715" t="s">
        <v>642</v>
      </c>
      <c r="M98" s="715" t="s">
        <v>642</v>
      </c>
      <c r="N98" s="715" t="s">
        <v>642</v>
      </c>
      <c r="O98" s="715" t="s">
        <v>642</v>
      </c>
      <c r="P98" s="715" t="s">
        <v>642</v>
      </c>
      <c r="Q98" s="715" t="s">
        <v>642</v>
      </c>
      <c r="R98" s="715" t="s">
        <v>642</v>
      </c>
      <c r="S98" s="715" t="s">
        <v>642</v>
      </c>
      <c r="T98" s="715" t="s">
        <v>642</v>
      </c>
      <c r="U98" s="715" t="s">
        <v>642</v>
      </c>
    </row>
    <row r="99" spans="1:21" x14ac:dyDescent="0.3">
      <c r="A99" s="735" t="s">
        <v>1095</v>
      </c>
      <c r="B99" s="715" t="s">
        <v>642</v>
      </c>
      <c r="C99" s="715" t="s">
        <v>642</v>
      </c>
      <c r="D99" s="715" t="s">
        <v>642</v>
      </c>
      <c r="E99" s="715" t="s">
        <v>642</v>
      </c>
      <c r="F99" s="715" t="s">
        <v>642</v>
      </c>
      <c r="G99" s="715" t="s">
        <v>642</v>
      </c>
      <c r="H99" s="715" t="s">
        <v>642</v>
      </c>
      <c r="I99" s="715" t="s">
        <v>642</v>
      </c>
      <c r="J99" s="715" t="s">
        <v>642</v>
      </c>
      <c r="K99" s="715" t="s">
        <v>642</v>
      </c>
      <c r="L99" s="715" t="s">
        <v>642</v>
      </c>
      <c r="M99" s="715" t="s">
        <v>642</v>
      </c>
      <c r="N99" s="715" t="s">
        <v>642</v>
      </c>
      <c r="O99" s="715" t="s">
        <v>642</v>
      </c>
      <c r="P99" s="715" t="s">
        <v>642</v>
      </c>
      <c r="Q99" s="715" t="s">
        <v>642</v>
      </c>
      <c r="R99" s="715" t="s">
        <v>642</v>
      </c>
      <c r="S99" s="715" t="s">
        <v>642</v>
      </c>
      <c r="T99" s="715" t="s">
        <v>642</v>
      </c>
      <c r="U99" s="715" t="s">
        <v>642</v>
      </c>
    </row>
    <row r="100" spans="1:21" x14ac:dyDescent="0.3">
      <c r="A100" s="735" t="s">
        <v>1096</v>
      </c>
      <c r="B100" s="715" t="s">
        <v>642</v>
      </c>
      <c r="C100" s="715" t="s">
        <v>642</v>
      </c>
      <c r="D100" s="715" t="s">
        <v>642</v>
      </c>
      <c r="E100" s="715" t="s">
        <v>642</v>
      </c>
      <c r="F100" s="715" t="s">
        <v>642</v>
      </c>
      <c r="G100" s="715" t="s">
        <v>642</v>
      </c>
      <c r="H100" s="715" t="s">
        <v>642</v>
      </c>
      <c r="I100" s="715" t="s">
        <v>642</v>
      </c>
      <c r="J100" s="715" t="s">
        <v>642</v>
      </c>
      <c r="K100" s="715" t="s">
        <v>642</v>
      </c>
      <c r="L100" s="715" t="s">
        <v>642</v>
      </c>
      <c r="M100" s="715" t="s">
        <v>642</v>
      </c>
      <c r="N100" s="715" t="s">
        <v>642</v>
      </c>
      <c r="O100" s="715" t="s">
        <v>642</v>
      </c>
      <c r="P100" s="715" t="s">
        <v>642</v>
      </c>
      <c r="Q100" s="715" t="s">
        <v>642</v>
      </c>
      <c r="R100" s="715" t="s">
        <v>642</v>
      </c>
      <c r="S100" s="715" t="s">
        <v>642</v>
      </c>
      <c r="T100" s="715" t="s">
        <v>642</v>
      </c>
      <c r="U100" s="715" t="s">
        <v>642</v>
      </c>
    </row>
    <row r="101" spans="1:21" x14ac:dyDescent="0.3">
      <c r="A101" s="735" t="s">
        <v>1098</v>
      </c>
      <c r="B101" s="715" t="s">
        <v>642</v>
      </c>
      <c r="C101" s="715" t="s">
        <v>642</v>
      </c>
      <c r="D101" s="715" t="s">
        <v>642</v>
      </c>
      <c r="E101" s="715" t="s">
        <v>642</v>
      </c>
      <c r="F101" s="715" t="s">
        <v>642</v>
      </c>
      <c r="G101" s="715" t="s">
        <v>642</v>
      </c>
      <c r="H101" s="715" t="s">
        <v>642</v>
      </c>
      <c r="I101" s="715" t="s">
        <v>642</v>
      </c>
      <c r="J101" s="715" t="s">
        <v>642</v>
      </c>
      <c r="K101" s="715" t="s">
        <v>642</v>
      </c>
      <c r="L101" s="715" t="s">
        <v>642</v>
      </c>
      <c r="M101" s="715" t="s">
        <v>642</v>
      </c>
      <c r="N101" s="715" t="s">
        <v>642</v>
      </c>
      <c r="O101" s="715" t="s">
        <v>642</v>
      </c>
      <c r="P101" s="715" t="s">
        <v>642</v>
      </c>
      <c r="Q101" s="715" t="s">
        <v>642</v>
      </c>
      <c r="R101" s="715" t="s">
        <v>642</v>
      </c>
      <c r="S101" s="715" t="s">
        <v>642</v>
      </c>
      <c r="T101" s="715" t="s">
        <v>642</v>
      </c>
      <c r="U101" s="715" t="s">
        <v>642</v>
      </c>
    </row>
    <row r="102" spans="1:21" x14ac:dyDescent="0.3">
      <c r="A102" s="735" t="s">
        <v>226</v>
      </c>
      <c r="B102" s="715" t="s">
        <v>642</v>
      </c>
      <c r="C102" s="715" t="s">
        <v>642</v>
      </c>
      <c r="D102" s="715" t="s">
        <v>642</v>
      </c>
      <c r="E102" s="715" t="s">
        <v>642</v>
      </c>
      <c r="F102" s="715" t="s">
        <v>642</v>
      </c>
      <c r="G102" s="715" t="s">
        <v>642</v>
      </c>
      <c r="H102" s="715" t="s">
        <v>642</v>
      </c>
      <c r="I102" s="715" t="s">
        <v>642</v>
      </c>
      <c r="J102" s="715" t="s">
        <v>642</v>
      </c>
      <c r="K102" s="715" t="s">
        <v>642</v>
      </c>
      <c r="L102" s="715" t="s">
        <v>642</v>
      </c>
      <c r="M102" s="715" t="s">
        <v>642</v>
      </c>
      <c r="N102" s="715" t="s">
        <v>642</v>
      </c>
      <c r="O102" s="715" t="s">
        <v>642</v>
      </c>
      <c r="P102" s="715" t="s">
        <v>642</v>
      </c>
      <c r="Q102" s="715" t="s">
        <v>642</v>
      </c>
      <c r="R102" s="715" t="s">
        <v>642</v>
      </c>
      <c r="S102" s="715" t="s">
        <v>642</v>
      </c>
      <c r="T102" s="715" t="s">
        <v>642</v>
      </c>
      <c r="U102" s="715" t="s">
        <v>642</v>
      </c>
    </row>
    <row r="103" spans="1:21" x14ac:dyDescent="0.3">
      <c r="A103" s="735" t="s">
        <v>1104</v>
      </c>
      <c r="B103" s="715" t="s">
        <v>642</v>
      </c>
      <c r="C103" s="715" t="s">
        <v>642</v>
      </c>
      <c r="D103" s="715" t="s">
        <v>642</v>
      </c>
      <c r="E103" s="715" t="s">
        <v>642</v>
      </c>
      <c r="F103" s="715" t="s">
        <v>642</v>
      </c>
      <c r="G103" s="715" t="s">
        <v>642</v>
      </c>
      <c r="H103" s="715" t="s">
        <v>642</v>
      </c>
      <c r="I103" s="715" t="s">
        <v>642</v>
      </c>
      <c r="J103" s="715" t="s">
        <v>642</v>
      </c>
      <c r="K103" s="715" t="s">
        <v>642</v>
      </c>
      <c r="L103" s="715" t="s">
        <v>642</v>
      </c>
      <c r="M103" s="715" t="s">
        <v>642</v>
      </c>
      <c r="N103" s="715" t="s">
        <v>642</v>
      </c>
      <c r="O103" s="715" t="s">
        <v>642</v>
      </c>
      <c r="P103" s="715" t="s">
        <v>642</v>
      </c>
      <c r="Q103" s="715" t="s">
        <v>642</v>
      </c>
      <c r="R103" s="715" t="s">
        <v>642</v>
      </c>
      <c r="S103" s="715" t="s">
        <v>642</v>
      </c>
      <c r="T103" s="715" t="s">
        <v>642</v>
      </c>
      <c r="U103" s="715" t="s">
        <v>642</v>
      </c>
    </row>
    <row r="104" spans="1:21" x14ac:dyDescent="0.3">
      <c r="A104" s="735" t="s">
        <v>1073</v>
      </c>
      <c r="B104" s="715">
        <v>70</v>
      </c>
      <c r="C104" s="715">
        <v>71</v>
      </c>
      <c r="D104" s="715">
        <v>73</v>
      </c>
      <c r="E104" s="715">
        <v>74</v>
      </c>
      <c r="F104" s="715">
        <v>73</v>
      </c>
      <c r="G104" s="715">
        <v>73</v>
      </c>
      <c r="H104" s="715">
        <v>73</v>
      </c>
      <c r="I104" s="715">
        <v>72</v>
      </c>
      <c r="J104" s="715">
        <v>69</v>
      </c>
      <c r="K104" s="715">
        <v>74</v>
      </c>
      <c r="L104" s="715">
        <v>71</v>
      </c>
      <c r="M104" s="715">
        <v>69</v>
      </c>
      <c r="N104" s="715">
        <v>73</v>
      </c>
      <c r="O104" s="715">
        <v>71</v>
      </c>
      <c r="P104" s="715">
        <v>69</v>
      </c>
      <c r="Q104" s="715">
        <v>69</v>
      </c>
      <c r="R104" s="715">
        <v>73</v>
      </c>
      <c r="S104" s="715">
        <v>76</v>
      </c>
      <c r="T104" s="715">
        <v>76.73</v>
      </c>
      <c r="U104" s="715">
        <v>77.2</v>
      </c>
    </row>
    <row r="105" spans="1:21" x14ac:dyDescent="0.3">
      <c r="A105" s="735" t="s">
        <v>963</v>
      </c>
      <c r="B105" s="715" t="s">
        <v>642</v>
      </c>
      <c r="C105" s="715" t="s">
        <v>642</v>
      </c>
      <c r="D105" s="715" t="s">
        <v>642</v>
      </c>
      <c r="E105" s="715" t="s">
        <v>642</v>
      </c>
      <c r="F105" s="715" t="s">
        <v>642</v>
      </c>
      <c r="G105" s="715" t="s">
        <v>642</v>
      </c>
      <c r="H105" s="715" t="s">
        <v>642</v>
      </c>
      <c r="I105" s="715" t="s">
        <v>642</v>
      </c>
      <c r="J105" s="715" t="s">
        <v>642</v>
      </c>
      <c r="K105" s="715" t="s">
        <v>642</v>
      </c>
      <c r="L105" s="715" t="s">
        <v>642</v>
      </c>
      <c r="M105" s="715" t="s">
        <v>642</v>
      </c>
      <c r="N105" s="715" t="s">
        <v>642</v>
      </c>
      <c r="O105" s="715" t="s">
        <v>642</v>
      </c>
      <c r="P105" s="715" t="s">
        <v>642</v>
      </c>
      <c r="Q105" s="715" t="s">
        <v>642</v>
      </c>
      <c r="R105" s="715" t="s">
        <v>642</v>
      </c>
      <c r="S105" s="715" t="s">
        <v>642</v>
      </c>
      <c r="T105" s="715" t="s">
        <v>642</v>
      </c>
      <c r="U105" s="715" t="s">
        <v>642</v>
      </c>
    </row>
    <row r="106" spans="1:21" x14ac:dyDescent="0.3">
      <c r="A106" s="735" t="s">
        <v>1074</v>
      </c>
      <c r="B106" s="715">
        <v>28</v>
      </c>
      <c r="C106" s="715">
        <v>26</v>
      </c>
      <c r="D106" s="715">
        <v>24</v>
      </c>
      <c r="E106" s="715">
        <v>24</v>
      </c>
      <c r="F106" s="715">
        <v>24</v>
      </c>
      <c r="G106" s="715">
        <v>25</v>
      </c>
      <c r="H106" s="715">
        <v>26</v>
      </c>
      <c r="I106" s="715">
        <v>25</v>
      </c>
      <c r="J106" s="715">
        <v>27</v>
      </c>
      <c r="K106" s="715">
        <v>24</v>
      </c>
      <c r="L106" s="715">
        <v>27</v>
      </c>
      <c r="M106" s="715">
        <v>30</v>
      </c>
      <c r="N106" s="715">
        <v>26</v>
      </c>
      <c r="O106" s="715">
        <v>27</v>
      </c>
      <c r="P106" s="715">
        <v>30</v>
      </c>
      <c r="Q106" s="715">
        <v>30</v>
      </c>
      <c r="R106" s="715">
        <v>26</v>
      </c>
      <c r="S106" s="715">
        <v>23</v>
      </c>
      <c r="T106" s="715">
        <v>21.44</v>
      </c>
      <c r="U106" s="715">
        <v>20.9</v>
      </c>
    </row>
    <row r="107" spans="1:21" x14ac:dyDescent="0.3">
      <c r="A107" s="735" t="s">
        <v>963</v>
      </c>
      <c r="B107" s="715" t="s">
        <v>642</v>
      </c>
      <c r="C107" s="715" t="s">
        <v>642</v>
      </c>
      <c r="D107" s="715" t="s">
        <v>642</v>
      </c>
      <c r="E107" s="715" t="s">
        <v>642</v>
      </c>
      <c r="F107" s="715" t="s">
        <v>642</v>
      </c>
      <c r="G107" s="715" t="s">
        <v>642</v>
      </c>
      <c r="H107" s="715" t="s">
        <v>642</v>
      </c>
      <c r="I107" s="715" t="s">
        <v>642</v>
      </c>
      <c r="J107" s="715" t="s">
        <v>642</v>
      </c>
      <c r="K107" s="715" t="s">
        <v>642</v>
      </c>
      <c r="L107" s="715" t="s">
        <v>642</v>
      </c>
      <c r="M107" s="715" t="s">
        <v>642</v>
      </c>
      <c r="N107" s="715" t="s">
        <v>642</v>
      </c>
      <c r="O107" s="715" t="s">
        <v>642</v>
      </c>
      <c r="P107" s="715" t="s">
        <v>642</v>
      </c>
      <c r="Q107" s="715" t="s">
        <v>642</v>
      </c>
      <c r="R107" s="715" t="s">
        <v>642</v>
      </c>
      <c r="S107" s="715" t="s">
        <v>642</v>
      </c>
      <c r="T107" s="715" t="s">
        <v>642</v>
      </c>
      <c r="U107" s="715" t="s">
        <v>642</v>
      </c>
    </row>
    <row r="108" spans="1:21" ht="25.5" x14ac:dyDescent="0.3">
      <c r="A108" s="735" t="s">
        <v>1075</v>
      </c>
      <c r="B108" s="715">
        <v>2</v>
      </c>
      <c r="C108" s="715">
        <v>2</v>
      </c>
      <c r="D108" s="715">
        <v>3</v>
      </c>
      <c r="E108" s="715">
        <v>2</v>
      </c>
      <c r="F108" s="715">
        <v>3</v>
      </c>
      <c r="G108" s="715">
        <v>2</v>
      </c>
      <c r="H108" s="715">
        <v>1</v>
      </c>
      <c r="I108" s="715">
        <v>3</v>
      </c>
      <c r="J108" s="715">
        <v>4</v>
      </c>
      <c r="K108" s="715">
        <v>2</v>
      </c>
      <c r="L108" s="715">
        <v>2</v>
      </c>
      <c r="M108" s="715">
        <v>1</v>
      </c>
      <c r="N108" s="715">
        <v>1</v>
      </c>
      <c r="O108" s="715">
        <v>2</v>
      </c>
      <c r="P108" s="715">
        <v>1</v>
      </c>
      <c r="Q108" s="715">
        <v>1</v>
      </c>
      <c r="R108" s="715" t="s">
        <v>642</v>
      </c>
      <c r="S108" s="715">
        <v>1</v>
      </c>
      <c r="T108" s="715" t="s">
        <v>642</v>
      </c>
      <c r="U108" s="715" t="s">
        <v>642</v>
      </c>
    </row>
    <row r="109" spans="1:21" x14ac:dyDescent="0.3">
      <c r="A109" s="735" t="s">
        <v>963</v>
      </c>
      <c r="B109" s="715" t="s">
        <v>642</v>
      </c>
      <c r="C109" s="715" t="s">
        <v>642</v>
      </c>
      <c r="D109" s="715" t="s">
        <v>642</v>
      </c>
      <c r="E109" s="715" t="s">
        <v>642</v>
      </c>
      <c r="F109" s="715" t="s">
        <v>642</v>
      </c>
      <c r="G109" s="715" t="s">
        <v>642</v>
      </c>
      <c r="H109" s="715" t="s">
        <v>642</v>
      </c>
      <c r="I109" s="715" t="s">
        <v>642</v>
      </c>
      <c r="J109" s="715" t="s">
        <v>642</v>
      </c>
      <c r="K109" s="715" t="s">
        <v>642</v>
      </c>
      <c r="L109" s="715" t="s">
        <v>642</v>
      </c>
      <c r="M109" s="715" t="s">
        <v>642</v>
      </c>
      <c r="N109" s="715" t="s">
        <v>642</v>
      </c>
      <c r="O109" s="715" t="s">
        <v>642</v>
      </c>
      <c r="P109" s="715" t="s">
        <v>642</v>
      </c>
      <c r="Q109" s="715" t="s">
        <v>642</v>
      </c>
      <c r="R109" s="715" t="s">
        <v>642</v>
      </c>
      <c r="S109" s="715" t="s">
        <v>642</v>
      </c>
      <c r="T109" s="715" t="s">
        <v>642</v>
      </c>
      <c r="U109" s="715" t="s">
        <v>642</v>
      </c>
    </row>
    <row r="110" spans="1:21" x14ac:dyDescent="0.3">
      <c r="A110" s="735" t="s">
        <v>971</v>
      </c>
      <c r="B110" s="715" t="s">
        <v>642</v>
      </c>
      <c r="C110" s="715" t="s">
        <v>642</v>
      </c>
      <c r="D110" s="715" t="s">
        <v>642</v>
      </c>
      <c r="E110" s="715" t="s">
        <v>642</v>
      </c>
      <c r="F110" s="715" t="s">
        <v>642</v>
      </c>
      <c r="G110" s="715" t="s">
        <v>642</v>
      </c>
      <c r="H110" s="715" t="s">
        <v>642</v>
      </c>
      <c r="I110" s="715" t="s">
        <v>642</v>
      </c>
      <c r="J110" s="715" t="s">
        <v>642</v>
      </c>
      <c r="K110" s="715" t="s">
        <v>642</v>
      </c>
      <c r="L110" s="715" t="s">
        <v>642</v>
      </c>
      <c r="M110" s="715" t="s">
        <v>642</v>
      </c>
      <c r="N110" s="715" t="s">
        <v>642</v>
      </c>
      <c r="O110" s="715" t="s">
        <v>642</v>
      </c>
      <c r="P110" s="715" t="s">
        <v>642</v>
      </c>
      <c r="Q110" s="715" t="s">
        <v>642</v>
      </c>
      <c r="R110" s="715" t="s">
        <v>642</v>
      </c>
      <c r="S110" s="715" t="s">
        <v>642</v>
      </c>
      <c r="T110" s="715" t="s">
        <v>642</v>
      </c>
      <c r="U110" s="715" t="s">
        <v>642</v>
      </c>
    </row>
    <row r="111" spans="1:21" x14ac:dyDescent="0.3">
      <c r="A111" s="735" t="s">
        <v>1076</v>
      </c>
      <c r="B111" s="715" t="s">
        <v>642</v>
      </c>
      <c r="C111" s="715" t="s">
        <v>642</v>
      </c>
      <c r="D111" s="715" t="s">
        <v>642</v>
      </c>
      <c r="E111" s="715" t="s">
        <v>642</v>
      </c>
      <c r="F111" s="715" t="s">
        <v>642</v>
      </c>
      <c r="G111" s="715" t="s">
        <v>642</v>
      </c>
      <c r="H111" s="715" t="s">
        <v>642</v>
      </c>
      <c r="I111" s="715" t="s">
        <v>642</v>
      </c>
      <c r="J111" s="715" t="s">
        <v>642</v>
      </c>
      <c r="K111" s="715" t="s">
        <v>642</v>
      </c>
      <c r="L111" s="715" t="s">
        <v>642</v>
      </c>
      <c r="M111" s="715" t="s">
        <v>642</v>
      </c>
      <c r="N111" s="715" t="s">
        <v>642</v>
      </c>
      <c r="O111" s="715" t="s">
        <v>642</v>
      </c>
      <c r="P111" s="715" t="s">
        <v>642</v>
      </c>
      <c r="Q111" s="715" t="s">
        <v>642</v>
      </c>
      <c r="R111" s="715" t="s">
        <v>642</v>
      </c>
      <c r="S111" s="715" t="s">
        <v>642</v>
      </c>
      <c r="T111" s="715" t="s">
        <v>642</v>
      </c>
      <c r="U111" s="715" t="s">
        <v>642</v>
      </c>
    </row>
    <row r="112" spans="1:21" x14ac:dyDescent="0.3">
      <c r="A112" s="735" t="s">
        <v>1077</v>
      </c>
      <c r="B112" s="715" t="s">
        <v>642</v>
      </c>
      <c r="C112" s="715" t="s">
        <v>642</v>
      </c>
      <c r="D112" s="715" t="s">
        <v>642</v>
      </c>
      <c r="E112" s="715" t="s">
        <v>642</v>
      </c>
      <c r="F112" s="715" t="s">
        <v>642</v>
      </c>
      <c r="G112" s="715" t="s">
        <v>642</v>
      </c>
      <c r="H112" s="715" t="s">
        <v>642</v>
      </c>
      <c r="I112" s="715" t="s">
        <v>642</v>
      </c>
      <c r="J112" s="715" t="s">
        <v>642</v>
      </c>
      <c r="K112" s="715" t="s">
        <v>642</v>
      </c>
      <c r="L112" s="715" t="s">
        <v>642</v>
      </c>
      <c r="M112" s="715" t="s">
        <v>642</v>
      </c>
      <c r="N112" s="715" t="s">
        <v>642</v>
      </c>
      <c r="O112" s="715" t="s">
        <v>642</v>
      </c>
      <c r="P112" s="715" t="s">
        <v>642</v>
      </c>
      <c r="Q112" s="715" t="s">
        <v>642</v>
      </c>
      <c r="R112" s="715" t="s">
        <v>642</v>
      </c>
      <c r="S112" s="715" t="s">
        <v>642</v>
      </c>
      <c r="T112" s="715" t="s">
        <v>642</v>
      </c>
      <c r="U112" s="715" t="s">
        <v>642</v>
      </c>
    </row>
    <row r="113" spans="1:21" x14ac:dyDescent="0.3">
      <c r="A113" s="735" t="s">
        <v>1078</v>
      </c>
      <c r="B113" s="715" t="s">
        <v>642</v>
      </c>
      <c r="C113" s="715" t="s">
        <v>642</v>
      </c>
      <c r="D113" s="715" t="s">
        <v>642</v>
      </c>
      <c r="E113" s="715" t="s">
        <v>642</v>
      </c>
      <c r="F113" s="715" t="s">
        <v>642</v>
      </c>
      <c r="G113" s="715" t="s">
        <v>642</v>
      </c>
      <c r="H113" s="715" t="s">
        <v>642</v>
      </c>
      <c r="I113" s="715" t="s">
        <v>642</v>
      </c>
      <c r="J113" s="715" t="s">
        <v>642</v>
      </c>
      <c r="K113" s="715" t="s">
        <v>642</v>
      </c>
      <c r="L113" s="715" t="s">
        <v>642</v>
      </c>
      <c r="M113" s="715" t="s">
        <v>642</v>
      </c>
      <c r="N113" s="715" t="s">
        <v>642</v>
      </c>
      <c r="O113" s="715" t="s">
        <v>642</v>
      </c>
      <c r="P113" s="715" t="s">
        <v>642</v>
      </c>
      <c r="Q113" s="715" t="s">
        <v>642</v>
      </c>
      <c r="R113" s="715" t="s">
        <v>642</v>
      </c>
      <c r="S113" s="715" t="s">
        <v>642</v>
      </c>
      <c r="T113" s="715" t="s">
        <v>642</v>
      </c>
      <c r="U113" s="715" t="s">
        <v>642</v>
      </c>
    </row>
    <row r="114" spans="1:21" x14ac:dyDescent="0.3">
      <c r="A114" s="735" t="s">
        <v>1079</v>
      </c>
      <c r="B114" s="715" t="s">
        <v>642</v>
      </c>
      <c r="C114" s="715" t="s">
        <v>642</v>
      </c>
      <c r="D114" s="715" t="s">
        <v>642</v>
      </c>
      <c r="E114" s="715" t="s">
        <v>642</v>
      </c>
      <c r="F114" s="715" t="s">
        <v>642</v>
      </c>
      <c r="G114" s="715" t="s">
        <v>642</v>
      </c>
      <c r="H114" s="715" t="s">
        <v>642</v>
      </c>
      <c r="I114" s="715" t="s">
        <v>642</v>
      </c>
      <c r="J114" s="715" t="s">
        <v>642</v>
      </c>
      <c r="K114" s="715" t="s">
        <v>642</v>
      </c>
      <c r="L114" s="715" t="s">
        <v>642</v>
      </c>
      <c r="M114" s="715" t="s">
        <v>642</v>
      </c>
      <c r="N114" s="715" t="s">
        <v>642</v>
      </c>
      <c r="O114" s="715" t="s">
        <v>642</v>
      </c>
      <c r="P114" s="715" t="s">
        <v>642</v>
      </c>
      <c r="Q114" s="715" t="s">
        <v>642</v>
      </c>
      <c r="R114" s="715" t="s">
        <v>642</v>
      </c>
      <c r="S114" s="715" t="s">
        <v>642</v>
      </c>
      <c r="T114" s="715" t="s">
        <v>642</v>
      </c>
      <c r="U114" s="715" t="s">
        <v>642</v>
      </c>
    </row>
    <row r="115" spans="1:21" x14ac:dyDescent="0.3">
      <c r="A115" s="735" t="s">
        <v>1082</v>
      </c>
      <c r="B115" s="715" t="s">
        <v>642</v>
      </c>
      <c r="C115" s="715" t="s">
        <v>642</v>
      </c>
      <c r="D115" s="715" t="s">
        <v>642</v>
      </c>
      <c r="E115" s="715" t="s">
        <v>642</v>
      </c>
      <c r="F115" s="715" t="s">
        <v>642</v>
      </c>
      <c r="G115" s="715" t="s">
        <v>642</v>
      </c>
      <c r="H115" s="715" t="s">
        <v>642</v>
      </c>
      <c r="I115" s="715" t="s">
        <v>642</v>
      </c>
      <c r="J115" s="715" t="s">
        <v>642</v>
      </c>
      <c r="K115" s="715" t="s">
        <v>642</v>
      </c>
      <c r="L115" s="715" t="s">
        <v>642</v>
      </c>
      <c r="M115" s="715" t="s">
        <v>642</v>
      </c>
      <c r="N115" s="715" t="s">
        <v>642</v>
      </c>
      <c r="O115" s="715" t="s">
        <v>642</v>
      </c>
      <c r="P115" s="715" t="s">
        <v>642</v>
      </c>
      <c r="Q115" s="715" t="s">
        <v>642</v>
      </c>
      <c r="R115" s="715" t="s">
        <v>642</v>
      </c>
      <c r="S115" s="715" t="s">
        <v>642</v>
      </c>
      <c r="T115" s="715" t="s">
        <v>642</v>
      </c>
      <c r="U115" s="715" t="s">
        <v>642</v>
      </c>
    </row>
    <row r="116" spans="1:21" x14ac:dyDescent="0.3">
      <c r="A116" s="735" t="s">
        <v>1083</v>
      </c>
      <c r="B116" s="715" t="s">
        <v>642</v>
      </c>
      <c r="C116" s="715" t="s">
        <v>642</v>
      </c>
      <c r="D116" s="715" t="s">
        <v>642</v>
      </c>
      <c r="E116" s="715" t="s">
        <v>642</v>
      </c>
      <c r="F116" s="715" t="s">
        <v>642</v>
      </c>
      <c r="G116" s="715" t="s">
        <v>642</v>
      </c>
      <c r="H116" s="715" t="s">
        <v>642</v>
      </c>
      <c r="I116" s="715" t="s">
        <v>642</v>
      </c>
      <c r="J116" s="715" t="s">
        <v>642</v>
      </c>
      <c r="K116" s="715" t="s">
        <v>642</v>
      </c>
      <c r="L116" s="715" t="s">
        <v>642</v>
      </c>
      <c r="M116" s="715" t="s">
        <v>642</v>
      </c>
      <c r="N116" s="715" t="s">
        <v>642</v>
      </c>
      <c r="O116" s="715" t="s">
        <v>642</v>
      </c>
      <c r="P116" s="715" t="s">
        <v>642</v>
      </c>
      <c r="Q116" s="715" t="s">
        <v>642</v>
      </c>
      <c r="R116" s="715" t="s">
        <v>642</v>
      </c>
      <c r="S116" s="715" t="s">
        <v>642</v>
      </c>
      <c r="T116" s="715" t="s">
        <v>642</v>
      </c>
      <c r="U116" s="715" t="s">
        <v>642</v>
      </c>
    </row>
    <row r="117" spans="1:21" x14ac:dyDescent="0.3">
      <c r="A117" s="735" t="s">
        <v>226</v>
      </c>
      <c r="B117" s="715" t="s">
        <v>642</v>
      </c>
      <c r="C117" s="715" t="s">
        <v>642</v>
      </c>
      <c r="D117" s="715" t="s">
        <v>642</v>
      </c>
      <c r="E117" s="715" t="s">
        <v>642</v>
      </c>
      <c r="F117" s="715" t="s">
        <v>642</v>
      </c>
      <c r="G117" s="715" t="s">
        <v>642</v>
      </c>
      <c r="H117" s="715" t="s">
        <v>642</v>
      </c>
      <c r="I117" s="715" t="s">
        <v>642</v>
      </c>
      <c r="J117" s="715" t="s">
        <v>642</v>
      </c>
      <c r="K117" s="715" t="s">
        <v>642</v>
      </c>
      <c r="L117" s="715" t="s">
        <v>642</v>
      </c>
      <c r="M117" s="715" t="s">
        <v>642</v>
      </c>
      <c r="N117" s="715" t="s">
        <v>642</v>
      </c>
      <c r="O117" s="715" t="s">
        <v>642</v>
      </c>
      <c r="P117" s="715" t="s">
        <v>642</v>
      </c>
      <c r="Q117" s="715" t="s">
        <v>642</v>
      </c>
      <c r="R117" s="715" t="s">
        <v>642</v>
      </c>
      <c r="S117" s="715" t="s">
        <v>642</v>
      </c>
      <c r="T117" s="715" t="s">
        <v>642</v>
      </c>
      <c r="U117" s="715" t="s">
        <v>642</v>
      </c>
    </row>
    <row r="118" spans="1:21" ht="25.5" x14ac:dyDescent="0.3">
      <c r="A118" s="735" t="s">
        <v>1105</v>
      </c>
      <c r="B118" s="715">
        <v>30.9</v>
      </c>
      <c r="C118" s="715">
        <v>32.9</v>
      </c>
      <c r="D118" s="715">
        <v>42.9</v>
      </c>
      <c r="E118" s="715">
        <v>47.9</v>
      </c>
      <c r="F118" s="715">
        <v>47</v>
      </c>
      <c r="G118" s="715">
        <v>47.8</v>
      </c>
      <c r="H118" s="715">
        <v>47.4</v>
      </c>
      <c r="I118" s="715">
        <v>40.299999999999997</v>
      </c>
      <c r="J118" s="715">
        <v>22.9</v>
      </c>
      <c r="K118" s="715">
        <v>-31.4</v>
      </c>
      <c r="L118" s="715">
        <v>-16.100000000000001</v>
      </c>
      <c r="M118" s="715">
        <v>-9.1</v>
      </c>
      <c r="N118" s="715">
        <v>1</v>
      </c>
      <c r="O118" s="715">
        <v>20</v>
      </c>
      <c r="P118" s="715">
        <v>28.1</v>
      </c>
      <c r="Q118" s="715">
        <v>36.5</v>
      </c>
      <c r="R118" s="715">
        <v>39.5</v>
      </c>
      <c r="S118" s="715">
        <v>37.9</v>
      </c>
      <c r="T118" s="715" t="s">
        <v>642</v>
      </c>
      <c r="U118" s="715" t="s">
        <v>642</v>
      </c>
    </row>
    <row r="119" spans="1:21" x14ac:dyDescent="0.3">
      <c r="A119" s="735" t="s">
        <v>1073</v>
      </c>
      <c r="B119" s="715" t="s">
        <v>642</v>
      </c>
      <c r="C119" s="715" t="s">
        <v>642</v>
      </c>
      <c r="D119" s="715" t="s">
        <v>642</v>
      </c>
      <c r="E119" s="715" t="s">
        <v>642</v>
      </c>
      <c r="F119" s="715" t="s">
        <v>642</v>
      </c>
      <c r="G119" s="715" t="s">
        <v>642</v>
      </c>
      <c r="H119" s="715" t="s">
        <v>642</v>
      </c>
      <c r="I119" s="715" t="s">
        <v>642</v>
      </c>
      <c r="J119" s="715" t="s">
        <v>642</v>
      </c>
      <c r="K119" s="715" t="s">
        <v>642</v>
      </c>
      <c r="L119" s="715" t="s">
        <v>642</v>
      </c>
      <c r="M119" s="715" t="s">
        <v>642</v>
      </c>
      <c r="N119" s="715" t="s">
        <v>642</v>
      </c>
      <c r="O119" s="715" t="s">
        <v>642</v>
      </c>
      <c r="P119" s="715" t="s">
        <v>642</v>
      </c>
      <c r="Q119" s="715" t="s">
        <v>642</v>
      </c>
      <c r="R119" s="715" t="s">
        <v>642</v>
      </c>
      <c r="S119" s="715" t="s">
        <v>642</v>
      </c>
      <c r="T119" s="715" t="s">
        <v>642</v>
      </c>
      <c r="U119" s="715" t="s">
        <v>642</v>
      </c>
    </row>
    <row r="120" spans="1:21" x14ac:dyDescent="0.3">
      <c r="A120" s="735" t="s">
        <v>963</v>
      </c>
      <c r="B120" s="715" t="s">
        <v>642</v>
      </c>
      <c r="C120" s="715" t="s">
        <v>642</v>
      </c>
      <c r="D120" s="715" t="s">
        <v>642</v>
      </c>
      <c r="E120" s="715" t="s">
        <v>642</v>
      </c>
      <c r="F120" s="715" t="s">
        <v>642</v>
      </c>
      <c r="G120" s="715" t="s">
        <v>642</v>
      </c>
      <c r="H120" s="715" t="s">
        <v>642</v>
      </c>
      <c r="I120" s="715" t="s">
        <v>642</v>
      </c>
      <c r="J120" s="715" t="s">
        <v>642</v>
      </c>
      <c r="K120" s="715" t="s">
        <v>642</v>
      </c>
      <c r="L120" s="715" t="s">
        <v>642</v>
      </c>
      <c r="M120" s="715" t="s">
        <v>642</v>
      </c>
      <c r="N120" s="715" t="s">
        <v>642</v>
      </c>
      <c r="O120" s="715" t="s">
        <v>642</v>
      </c>
      <c r="P120" s="715" t="s">
        <v>642</v>
      </c>
      <c r="Q120" s="715" t="s">
        <v>642</v>
      </c>
      <c r="R120" s="715" t="s">
        <v>642</v>
      </c>
      <c r="S120" s="715" t="s">
        <v>642</v>
      </c>
      <c r="T120" s="715" t="s">
        <v>642</v>
      </c>
      <c r="U120" s="715" t="s">
        <v>642</v>
      </c>
    </row>
    <row r="121" spans="1:21" x14ac:dyDescent="0.3">
      <c r="A121" s="735" t="s">
        <v>1074</v>
      </c>
      <c r="B121" s="715" t="s">
        <v>642</v>
      </c>
      <c r="C121" s="715" t="s">
        <v>642</v>
      </c>
      <c r="D121" s="715" t="s">
        <v>642</v>
      </c>
      <c r="E121" s="715" t="s">
        <v>642</v>
      </c>
      <c r="F121" s="715" t="s">
        <v>642</v>
      </c>
      <c r="G121" s="715" t="s">
        <v>642</v>
      </c>
      <c r="H121" s="715" t="s">
        <v>642</v>
      </c>
      <c r="I121" s="715" t="s">
        <v>642</v>
      </c>
      <c r="J121" s="715" t="s">
        <v>642</v>
      </c>
      <c r="K121" s="715" t="s">
        <v>642</v>
      </c>
      <c r="L121" s="715" t="s">
        <v>642</v>
      </c>
      <c r="M121" s="715" t="s">
        <v>642</v>
      </c>
      <c r="N121" s="715" t="s">
        <v>642</v>
      </c>
      <c r="O121" s="715" t="s">
        <v>642</v>
      </c>
      <c r="P121" s="715" t="s">
        <v>642</v>
      </c>
      <c r="Q121" s="715" t="s">
        <v>642</v>
      </c>
      <c r="R121" s="715" t="s">
        <v>642</v>
      </c>
      <c r="S121" s="715" t="s">
        <v>642</v>
      </c>
      <c r="T121" s="715" t="s">
        <v>642</v>
      </c>
      <c r="U121" s="715" t="s">
        <v>642</v>
      </c>
    </row>
    <row r="122" spans="1:21" x14ac:dyDescent="0.3">
      <c r="A122" s="735" t="s">
        <v>963</v>
      </c>
      <c r="B122" s="715" t="s">
        <v>642</v>
      </c>
      <c r="C122" s="715" t="s">
        <v>642</v>
      </c>
      <c r="D122" s="715" t="s">
        <v>642</v>
      </c>
      <c r="E122" s="715" t="s">
        <v>642</v>
      </c>
      <c r="F122" s="715" t="s">
        <v>642</v>
      </c>
      <c r="G122" s="715" t="s">
        <v>642</v>
      </c>
      <c r="H122" s="715" t="s">
        <v>642</v>
      </c>
      <c r="I122" s="715" t="s">
        <v>642</v>
      </c>
      <c r="J122" s="715" t="s">
        <v>642</v>
      </c>
      <c r="K122" s="715" t="s">
        <v>642</v>
      </c>
      <c r="L122" s="715" t="s">
        <v>642</v>
      </c>
      <c r="M122" s="715" t="s">
        <v>642</v>
      </c>
      <c r="N122" s="715" t="s">
        <v>642</v>
      </c>
      <c r="O122" s="715" t="s">
        <v>642</v>
      </c>
      <c r="P122" s="715" t="s">
        <v>642</v>
      </c>
      <c r="Q122" s="715" t="s">
        <v>642</v>
      </c>
      <c r="R122" s="715" t="s">
        <v>642</v>
      </c>
      <c r="S122" s="715" t="s">
        <v>642</v>
      </c>
      <c r="T122" s="715" t="s">
        <v>642</v>
      </c>
      <c r="U122" s="715" t="s">
        <v>642</v>
      </c>
    </row>
    <row r="123" spans="1:21" x14ac:dyDescent="0.3">
      <c r="A123" s="735" t="s">
        <v>971</v>
      </c>
      <c r="B123" s="715" t="s">
        <v>642</v>
      </c>
      <c r="C123" s="715" t="s">
        <v>642</v>
      </c>
      <c r="D123" s="715" t="s">
        <v>642</v>
      </c>
      <c r="E123" s="715" t="s">
        <v>642</v>
      </c>
      <c r="F123" s="715" t="s">
        <v>642</v>
      </c>
      <c r="G123" s="715" t="s">
        <v>642</v>
      </c>
      <c r="H123" s="715" t="s">
        <v>642</v>
      </c>
      <c r="I123" s="715" t="s">
        <v>642</v>
      </c>
      <c r="J123" s="715" t="s">
        <v>642</v>
      </c>
      <c r="K123" s="715" t="s">
        <v>642</v>
      </c>
      <c r="L123" s="715" t="s">
        <v>642</v>
      </c>
      <c r="M123" s="715" t="s">
        <v>642</v>
      </c>
      <c r="N123" s="715" t="s">
        <v>642</v>
      </c>
      <c r="O123" s="715" t="s">
        <v>642</v>
      </c>
      <c r="P123" s="715" t="s">
        <v>642</v>
      </c>
      <c r="Q123" s="715" t="s">
        <v>642</v>
      </c>
      <c r="R123" s="715" t="s">
        <v>642</v>
      </c>
      <c r="S123" s="715" t="s">
        <v>642</v>
      </c>
      <c r="T123" s="715" t="s">
        <v>642</v>
      </c>
      <c r="U123" s="715" t="s">
        <v>642</v>
      </c>
    </row>
    <row r="124" spans="1:21" x14ac:dyDescent="0.3">
      <c r="A124" s="735" t="s">
        <v>1079</v>
      </c>
      <c r="B124" s="715" t="s">
        <v>642</v>
      </c>
      <c r="C124" s="715" t="s">
        <v>642</v>
      </c>
      <c r="D124" s="715" t="s">
        <v>642</v>
      </c>
      <c r="E124" s="715" t="s">
        <v>642</v>
      </c>
      <c r="F124" s="715" t="s">
        <v>642</v>
      </c>
      <c r="G124" s="715" t="s">
        <v>642</v>
      </c>
      <c r="H124" s="715" t="s">
        <v>642</v>
      </c>
      <c r="I124" s="715" t="s">
        <v>642</v>
      </c>
      <c r="J124" s="715" t="s">
        <v>642</v>
      </c>
      <c r="K124" s="715" t="s">
        <v>642</v>
      </c>
      <c r="L124" s="715" t="s">
        <v>642</v>
      </c>
      <c r="M124" s="715" t="s">
        <v>642</v>
      </c>
      <c r="N124" s="715" t="s">
        <v>642</v>
      </c>
      <c r="O124" s="715" t="s">
        <v>642</v>
      </c>
      <c r="P124" s="715" t="s">
        <v>642</v>
      </c>
      <c r="Q124" s="715" t="s">
        <v>642</v>
      </c>
      <c r="R124" s="715" t="s">
        <v>642</v>
      </c>
      <c r="S124" s="715" t="s">
        <v>642</v>
      </c>
      <c r="T124" s="715" t="s">
        <v>642</v>
      </c>
      <c r="U124" s="715" t="s">
        <v>642</v>
      </c>
    </row>
    <row r="125" spans="1:21" x14ac:dyDescent="0.3">
      <c r="A125" s="741" t="s">
        <v>811</v>
      </c>
      <c r="B125" s="723" t="s">
        <v>642</v>
      </c>
      <c r="C125" s="723" t="s">
        <v>642</v>
      </c>
      <c r="D125" s="723" t="s">
        <v>642</v>
      </c>
      <c r="E125" s="723" t="s">
        <v>642</v>
      </c>
      <c r="F125" s="723" t="s">
        <v>642</v>
      </c>
      <c r="G125" s="723" t="s">
        <v>642</v>
      </c>
      <c r="H125" s="723" t="s">
        <v>642</v>
      </c>
      <c r="I125" s="723" t="s">
        <v>642</v>
      </c>
      <c r="J125" s="723" t="s">
        <v>642</v>
      </c>
      <c r="K125" s="723" t="s">
        <v>642</v>
      </c>
      <c r="L125" s="723" t="s">
        <v>642</v>
      </c>
      <c r="M125" s="723" t="s">
        <v>642</v>
      </c>
      <c r="N125" s="723" t="s">
        <v>642</v>
      </c>
      <c r="O125" s="723" t="s">
        <v>642</v>
      </c>
      <c r="P125" s="723" t="s">
        <v>642</v>
      </c>
      <c r="Q125" s="723" t="s">
        <v>642</v>
      </c>
      <c r="R125" s="723" t="s">
        <v>642</v>
      </c>
      <c r="S125" s="723" t="s">
        <v>642</v>
      </c>
      <c r="T125" s="723" t="s">
        <v>642</v>
      </c>
      <c r="U125" s="723" t="s">
        <v>642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12"/>
  <sheetViews>
    <sheetView showGridLines="0" workbookViewId="0"/>
  </sheetViews>
  <sheetFormatPr defaultRowHeight="14" x14ac:dyDescent="0.3"/>
  <cols>
    <col min="1" max="1" width="36" bestFit="1" customWidth="1"/>
    <col min="2" max="19" width="11.58203125" bestFit="1" customWidth="1"/>
    <col min="20" max="21" width="11.75" bestFit="1" customWidth="1"/>
  </cols>
  <sheetData>
    <row r="1" spans="1:24" ht="60" x14ac:dyDescent="0.4">
      <c r="A1" s="726" t="s">
        <v>1106</v>
      </c>
      <c r="B1" s="703"/>
      <c r="C1" s="703"/>
      <c r="D1" s="703"/>
      <c r="E1" s="703"/>
      <c r="F1" s="703"/>
      <c r="G1" s="703"/>
      <c r="H1" s="702" t="s">
        <v>642</v>
      </c>
      <c r="I1" s="702" t="s">
        <v>642</v>
      </c>
      <c r="J1" s="702" t="s">
        <v>642</v>
      </c>
      <c r="K1" s="702" t="s">
        <v>642</v>
      </c>
      <c r="L1" s="702" t="s">
        <v>642</v>
      </c>
      <c r="M1" s="702" t="s">
        <v>642</v>
      </c>
      <c r="N1" s="702" t="s">
        <v>642</v>
      </c>
      <c r="O1" s="702" t="s">
        <v>642</v>
      </c>
      <c r="P1" s="702" t="s">
        <v>642</v>
      </c>
      <c r="Q1" s="702" t="s">
        <v>642</v>
      </c>
      <c r="R1" s="702" t="s">
        <v>642</v>
      </c>
      <c r="S1" s="702" t="s">
        <v>642</v>
      </c>
      <c r="T1" s="702" t="s">
        <v>642</v>
      </c>
      <c r="U1" s="702" t="s">
        <v>642</v>
      </c>
      <c r="V1" s="702" t="s">
        <v>642</v>
      </c>
      <c r="W1" s="702" t="s">
        <v>642</v>
      </c>
      <c r="X1" s="702" t="s">
        <v>642</v>
      </c>
    </row>
    <row r="2" spans="1:24" ht="39.5" x14ac:dyDescent="0.35">
      <c r="A2" s="788" t="s">
        <v>1107</v>
      </c>
      <c r="B2" s="745"/>
      <c r="C2" s="745"/>
      <c r="D2" s="745"/>
      <c r="E2" s="745"/>
      <c r="F2" s="745"/>
      <c r="G2" s="745"/>
      <c r="H2" s="745"/>
      <c r="I2" s="745"/>
      <c r="J2" s="745"/>
      <c r="K2" s="745"/>
      <c r="L2" s="745"/>
      <c r="M2" s="745"/>
      <c r="N2" s="745"/>
      <c r="O2" s="745"/>
      <c r="P2" s="745"/>
      <c r="Q2" s="745"/>
      <c r="R2" s="745"/>
      <c r="S2" s="745"/>
      <c r="T2" s="745"/>
      <c r="U2" s="745"/>
      <c r="V2" s="745"/>
      <c r="W2" s="745"/>
      <c r="X2" s="743"/>
    </row>
    <row r="3" spans="1:24" x14ac:dyDescent="0.3">
      <c r="A3" s="729" t="s">
        <v>980</v>
      </c>
      <c r="B3" s="706" t="s">
        <v>984</v>
      </c>
      <c r="C3" s="706" t="s">
        <v>985</v>
      </c>
      <c r="D3" s="706" t="s">
        <v>986</v>
      </c>
      <c r="E3" s="706" t="s">
        <v>987</v>
      </c>
      <c r="F3" s="706" t="s">
        <v>988</v>
      </c>
      <c r="G3" s="706" t="s">
        <v>989</v>
      </c>
      <c r="H3" s="706" t="s">
        <v>990</v>
      </c>
      <c r="I3" s="706" t="s">
        <v>991</v>
      </c>
      <c r="J3" s="706" t="s">
        <v>992</v>
      </c>
      <c r="K3" s="706" t="s">
        <v>993</v>
      </c>
      <c r="L3" s="706" t="s">
        <v>994</v>
      </c>
      <c r="M3" s="706" t="s">
        <v>995</v>
      </c>
      <c r="N3" s="706" t="s">
        <v>996</v>
      </c>
      <c r="O3" s="706" t="s">
        <v>997</v>
      </c>
      <c r="P3" s="706" t="s">
        <v>998</v>
      </c>
      <c r="Q3" s="706" t="s">
        <v>1069</v>
      </c>
      <c r="R3" s="706" t="s">
        <v>1070</v>
      </c>
      <c r="S3" s="706" t="s">
        <v>1108</v>
      </c>
      <c r="T3" s="706" t="s">
        <v>1072</v>
      </c>
      <c r="U3" s="706" t="s">
        <v>1109</v>
      </c>
    </row>
    <row r="4" spans="1:24" x14ac:dyDescent="0.3">
      <c r="A4" s="731" t="s">
        <v>1001</v>
      </c>
      <c r="B4" s="708">
        <v>44104</v>
      </c>
      <c r="C4" s="708">
        <v>44196</v>
      </c>
      <c r="D4" s="708">
        <v>44286</v>
      </c>
      <c r="E4" s="708">
        <v>44377</v>
      </c>
      <c r="F4" s="708">
        <v>44469</v>
      </c>
      <c r="G4" s="708">
        <v>44561</v>
      </c>
      <c r="H4" s="708">
        <v>44651</v>
      </c>
      <c r="I4" s="708">
        <v>44742</v>
      </c>
      <c r="J4" s="708">
        <v>44834</v>
      </c>
      <c r="K4" s="708">
        <v>44926</v>
      </c>
      <c r="L4" s="708">
        <v>45016</v>
      </c>
      <c r="M4" s="708">
        <v>45107</v>
      </c>
      <c r="N4" s="708">
        <v>45199</v>
      </c>
      <c r="O4" s="708">
        <v>45291</v>
      </c>
      <c r="P4" s="708">
        <v>45382</v>
      </c>
      <c r="Q4" s="708">
        <v>45473</v>
      </c>
      <c r="R4" s="708">
        <v>45565</v>
      </c>
      <c r="S4" s="708">
        <v>45657</v>
      </c>
      <c r="T4" s="708">
        <v>45747</v>
      </c>
      <c r="U4" s="708">
        <v>45838</v>
      </c>
    </row>
    <row r="5" spans="1:24" x14ac:dyDescent="0.3">
      <c r="A5" s="735" t="s">
        <v>961</v>
      </c>
      <c r="B5" s="715" t="s">
        <v>642</v>
      </c>
      <c r="C5" s="715" t="s">
        <v>642</v>
      </c>
      <c r="D5" s="715" t="s">
        <v>642</v>
      </c>
      <c r="E5" s="715" t="s">
        <v>642</v>
      </c>
      <c r="F5" s="715" t="s">
        <v>642</v>
      </c>
      <c r="G5" s="715" t="s">
        <v>642</v>
      </c>
      <c r="H5" s="715" t="s">
        <v>642</v>
      </c>
      <c r="I5" s="715" t="s">
        <v>642</v>
      </c>
      <c r="J5" s="715" t="s">
        <v>642</v>
      </c>
      <c r="K5" s="715" t="s">
        <v>642</v>
      </c>
      <c r="L5" s="715" t="s">
        <v>642</v>
      </c>
      <c r="M5" s="715" t="s">
        <v>642</v>
      </c>
      <c r="N5" s="715" t="s">
        <v>642</v>
      </c>
      <c r="O5" s="715" t="s">
        <v>642</v>
      </c>
      <c r="P5" s="715" t="s">
        <v>642</v>
      </c>
      <c r="Q5" s="716">
        <v>3770873.36</v>
      </c>
      <c r="R5" s="716">
        <v>4374655.7300000004</v>
      </c>
      <c r="S5" s="716">
        <v>4131011.22</v>
      </c>
      <c r="T5" s="715" t="s">
        <v>642</v>
      </c>
      <c r="U5" s="715" t="s">
        <v>642</v>
      </c>
    </row>
    <row r="6" spans="1:24" x14ac:dyDescent="0.3">
      <c r="A6" s="735" t="s">
        <v>1110</v>
      </c>
      <c r="B6" s="715" t="s">
        <v>642</v>
      </c>
      <c r="C6" s="715" t="s">
        <v>642</v>
      </c>
      <c r="D6" s="715" t="s">
        <v>642</v>
      </c>
      <c r="E6" s="715" t="s">
        <v>642</v>
      </c>
      <c r="F6" s="715" t="s">
        <v>642</v>
      </c>
      <c r="G6" s="715" t="s">
        <v>642</v>
      </c>
      <c r="H6" s="715" t="s">
        <v>642</v>
      </c>
      <c r="I6" s="715" t="s">
        <v>642</v>
      </c>
      <c r="J6" s="715" t="s">
        <v>642</v>
      </c>
      <c r="K6" s="715" t="s">
        <v>642</v>
      </c>
      <c r="L6" s="715" t="s">
        <v>642</v>
      </c>
      <c r="M6" s="715" t="s">
        <v>642</v>
      </c>
      <c r="N6" s="715" t="s">
        <v>642</v>
      </c>
      <c r="O6" s="715" t="s">
        <v>642</v>
      </c>
      <c r="P6" s="715" t="s">
        <v>642</v>
      </c>
      <c r="Q6" s="716">
        <v>1962971.13</v>
      </c>
      <c r="R6" s="716">
        <v>2494224.46</v>
      </c>
      <c r="S6" s="716">
        <v>2558739.31</v>
      </c>
      <c r="T6" s="715" t="s">
        <v>642</v>
      </c>
      <c r="U6" s="715" t="s">
        <v>642</v>
      </c>
    </row>
    <row r="7" spans="1:24" x14ac:dyDescent="0.3">
      <c r="A7" s="735" t="s">
        <v>963</v>
      </c>
      <c r="B7" s="715" t="s">
        <v>642</v>
      </c>
      <c r="C7" s="715" t="s">
        <v>642</v>
      </c>
      <c r="D7" s="715" t="s">
        <v>642</v>
      </c>
      <c r="E7" s="715" t="s">
        <v>642</v>
      </c>
      <c r="F7" s="715" t="s">
        <v>642</v>
      </c>
      <c r="G7" s="715" t="s">
        <v>642</v>
      </c>
      <c r="H7" s="715" t="s">
        <v>642</v>
      </c>
      <c r="I7" s="715" t="s">
        <v>642</v>
      </c>
      <c r="J7" s="715" t="s">
        <v>642</v>
      </c>
      <c r="K7" s="715" t="s">
        <v>642</v>
      </c>
      <c r="L7" s="715" t="s">
        <v>642</v>
      </c>
      <c r="M7" s="715" t="s">
        <v>642</v>
      </c>
      <c r="N7" s="715" t="s">
        <v>642</v>
      </c>
      <c r="O7" s="715" t="s">
        <v>642</v>
      </c>
      <c r="P7" s="715" t="s">
        <v>642</v>
      </c>
      <c r="Q7" s="715">
        <v>52.06</v>
      </c>
      <c r="R7" s="715">
        <v>57.02</v>
      </c>
      <c r="S7" s="715">
        <v>61.94</v>
      </c>
      <c r="T7" s="715" t="s">
        <v>642</v>
      </c>
      <c r="U7" s="715" t="s">
        <v>642</v>
      </c>
    </row>
    <row r="8" spans="1:24" x14ac:dyDescent="0.3">
      <c r="A8" s="735" t="s">
        <v>1111</v>
      </c>
      <c r="B8" s="715" t="s">
        <v>642</v>
      </c>
      <c r="C8" s="715" t="s">
        <v>642</v>
      </c>
      <c r="D8" s="715" t="s">
        <v>642</v>
      </c>
      <c r="E8" s="715" t="s">
        <v>642</v>
      </c>
      <c r="F8" s="715" t="s">
        <v>642</v>
      </c>
      <c r="G8" s="715" t="s">
        <v>642</v>
      </c>
      <c r="H8" s="715" t="s">
        <v>642</v>
      </c>
      <c r="I8" s="715" t="s">
        <v>642</v>
      </c>
      <c r="J8" s="715" t="s">
        <v>642</v>
      </c>
      <c r="K8" s="715" t="s">
        <v>642</v>
      </c>
      <c r="L8" s="715" t="s">
        <v>642</v>
      </c>
      <c r="M8" s="715" t="s">
        <v>642</v>
      </c>
      <c r="N8" s="715" t="s">
        <v>642</v>
      </c>
      <c r="O8" s="715" t="s">
        <v>642</v>
      </c>
      <c r="P8" s="715" t="s">
        <v>642</v>
      </c>
      <c r="Q8" s="716">
        <v>1336552.96</v>
      </c>
      <c r="R8" s="716">
        <v>1387886.69</v>
      </c>
      <c r="S8" s="716">
        <v>1075127.17</v>
      </c>
      <c r="T8" s="715" t="s">
        <v>642</v>
      </c>
      <c r="U8" s="715" t="s">
        <v>642</v>
      </c>
    </row>
    <row r="9" spans="1:24" x14ac:dyDescent="0.3">
      <c r="A9" s="735" t="s">
        <v>963</v>
      </c>
      <c r="B9" s="715" t="s">
        <v>642</v>
      </c>
      <c r="C9" s="715" t="s">
        <v>642</v>
      </c>
      <c r="D9" s="715" t="s">
        <v>642</v>
      </c>
      <c r="E9" s="715" t="s">
        <v>642</v>
      </c>
      <c r="F9" s="715" t="s">
        <v>642</v>
      </c>
      <c r="G9" s="715" t="s">
        <v>642</v>
      </c>
      <c r="H9" s="715" t="s">
        <v>642</v>
      </c>
      <c r="I9" s="715" t="s">
        <v>642</v>
      </c>
      <c r="J9" s="715" t="s">
        <v>642</v>
      </c>
      <c r="K9" s="715" t="s">
        <v>642</v>
      </c>
      <c r="L9" s="715" t="s">
        <v>642</v>
      </c>
      <c r="M9" s="715" t="s">
        <v>642</v>
      </c>
      <c r="N9" s="715" t="s">
        <v>642</v>
      </c>
      <c r="O9" s="715" t="s">
        <v>642</v>
      </c>
      <c r="P9" s="715" t="s">
        <v>642</v>
      </c>
      <c r="Q9" s="715">
        <v>35.44</v>
      </c>
      <c r="R9" s="715">
        <v>31.73</v>
      </c>
      <c r="S9" s="715">
        <v>26.03</v>
      </c>
      <c r="T9" s="715" t="s">
        <v>642</v>
      </c>
      <c r="U9" s="715" t="s">
        <v>642</v>
      </c>
    </row>
    <row r="10" spans="1:24" x14ac:dyDescent="0.3">
      <c r="A10" s="735" t="s">
        <v>1112</v>
      </c>
      <c r="B10" s="715" t="s">
        <v>642</v>
      </c>
      <c r="C10" s="715" t="s">
        <v>642</v>
      </c>
      <c r="D10" s="715" t="s">
        <v>642</v>
      </c>
      <c r="E10" s="715" t="s">
        <v>642</v>
      </c>
      <c r="F10" s="715" t="s">
        <v>642</v>
      </c>
      <c r="G10" s="715" t="s">
        <v>642</v>
      </c>
      <c r="H10" s="715" t="s">
        <v>642</v>
      </c>
      <c r="I10" s="715" t="s">
        <v>642</v>
      </c>
      <c r="J10" s="715" t="s">
        <v>642</v>
      </c>
      <c r="K10" s="715" t="s">
        <v>642</v>
      </c>
      <c r="L10" s="715" t="s">
        <v>642</v>
      </c>
      <c r="M10" s="715" t="s">
        <v>642</v>
      </c>
      <c r="N10" s="715" t="s">
        <v>642</v>
      </c>
      <c r="O10" s="715" t="s">
        <v>642</v>
      </c>
      <c r="P10" s="715" t="s">
        <v>642</v>
      </c>
      <c r="Q10" s="716">
        <v>471349.27</v>
      </c>
      <c r="R10" s="716">
        <v>492544.59</v>
      </c>
      <c r="S10" s="716">
        <v>497144.75</v>
      </c>
      <c r="T10" s="715" t="s">
        <v>642</v>
      </c>
      <c r="U10" s="715" t="s">
        <v>642</v>
      </c>
    </row>
    <row r="11" spans="1:24" x14ac:dyDescent="0.3">
      <c r="A11" s="735" t="s">
        <v>963</v>
      </c>
      <c r="B11" s="715" t="s">
        <v>642</v>
      </c>
      <c r="C11" s="715" t="s">
        <v>642</v>
      </c>
      <c r="D11" s="715" t="s">
        <v>642</v>
      </c>
      <c r="E11" s="715" t="s">
        <v>642</v>
      </c>
      <c r="F11" s="715" t="s">
        <v>642</v>
      </c>
      <c r="G11" s="715" t="s">
        <v>642</v>
      </c>
      <c r="H11" s="715" t="s">
        <v>642</v>
      </c>
      <c r="I11" s="715" t="s">
        <v>642</v>
      </c>
      <c r="J11" s="715" t="s">
        <v>642</v>
      </c>
      <c r="K11" s="715" t="s">
        <v>642</v>
      </c>
      <c r="L11" s="715" t="s">
        <v>642</v>
      </c>
      <c r="M11" s="715" t="s">
        <v>642</v>
      </c>
      <c r="N11" s="715" t="s">
        <v>642</v>
      </c>
      <c r="O11" s="715" t="s">
        <v>642</v>
      </c>
      <c r="P11" s="715" t="s">
        <v>642</v>
      </c>
      <c r="Q11" s="715">
        <v>12.5</v>
      </c>
      <c r="R11" s="715">
        <v>11.26</v>
      </c>
      <c r="S11" s="715">
        <v>12.03</v>
      </c>
      <c r="T11" s="715" t="s">
        <v>642</v>
      </c>
      <c r="U11" s="715" t="s">
        <v>642</v>
      </c>
    </row>
    <row r="12" spans="1:24" x14ac:dyDescent="0.3">
      <c r="A12" s="741" t="s">
        <v>811</v>
      </c>
      <c r="B12" s="723" t="s">
        <v>642</v>
      </c>
      <c r="C12" s="723" t="s">
        <v>642</v>
      </c>
      <c r="D12" s="723" t="s">
        <v>642</v>
      </c>
      <c r="E12" s="723" t="s">
        <v>642</v>
      </c>
      <c r="F12" s="723" t="s">
        <v>642</v>
      </c>
      <c r="G12" s="723" t="s">
        <v>642</v>
      </c>
      <c r="H12" s="723" t="s">
        <v>642</v>
      </c>
      <c r="I12" s="723" t="s">
        <v>642</v>
      </c>
      <c r="J12" s="723" t="s">
        <v>642</v>
      </c>
      <c r="K12" s="723" t="s">
        <v>642</v>
      </c>
      <c r="L12" s="723" t="s">
        <v>642</v>
      </c>
      <c r="M12" s="723" t="s">
        <v>642</v>
      </c>
      <c r="N12" s="723" t="s">
        <v>642</v>
      </c>
      <c r="O12" s="723" t="s">
        <v>642</v>
      </c>
      <c r="P12" s="723" t="s">
        <v>642</v>
      </c>
      <c r="Q12" s="723" t="s">
        <v>642</v>
      </c>
      <c r="R12" s="723" t="s">
        <v>642</v>
      </c>
      <c r="S12" s="723" t="s">
        <v>642</v>
      </c>
      <c r="T12" s="723" t="s">
        <v>642</v>
      </c>
      <c r="U12" s="723" t="s">
        <v>642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273"/>
  <sheetViews>
    <sheetView showGridLines="0" workbookViewId="0"/>
  </sheetViews>
  <sheetFormatPr defaultRowHeight="14" x14ac:dyDescent="0.3"/>
  <cols>
    <col min="1" max="1" width="36" bestFit="1" customWidth="1"/>
    <col min="2" max="18" width="15.25" bestFit="1" customWidth="1"/>
    <col min="19" max="21" width="12" bestFit="1" customWidth="1"/>
  </cols>
  <sheetData>
    <row r="1" spans="1:24" ht="60" x14ac:dyDescent="0.4">
      <c r="A1" s="726" t="s">
        <v>1113</v>
      </c>
      <c r="B1" s="703"/>
      <c r="C1" s="703"/>
      <c r="D1" s="703"/>
      <c r="E1" s="703"/>
      <c r="F1" s="703"/>
      <c r="G1" s="703"/>
      <c r="H1" s="702" t="s">
        <v>642</v>
      </c>
      <c r="I1" s="702" t="s">
        <v>642</v>
      </c>
      <c r="J1" s="702" t="s">
        <v>642</v>
      </c>
      <c r="K1" s="702" t="s">
        <v>642</v>
      </c>
      <c r="L1" s="702" t="s">
        <v>642</v>
      </c>
      <c r="M1" s="702" t="s">
        <v>642</v>
      </c>
      <c r="N1" s="702" t="s">
        <v>642</v>
      </c>
      <c r="O1" s="702" t="s">
        <v>642</v>
      </c>
      <c r="P1" s="702" t="s">
        <v>642</v>
      </c>
      <c r="Q1" s="702" t="s">
        <v>642</v>
      </c>
      <c r="R1" s="702" t="s">
        <v>642</v>
      </c>
      <c r="S1" s="702" t="s">
        <v>642</v>
      </c>
      <c r="T1" s="702" t="s">
        <v>642</v>
      </c>
      <c r="U1" s="702" t="s">
        <v>642</v>
      </c>
      <c r="V1" s="702" t="s">
        <v>642</v>
      </c>
      <c r="W1" s="702" t="s">
        <v>642</v>
      </c>
      <c r="X1" s="702" t="s">
        <v>642</v>
      </c>
    </row>
    <row r="2" spans="1:24" ht="39.5" x14ac:dyDescent="0.35">
      <c r="A2" s="788" t="s">
        <v>1114</v>
      </c>
      <c r="B2" s="745"/>
      <c r="C2" s="745"/>
      <c r="D2" s="745"/>
      <c r="E2" s="745"/>
      <c r="F2" s="745"/>
      <c r="G2" s="745"/>
      <c r="H2" s="745"/>
      <c r="I2" s="745"/>
      <c r="J2" s="745"/>
      <c r="K2" s="745"/>
      <c r="L2" s="745"/>
      <c r="M2" s="745"/>
      <c r="N2" s="745"/>
      <c r="O2" s="745"/>
      <c r="P2" s="745"/>
      <c r="Q2" s="745"/>
      <c r="R2" s="745"/>
      <c r="S2" s="745"/>
      <c r="T2" s="745"/>
      <c r="U2" s="745"/>
      <c r="V2" s="745"/>
      <c r="W2" s="745"/>
      <c r="X2" s="743"/>
    </row>
    <row r="3" spans="1:24" x14ac:dyDescent="0.3">
      <c r="A3" s="729" t="s">
        <v>980</v>
      </c>
      <c r="B3" s="706" t="s">
        <v>981</v>
      </c>
      <c r="C3" s="706" t="s">
        <v>982</v>
      </c>
      <c r="D3" s="706" t="s">
        <v>983</v>
      </c>
      <c r="E3" s="706" t="s">
        <v>984</v>
      </c>
      <c r="F3" s="706" t="s">
        <v>985</v>
      </c>
      <c r="G3" s="706" t="s">
        <v>986</v>
      </c>
      <c r="H3" s="706" t="s">
        <v>987</v>
      </c>
      <c r="I3" s="706" t="s">
        <v>988</v>
      </c>
      <c r="J3" s="706" t="s">
        <v>989</v>
      </c>
      <c r="K3" s="706" t="s">
        <v>990</v>
      </c>
      <c r="L3" s="706" t="s">
        <v>991</v>
      </c>
      <c r="M3" s="706" t="s">
        <v>992</v>
      </c>
      <c r="N3" s="706" t="s">
        <v>993</v>
      </c>
      <c r="O3" s="706" t="s">
        <v>994</v>
      </c>
      <c r="P3" s="706" t="s">
        <v>995</v>
      </c>
      <c r="Q3" s="706" t="s">
        <v>996</v>
      </c>
      <c r="R3" s="706" t="s">
        <v>997</v>
      </c>
      <c r="S3" s="706" t="s">
        <v>998</v>
      </c>
      <c r="T3" s="706" t="s">
        <v>999</v>
      </c>
      <c r="U3" s="706" t="s">
        <v>1000</v>
      </c>
    </row>
    <row r="4" spans="1:24" x14ac:dyDescent="0.3">
      <c r="A4" s="731" t="s">
        <v>1001</v>
      </c>
      <c r="B4" s="708">
        <v>44104</v>
      </c>
      <c r="C4" s="708">
        <v>44196</v>
      </c>
      <c r="D4" s="708">
        <v>44286</v>
      </c>
      <c r="E4" s="708">
        <v>44377</v>
      </c>
      <c r="F4" s="708">
        <v>44469</v>
      </c>
      <c r="G4" s="708">
        <v>44561</v>
      </c>
      <c r="H4" s="708">
        <v>44651</v>
      </c>
      <c r="I4" s="708">
        <v>44742</v>
      </c>
      <c r="J4" s="708">
        <v>44834</v>
      </c>
      <c r="K4" s="708">
        <v>44926</v>
      </c>
      <c r="L4" s="708">
        <v>45016</v>
      </c>
      <c r="M4" s="708">
        <v>45107</v>
      </c>
      <c r="N4" s="708">
        <v>45199</v>
      </c>
      <c r="O4" s="708">
        <v>45291</v>
      </c>
      <c r="P4" s="708">
        <v>45382</v>
      </c>
      <c r="Q4" s="708">
        <v>45473</v>
      </c>
      <c r="R4" s="708">
        <v>45565</v>
      </c>
      <c r="S4" s="708">
        <v>45657</v>
      </c>
      <c r="T4" s="708">
        <v>45747</v>
      </c>
      <c r="U4" s="708">
        <v>45838</v>
      </c>
    </row>
    <row r="5" spans="1:24" x14ac:dyDescent="0.3">
      <c r="A5" s="735" t="s">
        <v>961</v>
      </c>
      <c r="B5" s="716">
        <v>66964160</v>
      </c>
      <c r="C5" s="716">
        <v>61551508</v>
      </c>
      <c r="D5" s="716">
        <v>65388503</v>
      </c>
      <c r="E5" s="716">
        <v>63671585</v>
      </c>
      <c r="F5" s="716">
        <v>73979187</v>
      </c>
      <c r="G5" s="716">
        <v>76565524</v>
      </c>
      <c r="H5" s="716">
        <v>77781498</v>
      </c>
      <c r="I5" s="716">
        <v>77203607</v>
      </c>
      <c r="J5" s="716">
        <v>76781680</v>
      </c>
      <c r="K5" s="716">
        <v>70464575</v>
      </c>
      <c r="L5" s="716">
        <v>63745371</v>
      </c>
      <c r="M5" s="716">
        <v>60005533</v>
      </c>
      <c r="N5" s="716">
        <v>67404652</v>
      </c>
      <c r="O5" s="716">
        <v>67779938</v>
      </c>
      <c r="P5" s="716">
        <v>71915601</v>
      </c>
      <c r="Q5" s="716">
        <v>74068302</v>
      </c>
      <c r="R5" s="716">
        <v>79098731</v>
      </c>
      <c r="S5" s="716">
        <v>75788269</v>
      </c>
      <c r="T5" s="715" t="s">
        <v>642</v>
      </c>
      <c r="U5" s="715" t="s">
        <v>642</v>
      </c>
    </row>
    <row r="6" spans="1:24" x14ac:dyDescent="0.3">
      <c r="A6" s="735" t="s">
        <v>1115</v>
      </c>
      <c r="B6" s="716">
        <v>44580000</v>
      </c>
      <c r="C6" s="716">
        <v>35951489</v>
      </c>
      <c r="D6" s="716">
        <v>42193310</v>
      </c>
      <c r="E6" s="716">
        <v>36069814</v>
      </c>
      <c r="F6" s="716">
        <v>42521857</v>
      </c>
      <c r="G6" s="716">
        <v>44570000</v>
      </c>
      <c r="H6" s="716">
        <v>48070000</v>
      </c>
      <c r="I6" s="716">
        <v>44460000</v>
      </c>
      <c r="J6" s="716">
        <v>47260000</v>
      </c>
      <c r="K6" s="716">
        <v>42710000</v>
      </c>
      <c r="L6" s="716">
        <v>46220000</v>
      </c>
      <c r="M6" s="716">
        <v>40210000</v>
      </c>
      <c r="N6" s="716">
        <v>44020000</v>
      </c>
      <c r="O6" s="716">
        <v>39545913</v>
      </c>
      <c r="P6" s="716">
        <v>47290000</v>
      </c>
      <c r="Q6" s="716">
        <v>42070000</v>
      </c>
      <c r="R6" s="716">
        <v>44990000</v>
      </c>
      <c r="S6" s="716">
        <v>40542523</v>
      </c>
      <c r="T6" s="715" t="s">
        <v>642</v>
      </c>
      <c r="U6" s="715" t="s">
        <v>642</v>
      </c>
    </row>
    <row r="7" spans="1:24" x14ac:dyDescent="0.3">
      <c r="A7" s="735" t="s">
        <v>963</v>
      </c>
      <c r="B7" s="715">
        <v>66.569999999999993</v>
      </c>
      <c r="C7" s="715">
        <v>58.41</v>
      </c>
      <c r="D7" s="715">
        <v>64.53</v>
      </c>
      <c r="E7" s="715">
        <v>56.65</v>
      </c>
      <c r="F7" s="715">
        <v>57.48</v>
      </c>
      <c r="G7" s="715">
        <v>58.21</v>
      </c>
      <c r="H7" s="715">
        <v>61.8</v>
      </c>
      <c r="I7" s="715">
        <v>57.59</v>
      </c>
      <c r="J7" s="715">
        <v>61.55</v>
      </c>
      <c r="K7" s="715">
        <v>60.61</v>
      </c>
      <c r="L7" s="715">
        <v>72.510000000000005</v>
      </c>
      <c r="M7" s="715">
        <v>67.010000000000005</v>
      </c>
      <c r="N7" s="715">
        <v>65.31</v>
      </c>
      <c r="O7" s="715">
        <v>58.34</v>
      </c>
      <c r="P7" s="715">
        <v>65.760000000000005</v>
      </c>
      <c r="Q7" s="715">
        <v>56.8</v>
      </c>
      <c r="R7" s="715">
        <v>56.88</v>
      </c>
      <c r="S7" s="715">
        <v>53.49</v>
      </c>
      <c r="T7" s="715" t="s">
        <v>642</v>
      </c>
      <c r="U7" s="715" t="s">
        <v>642</v>
      </c>
    </row>
    <row r="8" spans="1:24" x14ac:dyDescent="0.3">
      <c r="A8" s="735" t="s">
        <v>1116</v>
      </c>
      <c r="B8" s="716">
        <v>30490000</v>
      </c>
      <c r="C8" s="716">
        <v>22340418</v>
      </c>
      <c r="D8" s="716">
        <v>29205966</v>
      </c>
      <c r="E8" s="716">
        <v>22673986</v>
      </c>
      <c r="F8" s="716">
        <v>28420036</v>
      </c>
      <c r="G8" s="716">
        <v>28950000</v>
      </c>
      <c r="H8" s="716">
        <v>32370000</v>
      </c>
      <c r="I8" s="716">
        <v>29340000</v>
      </c>
      <c r="J8" s="716">
        <v>32210000</v>
      </c>
      <c r="K8" s="716">
        <v>26900000</v>
      </c>
      <c r="L8" s="716">
        <v>31820000</v>
      </c>
      <c r="M8" s="716">
        <v>25550000</v>
      </c>
      <c r="N8" s="716">
        <v>30000000</v>
      </c>
      <c r="O8" s="716">
        <v>25040000</v>
      </c>
      <c r="P8" s="716">
        <v>33530000</v>
      </c>
      <c r="Q8" s="716">
        <v>27380000</v>
      </c>
      <c r="R8" s="716">
        <v>30520000</v>
      </c>
      <c r="S8" s="716">
        <v>25870000</v>
      </c>
      <c r="T8" s="715" t="s">
        <v>642</v>
      </c>
      <c r="U8" s="715" t="s">
        <v>642</v>
      </c>
    </row>
    <row r="9" spans="1:24" x14ac:dyDescent="0.3">
      <c r="A9" s="735" t="s">
        <v>1117</v>
      </c>
      <c r="B9" s="715">
        <v>45.53</v>
      </c>
      <c r="C9" s="715">
        <v>36.299999999999997</v>
      </c>
      <c r="D9" s="715">
        <v>44.67</v>
      </c>
      <c r="E9" s="715">
        <v>35.61</v>
      </c>
      <c r="F9" s="715">
        <v>38.42</v>
      </c>
      <c r="G9" s="715">
        <v>37.81</v>
      </c>
      <c r="H9" s="715">
        <v>41.62</v>
      </c>
      <c r="I9" s="715">
        <v>38</v>
      </c>
      <c r="J9" s="715">
        <v>41.95</v>
      </c>
      <c r="K9" s="715">
        <v>38.18</v>
      </c>
      <c r="L9" s="715">
        <v>49.92</v>
      </c>
      <c r="M9" s="715">
        <v>42.58</v>
      </c>
      <c r="N9" s="715">
        <v>44.51</v>
      </c>
      <c r="O9" s="715">
        <v>36.94</v>
      </c>
      <c r="P9" s="715">
        <v>46.62</v>
      </c>
      <c r="Q9" s="715">
        <v>36.97</v>
      </c>
      <c r="R9" s="715">
        <v>38.58</v>
      </c>
      <c r="S9" s="715">
        <v>34.130000000000003</v>
      </c>
      <c r="T9" s="715" t="s">
        <v>642</v>
      </c>
      <c r="U9" s="715" t="s">
        <v>642</v>
      </c>
    </row>
    <row r="10" spans="1:24" x14ac:dyDescent="0.3">
      <c r="A10" s="735" t="s">
        <v>1118</v>
      </c>
      <c r="B10" s="716">
        <v>29810000</v>
      </c>
      <c r="C10" s="716">
        <v>21460500</v>
      </c>
      <c r="D10" s="716">
        <v>28203100</v>
      </c>
      <c r="E10" s="716">
        <v>21430900</v>
      </c>
      <c r="F10" s="716">
        <v>27343700</v>
      </c>
      <c r="G10" s="716">
        <v>27700000</v>
      </c>
      <c r="H10" s="716">
        <v>31230000</v>
      </c>
      <c r="I10" s="716">
        <v>28000000</v>
      </c>
      <c r="J10" s="716">
        <v>30920000</v>
      </c>
      <c r="K10" s="716">
        <v>25280000</v>
      </c>
      <c r="L10" s="716">
        <v>30740000</v>
      </c>
      <c r="M10" s="716">
        <v>24610000</v>
      </c>
      <c r="N10" s="716">
        <v>29250000</v>
      </c>
      <c r="O10" s="716">
        <v>24027795</v>
      </c>
      <c r="P10" s="716">
        <v>32790000</v>
      </c>
      <c r="Q10" s="716">
        <v>26640000</v>
      </c>
      <c r="R10" s="716">
        <v>29980000</v>
      </c>
      <c r="S10" s="716">
        <v>24987030</v>
      </c>
      <c r="T10" s="715" t="s">
        <v>642</v>
      </c>
      <c r="U10" s="715" t="s">
        <v>642</v>
      </c>
    </row>
    <row r="11" spans="1:24" x14ac:dyDescent="0.3">
      <c r="A11" s="735" t="s">
        <v>1119</v>
      </c>
      <c r="B11" s="715">
        <v>44.52</v>
      </c>
      <c r="C11" s="715">
        <v>34.869999999999997</v>
      </c>
      <c r="D11" s="715">
        <v>43.13</v>
      </c>
      <c r="E11" s="715">
        <v>33.659999999999997</v>
      </c>
      <c r="F11" s="715">
        <v>36.96</v>
      </c>
      <c r="G11" s="715">
        <v>36.18</v>
      </c>
      <c r="H11" s="715">
        <v>40.15</v>
      </c>
      <c r="I11" s="715">
        <v>36.270000000000003</v>
      </c>
      <c r="J11" s="715">
        <v>40.270000000000003</v>
      </c>
      <c r="K11" s="715">
        <v>35.880000000000003</v>
      </c>
      <c r="L11" s="715">
        <v>48.22</v>
      </c>
      <c r="M11" s="715">
        <v>41.01</v>
      </c>
      <c r="N11" s="715">
        <v>43.39</v>
      </c>
      <c r="O11" s="715">
        <v>35.450000000000003</v>
      </c>
      <c r="P11" s="715">
        <v>45.6</v>
      </c>
      <c r="Q11" s="715">
        <v>35.97</v>
      </c>
      <c r="R11" s="715">
        <v>37.9</v>
      </c>
      <c r="S11" s="715">
        <v>32.97</v>
      </c>
      <c r="T11" s="715" t="s">
        <v>642</v>
      </c>
      <c r="U11" s="715" t="s">
        <v>642</v>
      </c>
    </row>
    <row r="12" spans="1:24" x14ac:dyDescent="0.3">
      <c r="A12" s="735" t="s">
        <v>1120</v>
      </c>
      <c r="B12" s="716">
        <v>14090000</v>
      </c>
      <c r="C12" s="716">
        <v>13611071</v>
      </c>
      <c r="D12" s="716">
        <v>12987344</v>
      </c>
      <c r="E12" s="716">
        <v>13395828</v>
      </c>
      <c r="F12" s="716">
        <v>14101821</v>
      </c>
      <c r="G12" s="716">
        <v>15350000</v>
      </c>
      <c r="H12" s="716">
        <v>15470000</v>
      </c>
      <c r="I12" s="716">
        <v>14830000</v>
      </c>
      <c r="J12" s="716">
        <v>14750000</v>
      </c>
      <c r="K12" s="716">
        <v>15580000</v>
      </c>
      <c r="L12" s="716">
        <v>14080000</v>
      </c>
      <c r="M12" s="716">
        <v>14390000</v>
      </c>
      <c r="N12" s="716">
        <v>13710000</v>
      </c>
      <c r="O12" s="716">
        <v>14260000</v>
      </c>
      <c r="P12" s="716">
        <v>13480000</v>
      </c>
      <c r="Q12" s="716">
        <v>14420000</v>
      </c>
      <c r="R12" s="716">
        <v>14140000</v>
      </c>
      <c r="S12" s="716">
        <v>14460000</v>
      </c>
      <c r="T12" s="715" t="s">
        <v>642</v>
      </c>
      <c r="U12" s="715" t="s">
        <v>642</v>
      </c>
    </row>
    <row r="13" spans="1:24" x14ac:dyDescent="0.3">
      <c r="A13" s="735" t="s">
        <v>1117</v>
      </c>
      <c r="B13" s="715">
        <v>21.04</v>
      </c>
      <c r="C13" s="715">
        <v>22.11</v>
      </c>
      <c r="D13" s="715">
        <v>19.86</v>
      </c>
      <c r="E13" s="715">
        <v>21.04</v>
      </c>
      <c r="F13" s="715">
        <v>19.059999999999999</v>
      </c>
      <c r="G13" s="715">
        <v>20.05</v>
      </c>
      <c r="H13" s="715">
        <v>19.89</v>
      </c>
      <c r="I13" s="715">
        <v>19.21</v>
      </c>
      <c r="J13" s="715">
        <v>19.21</v>
      </c>
      <c r="K13" s="715">
        <v>22.11</v>
      </c>
      <c r="L13" s="715">
        <v>22.09</v>
      </c>
      <c r="M13" s="715">
        <v>23.98</v>
      </c>
      <c r="N13" s="715">
        <v>20.34</v>
      </c>
      <c r="O13" s="715">
        <v>21.04</v>
      </c>
      <c r="P13" s="715">
        <v>18.739999999999998</v>
      </c>
      <c r="Q13" s="715">
        <v>19.47</v>
      </c>
      <c r="R13" s="715">
        <v>17.88</v>
      </c>
      <c r="S13" s="715">
        <v>19.079999999999998</v>
      </c>
      <c r="T13" s="715" t="s">
        <v>642</v>
      </c>
      <c r="U13" s="715" t="s">
        <v>642</v>
      </c>
    </row>
    <row r="14" spans="1:24" x14ac:dyDescent="0.3">
      <c r="A14" s="735" t="s">
        <v>1121</v>
      </c>
      <c r="B14" s="716">
        <v>8240000</v>
      </c>
      <c r="C14" s="716">
        <v>8511600</v>
      </c>
      <c r="D14" s="716">
        <v>7220400</v>
      </c>
      <c r="E14" s="716">
        <v>7170200</v>
      </c>
      <c r="F14" s="716">
        <v>7820600</v>
      </c>
      <c r="G14" s="716">
        <v>9290000</v>
      </c>
      <c r="H14" s="716">
        <v>8720000</v>
      </c>
      <c r="I14" s="716">
        <v>7540000</v>
      </c>
      <c r="J14" s="716">
        <v>7860000</v>
      </c>
      <c r="K14" s="716">
        <v>9160000</v>
      </c>
      <c r="L14" s="716">
        <v>7430000</v>
      </c>
      <c r="M14" s="716">
        <v>7250000</v>
      </c>
      <c r="N14" s="716">
        <v>7320000</v>
      </c>
      <c r="O14" s="716">
        <v>8380885</v>
      </c>
      <c r="P14" s="716">
        <v>7230000</v>
      </c>
      <c r="Q14" s="716">
        <v>7540000</v>
      </c>
      <c r="R14" s="716">
        <v>7580000</v>
      </c>
      <c r="S14" s="716">
        <v>8540598</v>
      </c>
      <c r="T14" s="715" t="s">
        <v>642</v>
      </c>
      <c r="U14" s="715" t="s">
        <v>642</v>
      </c>
    </row>
    <row r="15" spans="1:24" x14ac:dyDescent="0.3">
      <c r="A15" s="735" t="s">
        <v>1119</v>
      </c>
      <c r="B15" s="715">
        <v>12.31</v>
      </c>
      <c r="C15" s="715">
        <v>13.83</v>
      </c>
      <c r="D15" s="715">
        <v>11.04</v>
      </c>
      <c r="E15" s="715">
        <v>11.26</v>
      </c>
      <c r="F15" s="715">
        <v>10.57</v>
      </c>
      <c r="G15" s="715">
        <v>12.13</v>
      </c>
      <c r="H15" s="715">
        <v>11.21</v>
      </c>
      <c r="I15" s="715">
        <v>9.77</v>
      </c>
      <c r="J15" s="715">
        <v>10.24</v>
      </c>
      <c r="K15" s="715">
        <v>13</v>
      </c>
      <c r="L15" s="715">
        <v>11.66</v>
      </c>
      <c r="M15" s="715">
        <v>12.08</v>
      </c>
      <c r="N15" s="715">
        <v>10.86</v>
      </c>
      <c r="O15" s="715">
        <v>12.36</v>
      </c>
      <c r="P15" s="715">
        <v>10.050000000000001</v>
      </c>
      <c r="Q15" s="715">
        <v>10.18</v>
      </c>
      <c r="R15" s="715">
        <v>9.58</v>
      </c>
      <c r="S15" s="715">
        <v>11.27</v>
      </c>
      <c r="T15" s="715" t="s">
        <v>642</v>
      </c>
      <c r="U15" s="715" t="s">
        <v>642</v>
      </c>
    </row>
    <row r="16" spans="1:24" x14ac:dyDescent="0.3">
      <c r="A16" s="735" t="s">
        <v>1122</v>
      </c>
      <c r="B16" s="716">
        <v>25930000</v>
      </c>
      <c r="C16" s="716">
        <v>27923015</v>
      </c>
      <c r="D16" s="716">
        <v>25823759</v>
      </c>
      <c r="E16" s="716">
        <v>29456101</v>
      </c>
      <c r="F16" s="716">
        <v>35085502</v>
      </c>
      <c r="G16" s="716">
        <v>26280000</v>
      </c>
      <c r="H16" s="716">
        <v>26870000</v>
      </c>
      <c r="I16" s="716">
        <v>28500000</v>
      </c>
      <c r="J16" s="716">
        <v>23020000</v>
      </c>
      <c r="K16" s="716">
        <v>20070000</v>
      </c>
      <c r="L16" s="716">
        <v>13730000</v>
      </c>
      <c r="M16" s="716">
        <v>14730000</v>
      </c>
      <c r="N16" s="716">
        <v>16440000</v>
      </c>
      <c r="O16" s="716">
        <v>21687880</v>
      </c>
      <c r="P16" s="716">
        <v>23140000</v>
      </c>
      <c r="Q16" s="716">
        <v>28560000</v>
      </c>
      <c r="R16" s="716">
        <v>29270000</v>
      </c>
      <c r="S16" s="716">
        <v>30134786</v>
      </c>
      <c r="T16" s="715" t="s">
        <v>642</v>
      </c>
      <c r="U16" s="715" t="s">
        <v>642</v>
      </c>
    </row>
    <row r="17" spans="1:21" x14ac:dyDescent="0.3">
      <c r="A17" s="735" t="s">
        <v>963</v>
      </c>
      <c r="B17" s="715">
        <v>38.72</v>
      </c>
      <c r="C17" s="715">
        <v>45.37</v>
      </c>
      <c r="D17" s="715">
        <v>39.49</v>
      </c>
      <c r="E17" s="715">
        <v>46.26</v>
      </c>
      <c r="F17" s="715">
        <v>47.43</v>
      </c>
      <c r="G17" s="715">
        <v>34.32</v>
      </c>
      <c r="H17" s="715">
        <v>34.549999999999997</v>
      </c>
      <c r="I17" s="715">
        <v>36.92</v>
      </c>
      <c r="J17" s="715">
        <v>29.98</v>
      </c>
      <c r="K17" s="715">
        <v>28.48</v>
      </c>
      <c r="L17" s="715">
        <v>21.54</v>
      </c>
      <c r="M17" s="715">
        <v>24.55</v>
      </c>
      <c r="N17" s="715">
        <v>24.39</v>
      </c>
      <c r="O17" s="715">
        <v>32</v>
      </c>
      <c r="P17" s="715">
        <v>32.18</v>
      </c>
      <c r="Q17" s="715">
        <v>38.56</v>
      </c>
      <c r="R17" s="715">
        <v>37</v>
      </c>
      <c r="S17" s="715">
        <v>39.76</v>
      </c>
      <c r="T17" s="715" t="s">
        <v>642</v>
      </c>
      <c r="U17" s="715" t="s">
        <v>642</v>
      </c>
    </row>
    <row r="18" spans="1:21" x14ac:dyDescent="0.3">
      <c r="A18" s="735" t="s">
        <v>1095</v>
      </c>
      <c r="B18" s="716">
        <v>14280000</v>
      </c>
      <c r="C18" s="716">
        <v>13510200</v>
      </c>
      <c r="D18" s="716">
        <v>14434900</v>
      </c>
      <c r="E18" s="716">
        <v>17879700</v>
      </c>
      <c r="F18" s="716">
        <v>20833400</v>
      </c>
      <c r="G18" s="716">
        <v>19450000</v>
      </c>
      <c r="H18" s="716">
        <v>20090000</v>
      </c>
      <c r="I18" s="716">
        <v>21080000</v>
      </c>
      <c r="J18" s="716">
        <v>15230000</v>
      </c>
      <c r="K18" s="716">
        <v>12140000</v>
      </c>
      <c r="L18" s="716">
        <v>8920000</v>
      </c>
      <c r="M18" s="716">
        <v>8970000</v>
      </c>
      <c r="N18" s="716">
        <v>10530000</v>
      </c>
      <c r="O18" s="716">
        <v>15715611</v>
      </c>
      <c r="P18" s="716">
        <v>17490000</v>
      </c>
      <c r="Q18" s="716">
        <v>21740000</v>
      </c>
      <c r="R18" s="716">
        <v>22270000</v>
      </c>
      <c r="S18" s="716">
        <v>22994650</v>
      </c>
      <c r="T18" s="715" t="s">
        <v>642</v>
      </c>
      <c r="U18" s="715" t="s">
        <v>642</v>
      </c>
    </row>
    <row r="19" spans="1:21" x14ac:dyDescent="0.3">
      <c r="A19" s="735" t="s">
        <v>1117</v>
      </c>
      <c r="B19" s="715">
        <v>21.32</v>
      </c>
      <c r="C19" s="715">
        <v>21.95</v>
      </c>
      <c r="D19" s="715">
        <v>22.08</v>
      </c>
      <c r="E19" s="715">
        <v>28.08</v>
      </c>
      <c r="F19" s="715">
        <v>28.16</v>
      </c>
      <c r="G19" s="715">
        <v>25.4</v>
      </c>
      <c r="H19" s="715">
        <v>25.83</v>
      </c>
      <c r="I19" s="715">
        <v>27.3</v>
      </c>
      <c r="J19" s="715">
        <v>19.84</v>
      </c>
      <c r="K19" s="715">
        <v>17.23</v>
      </c>
      <c r="L19" s="715">
        <v>13.99</v>
      </c>
      <c r="M19" s="715">
        <v>14.95</v>
      </c>
      <c r="N19" s="715">
        <v>15.62</v>
      </c>
      <c r="O19" s="715">
        <v>23.19</v>
      </c>
      <c r="P19" s="715">
        <v>24.32</v>
      </c>
      <c r="Q19" s="715">
        <v>29.35</v>
      </c>
      <c r="R19" s="715">
        <v>28.15</v>
      </c>
      <c r="S19" s="715">
        <v>30.34</v>
      </c>
      <c r="T19" s="715" t="s">
        <v>642</v>
      </c>
      <c r="U19" s="715" t="s">
        <v>642</v>
      </c>
    </row>
    <row r="20" spans="1:21" x14ac:dyDescent="0.3">
      <c r="A20" s="735" t="s">
        <v>1123</v>
      </c>
      <c r="B20" s="716">
        <v>4520000</v>
      </c>
      <c r="C20" s="716">
        <v>4673047</v>
      </c>
      <c r="D20" s="716">
        <v>4571306</v>
      </c>
      <c r="E20" s="716">
        <v>4860433</v>
      </c>
      <c r="F20" s="716">
        <v>5573546</v>
      </c>
      <c r="G20" s="716">
        <v>6830000</v>
      </c>
      <c r="H20" s="716">
        <v>6780000</v>
      </c>
      <c r="I20" s="716">
        <v>7420000</v>
      </c>
      <c r="J20" s="716">
        <v>7790000</v>
      </c>
      <c r="K20" s="716">
        <v>7930000</v>
      </c>
      <c r="L20" s="716">
        <v>4810000</v>
      </c>
      <c r="M20" s="716">
        <v>5760000</v>
      </c>
      <c r="N20" s="716">
        <v>5890000</v>
      </c>
      <c r="O20" s="716">
        <v>6000000</v>
      </c>
      <c r="P20" s="716">
        <v>5650000</v>
      </c>
      <c r="Q20" s="716">
        <v>6820000</v>
      </c>
      <c r="R20" s="716">
        <v>7000000</v>
      </c>
      <c r="S20" s="716">
        <v>7140136</v>
      </c>
      <c r="T20" s="715" t="s">
        <v>642</v>
      </c>
      <c r="U20" s="715" t="s">
        <v>642</v>
      </c>
    </row>
    <row r="21" spans="1:21" x14ac:dyDescent="0.3">
      <c r="A21" s="735" t="s">
        <v>1117</v>
      </c>
      <c r="B21" s="715">
        <v>6.75</v>
      </c>
      <c r="C21" s="715">
        <v>7.59</v>
      </c>
      <c r="D21" s="715">
        <v>6.99</v>
      </c>
      <c r="E21" s="715">
        <v>7.63</v>
      </c>
      <c r="F21" s="715">
        <v>7.53</v>
      </c>
      <c r="G21" s="715">
        <v>8.92</v>
      </c>
      <c r="H21" s="715">
        <v>8.7200000000000006</v>
      </c>
      <c r="I21" s="715">
        <v>9.61</v>
      </c>
      <c r="J21" s="715">
        <v>10.15</v>
      </c>
      <c r="K21" s="715">
        <v>11.25</v>
      </c>
      <c r="L21" s="715">
        <v>7.55</v>
      </c>
      <c r="M21" s="715">
        <v>9.6</v>
      </c>
      <c r="N21" s="715">
        <v>8.74</v>
      </c>
      <c r="O21" s="715">
        <v>8.85</v>
      </c>
      <c r="P21" s="715">
        <v>7.86</v>
      </c>
      <c r="Q21" s="715">
        <v>9.2100000000000009</v>
      </c>
      <c r="R21" s="715">
        <v>8.85</v>
      </c>
      <c r="S21" s="715">
        <v>9.42</v>
      </c>
      <c r="T21" s="715" t="s">
        <v>642</v>
      </c>
      <c r="U21" s="715" t="s">
        <v>642</v>
      </c>
    </row>
    <row r="22" spans="1:21" x14ac:dyDescent="0.3">
      <c r="A22" s="735" t="s">
        <v>1124</v>
      </c>
      <c r="B22" s="716">
        <v>7320000</v>
      </c>
      <c r="C22" s="716">
        <v>9959973</v>
      </c>
      <c r="D22" s="716">
        <v>6923047</v>
      </c>
      <c r="E22" s="716">
        <v>6867870</v>
      </c>
      <c r="F22" s="716">
        <v>8863189</v>
      </c>
      <c r="G22" s="716">
        <v>9060000</v>
      </c>
      <c r="H22" s="716">
        <v>7970000</v>
      </c>
      <c r="I22" s="716">
        <v>7710000</v>
      </c>
      <c r="J22" s="716">
        <v>9390000</v>
      </c>
      <c r="K22" s="716">
        <v>9310000</v>
      </c>
      <c r="L22" s="716">
        <v>6610000</v>
      </c>
      <c r="M22" s="716">
        <v>6480000</v>
      </c>
      <c r="N22" s="716">
        <v>8220000</v>
      </c>
      <c r="O22" s="716">
        <v>9664203</v>
      </c>
      <c r="P22" s="716">
        <v>5390000</v>
      </c>
      <c r="Q22" s="716">
        <v>7650000</v>
      </c>
      <c r="R22" s="716">
        <v>8000000</v>
      </c>
      <c r="S22" s="716">
        <v>8168313</v>
      </c>
      <c r="T22" s="715" t="s">
        <v>642</v>
      </c>
      <c r="U22" s="715" t="s">
        <v>642</v>
      </c>
    </row>
    <row r="23" spans="1:21" x14ac:dyDescent="0.3">
      <c r="A23" s="735" t="s">
        <v>963</v>
      </c>
      <c r="B23" s="715">
        <v>10.93</v>
      </c>
      <c r="C23" s="715">
        <v>16.18</v>
      </c>
      <c r="D23" s="715">
        <v>10.59</v>
      </c>
      <c r="E23" s="715">
        <v>10.79</v>
      </c>
      <c r="F23" s="715">
        <v>11.98</v>
      </c>
      <c r="G23" s="715">
        <v>11.83</v>
      </c>
      <c r="H23" s="715">
        <v>10.25</v>
      </c>
      <c r="I23" s="715">
        <v>9.99</v>
      </c>
      <c r="J23" s="715">
        <v>12.23</v>
      </c>
      <c r="K23" s="715">
        <v>13.21</v>
      </c>
      <c r="L23" s="715">
        <v>10.37</v>
      </c>
      <c r="M23" s="715">
        <v>10.8</v>
      </c>
      <c r="N23" s="715">
        <v>12.2</v>
      </c>
      <c r="O23" s="715">
        <v>14.26</v>
      </c>
      <c r="P23" s="715">
        <v>7.49</v>
      </c>
      <c r="Q23" s="715">
        <v>10.33</v>
      </c>
      <c r="R23" s="715">
        <v>10.11</v>
      </c>
      <c r="S23" s="715">
        <v>10.78</v>
      </c>
      <c r="T23" s="715" t="s">
        <v>642</v>
      </c>
      <c r="U23" s="715" t="s">
        <v>642</v>
      </c>
    </row>
    <row r="24" spans="1:21" x14ac:dyDescent="0.3">
      <c r="A24" s="735" t="s">
        <v>1125</v>
      </c>
      <c r="B24" s="716">
        <v>2620000</v>
      </c>
      <c r="C24" s="716">
        <v>2923866</v>
      </c>
      <c r="D24" s="716">
        <v>2367267</v>
      </c>
      <c r="E24" s="716">
        <v>2419406</v>
      </c>
      <c r="F24" s="716">
        <v>2399993</v>
      </c>
      <c r="G24" s="716">
        <v>2850000</v>
      </c>
      <c r="H24" s="716">
        <v>2670000</v>
      </c>
      <c r="I24" s="716">
        <v>2980000</v>
      </c>
      <c r="J24" s="716">
        <v>3630000</v>
      </c>
      <c r="K24" s="716">
        <v>3940000</v>
      </c>
      <c r="L24" s="716">
        <v>3170000</v>
      </c>
      <c r="M24" s="716">
        <v>3500000</v>
      </c>
      <c r="N24" s="716">
        <v>3800000</v>
      </c>
      <c r="O24" s="716">
        <v>3925877</v>
      </c>
      <c r="P24" s="716">
        <v>3200000</v>
      </c>
      <c r="Q24" s="716">
        <v>3620000</v>
      </c>
      <c r="R24" s="716">
        <v>3530000</v>
      </c>
      <c r="S24" s="716">
        <v>3951077</v>
      </c>
      <c r="T24" s="715" t="s">
        <v>642</v>
      </c>
      <c r="U24" s="715" t="s">
        <v>642</v>
      </c>
    </row>
    <row r="25" spans="1:21" x14ac:dyDescent="0.3">
      <c r="A25" s="735" t="s">
        <v>963</v>
      </c>
      <c r="B25" s="715">
        <v>3.91</v>
      </c>
      <c r="C25" s="715">
        <v>4.75</v>
      </c>
      <c r="D25" s="715">
        <v>3.62</v>
      </c>
      <c r="E25" s="715">
        <v>3.8</v>
      </c>
      <c r="F25" s="715">
        <v>3.24</v>
      </c>
      <c r="G25" s="715">
        <v>3.72</v>
      </c>
      <c r="H25" s="715">
        <v>3.43</v>
      </c>
      <c r="I25" s="715">
        <v>3.86</v>
      </c>
      <c r="J25" s="715">
        <v>4.7300000000000004</v>
      </c>
      <c r="K25" s="715">
        <v>5.59</v>
      </c>
      <c r="L25" s="715">
        <v>4.97</v>
      </c>
      <c r="M25" s="715">
        <v>5.83</v>
      </c>
      <c r="N25" s="715">
        <v>5.64</v>
      </c>
      <c r="O25" s="715">
        <v>5.79</v>
      </c>
      <c r="P25" s="715">
        <v>4.45</v>
      </c>
      <c r="Q25" s="715">
        <v>4.8899999999999997</v>
      </c>
      <c r="R25" s="715">
        <v>4.46</v>
      </c>
      <c r="S25" s="715">
        <v>5.21</v>
      </c>
      <c r="T25" s="715" t="s">
        <v>642</v>
      </c>
      <c r="U25" s="715" t="s">
        <v>642</v>
      </c>
    </row>
    <row r="26" spans="1:21" x14ac:dyDescent="0.3">
      <c r="A26" s="735" t="s">
        <v>971</v>
      </c>
      <c r="B26" s="715" t="s">
        <v>642</v>
      </c>
      <c r="C26" s="715" t="s">
        <v>642</v>
      </c>
      <c r="D26" s="715" t="s">
        <v>642</v>
      </c>
      <c r="E26" s="715" t="s">
        <v>642</v>
      </c>
      <c r="F26" s="715" t="s">
        <v>642</v>
      </c>
      <c r="G26" s="715" t="s">
        <v>642</v>
      </c>
      <c r="H26" s="715" t="s">
        <v>642</v>
      </c>
      <c r="I26" s="715" t="s">
        <v>642</v>
      </c>
      <c r="J26" s="715" t="s">
        <v>642</v>
      </c>
      <c r="K26" s="715" t="s">
        <v>642</v>
      </c>
      <c r="L26" s="715" t="s">
        <v>642</v>
      </c>
      <c r="M26" s="715" t="s">
        <v>642</v>
      </c>
      <c r="N26" s="715" t="s">
        <v>642</v>
      </c>
      <c r="O26" s="715" t="s">
        <v>642</v>
      </c>
      <c r="P26" s="715" t="s">
        <v>642</v>
      </c>
      <c r="Q26" s="715" t="s">
        <v>642</v>
      </c>
      <c r="R26" s="715" t="s">
        <v>642</v>
      </c>
      <c r="S26" s="715" t="s">
        <v>642</v>
      </c>
      <c r="T26" s="715" t="s">
        <v>642</v>
      </c>
      <c r="U26" s="715" t="s">
        <v>642</v>
      </c>
    </row>
    <row r="27" spans="1:21" x14ac:dyDescent="0.3">
      <c r="A27" s="735" t="s">
        <v>1126</v>
      </c>
      <c r="B27" s="715" t="s">
        <v>642</v>
      </c>
      <c r="C27" s="715" t="s">
        <v>642</v>
      </c>
      <c r="D27" s="715" t="s">
        <v>642</v>
      </c>
      <c r="E27" s="715" t="s">
        <v>642</v>
      </c>
      <c r="F27" s="715" t="s">
        <v>642</v>
      </c>
      <c r="G27" s="715" t="s">
        <v>642</v>
      </c>
      <c r="H27" s="715" t="s">
        <v>642</v>
      </c>
      <c r="I27" s="715" t="s">
        <v>642</v>
      </c>
      <c r="J27" s="715" t="s">
        <v>642</v>
      </c>
      <c r="K27" s="715" t="s">
        <v>642</v>
      </c>
      <c r="L27" s="715" t="s">
        <v>642</v>
      </c>
      <c r="M27" s="715" t="s">
        <v>642</v>
      </c>
      <c r="N27" s="715" t="s">
        <v>642</v>
      </c>
      <c r="O27" s="715" t="s">
        <v>642</v>
      </c>
      <c r="P27" s="715" t="s">
        <v>642</v>
      </c>
      <c r="Q27" s="715" t="s">
        <v>642</v>
      </c>
      <c r="R27" s="715" t="s">
        <v>642</v>
      </c>
      <c r="S27" s="715" t="s">
        <v>642</v>
      </c>
      <c r="T27" s="715" t="s">
        <v>642</v>
      </c>
      <c r="U27" s="715" t="s">
        <v>642</v>
      </c>
    </row>
    <row r="28" spans="1:21" x14ac:dyDescent="0.3">
      <c r="A28" s="735" t="s">
        <v>1127</v>
      </c>
      <c r="B28" s="715" t="s">
        <v>642</v>
      </c>
      <c r="C28" s="715" t="s">
        <v>642</v>
      </c>
      <c r="D28" s="715" t="s">
        <v>642</v>
      </c>
      <c r="E28" s="715" t="s">
        <v>642</v>
      </c>
      <c r="F28" s="715" t="s">
        <v>642</v>
      </c>
      <c r="G28" s="715" t="s">
        <v>642</v>
      </c>
      <c r="H28" s="715" t="s">
        <v>642</v>
      </c>
      <c r="I28" s="715" t="s">
        <v>642</v>
      </c>
      <c r="J28" s="715" t="s">
        <v>642</v>
      </c>
      <c r="K28" s="715" t="s">
        <v>642</v>
      </c>
      <c r="L28" s="715" t="s">
        <v>642</v>
      </c>
      <c r="M28" s="715" t="s">
        <v>642</v>
      </c>
      <c r="N28" s="715" t="s">
        <v>642</v>
      </c>
      <c r="O28" s="715" t="s">
        <v>642</v>
      </c>
      <c r="P28" s="715" t="s">
        <v>642</v>
      </c>
      <c r="Q28" s="715" t="s">
        <v>642</v>
      </c>
      <c r="R28" s="715" t="s">
        <v>642</v>
      </c>
      <c r="S28" s="715" t="s">
        <v>642</v>
      </c>
      <c r="T28" s="715" t="s">
        <v>642</v>
      </c>
      <c r="U28" s="715" t="s">
        <v>642</v>
      </c>
    </row>
    <row r="29" spans="1:21" x14ac:dyDescent="0.3">
      <c r="A29" s="735" t="s">
        <v>1128</v>
      </c>
      <c r="B29" s="715" t="s">
        <v>642</v>
      </c>
      <c r="C29" s="715" t="s">
        <v>642</v>
      </c>
      <c r="D29" s="715" t="s">
        <v>642</v>
      </c>
      <c r="E29" s="715" t="s">
        <v>642</v>
      </c>
      <c r="F29" s="715" t="s">
        <v>642</v>
      </c>
      <c r="G29" s="715" t="s">
        <v>642</v>
      </c>
      <c r="H29" s="715" t="s">
        <v>642</v>
      </c>
      <c r="I29" s="715" t="s">
        <v>642</v>
      </c>
      <c r="J29" s="715" t="s">
        <v>642</v>
      </c>
      <c r="K29" s="715" t="s">
        <v>642</v>
      </c>
      <c r="L29" s="715" t="s">
        <v>642</v>
      </c>
      <c r="M29" s="715" t="s">
        <v>642</v>
      </c>
      <c r="N29" s="715" t="s">
        <v>642</v>
      </c>
      <c r="O29" s="715" t="s">
        <v>642</v>
      </c>
      <c r="P29" s="715" t="s">
        <v>642</v>
      </c>
      <c r="Q29" s="715" t="s">
        <v>642</v>
      </c>
      <c r="R29" s="715" t="s">
        <v>642</v>
      </c>
      <c r="S29" s="715" t="s">
        <v>642</v>
      </c>
      <c r="T29" s="715" t="s">
        <v>642</v>
      </c>
      <c r="U29" s="715" t="s">
        <v>642</v>
      </c>
    </row>
    <row r="30" spans="1:21" x14ac:dyDescent="0.3">
      <c r="A30" s="735" t="s">
        <v>1129</v>
      </c>
      <c r="B30" s="715" t="s">
        <v>642</v>
      </c>
      <c r="C30" s="715" t="s">
        <v>642</v>
      </c>
      <c r="D30" s="715" t="s">
        <v>642</v>
      </c>
      <c r="E30" s="715" t="s">
        <v>642</v>
      </c>
      <c r="F30" s="715" t="s">
        <v>642</v>
      </c>
      <c r="G30" s="715" t="s">
        <v>642</v>
      </c>
      <c r="H30" s="715" t="s">
        <v>642</v>
      </c>
      <c r="I30" s="715" t="s">
        <v>642</v>
      </c>
      <c r="J30" s="715" t="s">
        <v>642</v>
      </c>
      <c r="K30" s="715" t="s">
        <v>642</v>
      </c>
      <c r="L30" s="715" t="s">
        <v>642</v>
      </c>
      <c r="M30" s="715" t="s">
        <v>642</v>
      </c>
      <c r="N30" s="715" t="s">
        <v>642</v>
      </c>
      <c r="O30" s="715" t="s">
        <v>642</v>
      </c>
      <c r="P30" s="715" t="s">
        <v>642</v>
      </c>
      <c r="Q30" s="715" t="s">
        <v>642</v>
      </c>
      <c r="R30" s="715" t="s">
        <v>642</v>
      </c>
      <c r="S30" s="715" t="s">
        <v>642</v>
      </c>
      <c r="T30" s="715" t="s">
        <v>642</v>
      </c>
      <c r="U30" s="715" t="s">
        <v>642</v>
      </c>
    </row>
    <row r="31" spans="1:21" x14ac:dyDescent="0.3">
      <c r="A31" s="735" t="s">
        <v>1130</v>
      </c>
      <c r="B31" s="716">
        <v>18800000</v>
      </c>
      <c r="C31" s="716">
        <v>18183247</v>
      </c>
      <c r="D31" s="716">
        <v>19006206</v>
      </c>
      <c r="E31" s="716">
        <v>22740133</v>
      </c>
      <c r="F31" s="716">
        <v>26406946</v>
      </c>
      <c r="G31" s="716">
        <v>26005284</v>
      </c>
      <c r="H31" s="715" t="s">
        <v>642</v>
      </c>
      <c r="I31" s="715" t="s">
        <v>642</v>
      </c>
      <c r="J31" s="715" t="s">
        <v>642</v>
      </c>
      <c r="K31" s="715" t="s">
        <v>642</v>
      </c>
      <c r="L31" s="715" t="s">
        <v>642</v>
      </c>
      <c r="M31" s="715" t="s">
        <v>642</v>
      </c>
      <c r="N31" s="715" t="s">
        <v>642</v>
      </c>
      <c r="O31" s="715" t="s">
        <v>642</v>
      </c>
      <c r="P31" s="715" t="s">
        <v>642</v>
      </c>
      <c r="Q31" s="715" t="s">
        <v>642</v>
      </c>
      <c r="R31" s="715" t="s">
        <v>642</v>
      </c>
      <c r="S31" s="715" t="s">
        <v>642</v>
      </c>
      <c r="T31" s="715" t="s">
        <v>642</v>
      </c>
      <c r="U31" s="715" t="s">
        <v>642</v>
      </c>
    </row>
    <row r="32" spans="1:21" x14ac:dyDescent="0.3">
      <c r="A32" s="735" t="s">
        <v>226</v>
      </c>
      <c r="B32" s="715" t="s">
        <v>642</v>
      </c>
      <c r="C32" s="715" t="s">
        <v>642</v>
      </c>
      <c r="D32" s="715" t="s">
        <v>642</v>
      </c>
      <c r="E32" s="715" t="s">
        <v>642</v>
      </c>
      <c r="F32" s="715" t="s">
        <v>642</v>
      </c>
      <c r="G32" s="715" t="s">
        <v>642</v>
      </c>
      <c r="H32" s="715" t="s">
        <v>642</v>
      </c>
      <c r="I32" s="715" t="s">
        <v>642</v>
      </c>
      <c r="J32" s="715" t="s">
        <v>642</v>
      </c>
      <c r="K32" s="715" t="s">
        <v>642</v>
      </c>
      <c r="L32" s="715" t="s">
        <v>642</v>
      </c>
      <c r="M32" s="715" t="s">
        <v>642</v>
      </c>
      <c r="N32" s="715" t="s">
        <v>642</v>
      </c>
      <c r="O32" s="715" t="s">
        <v>642</v>
      </c>
      <c r="P32" s="715" t="s">
        <v>642</v>
      </c>
      <c r="Q32" s="715" t="s">
        <v>642</v>
      </c>
      <c r="R32" s="715" t="s">
        <v>642</v>
      </c>
      <c r="S32" s="715" t="s">
        <v>642</v>
      </c>
      <c r="T32" s="715" t="s">
        <v>642</v>
      </c>
      <c r="U32" s="715" t="s">
        <v>642</v>
      </c>
    </row>
    <row r="33" spans="1:21" x14ac:dyDescent="0.3">
      <c r="A33" s="735" t="s">
        <v>1131</v>
      </c>
      <c r="B33" s="715" t="s">
        <v>642</v>
      </c>
      <c r="C33" s="715" t="s">
        <v>642</v>
      </c>
      <c r="D33" s="715" t="s">
        <v>642</v>
      </c>
      <c r="E33" s="715" t="s">
        <v>642</v>
      </c>
      <c r="F33" s="715" t="s">
        <v>642</v>
      </c>
      <c r="G33" s="715" t="s">
        <v>642</v>
      </c>
      <c r="H33" s="715" t="s">
        <v>642</v>
      </c>
      <c r="I33" s="715" t="s">
        <v>642</v>
      </c>
      <c r="J33" s="715" t="s">
        <v>642</v>
      </c>
      <c r="K33" s="715" t="s">
        <v>642</v>
      </c>
      <c r="L33" s="715" t="s">
        <v>642</v>
      </c>
      <c r="M33" s="715" t="s">
        <v>642</v>
      </c>
      <c r="N33" s="715" t="s">
        <v>642</v>
      </c>
      <c r="O33" s="715" t="s">
        <v>642</v>
      </c>
      <c r="P33" s="715" t="s">
        <v>642</v>
      </c>
      <c r="Q33" s="715" t="s">
        <v>642</v>
      </c>
      <c r="R33" s="715" t="s">
        <v>642</v>
      </c>
      <c r="S33" s="715" t="s">
        <v>642</v>
      </c>
      <c r="T33" s="715" t="s">
        <v>642</v>
      </c>
      <c r="U33" s="715" t="s">
        <v>642</v>
      </c>
    </row>
    <row r="34" spans="1:21" x14ac:dyDescent="0.3">
      <c r="A34" s="735" t="s">
        <v>1115</v>
      </c>
      <c r="B34" s="716">
        <v>98043800</v>
      </c>
      <c r="C34" s="716">
        <v>77997482</v>
      </c>
      <c r="D34" s="716">
        <v>42193300</v>
      </c>
      <c r="E34" s="716">
        <v>36069900</v>
      </c>
      <c r="F34" s="716">
        <v>42521800</v>
      </c>
      <c r="G34" s="716">
        <v>44570000</v>
      </c>
      <c r="H34" s="716">
        <v>48068667</v>
      </c>
      <c r="I34" s="716">
        <v>44455371</v>
      </c>
      <c r="J34" s="716">
        <v>47257269</v>
      </c>
      <c r="K34" s="716">
        <v>42710000</v>
      </c>
      <c r="L34" s="716">
        <v>46222513</v>
      </c>
      <c r="M34" s="716">
        <v>40206174</v>
      </c>
      <c r="N34" s="716">
        <v>44015400</v>
      </c>
      <c r="O34" s="716">
        <v>39550000</v>
      </c>
      <c r="P34" s="716">
        <v>47292742</v>
      </c>
      <c r="Q34" s="716">
        <v>42070812</v>
      </c>
      <c r="R34" s="716">
        <v>44993923</v>
      </c>
      <c r="S34" s="716">
        <v>40542523</v>
      </c>
      <c r="T34" s="716">
        <v>48603293.93</v>
      </c>
      <c r="U34" s="716">
        <v>43110341.350000001</v>
      </c>
    </row>
    <row r="35" spans="1:21" x14ac:dyDescent="0.3">
      <c r="A35" s="735" t="s">
        <v>963</v>
      </c>
      <c r="B35" s="715" t="s">
        <v>642</v>
      </c>
      <c r="C35" s="715" t="s">
        <v>642</v>
      </c>
      <c r="D35" s="715" t="s">
        <v>642</v>
      </c>
      <c r="E35" s="715" t="s">
        <v>642</v>
      </c>
      <c r="F35" s="715" t="s">
        <v>642</v>
      </c>
      <c r="G35" s="715" t="s">
        <v>642</v>
      </c>
      <c r="H35" s="715" t="s">
        <v>642</v>
      </c>
      <c r="I35" s="715" t="s">
        <v>642</v>
      </c>
      <c r="J35" s="715" t="s">
        <v>642</v>
      </c>
      <c r="K35" s="715" t="s">
        <v>642</v>
      </c>
      <c r="L35" s="715" t="s">
        <v>642</v>
      </c>
      <c r="M35" s="715" t="s">
        <v>642</v>
      </c>
      <c r="N35" s="715" t="s">
        <v>642</v>
      </c>
      <c r="O35" s="715" t="s">
        <v>642</v>
      </c>
      <c r="P35" s="715" t="s">
        <v>642</v>
      </c>
      <c r="Q35" s="715" t="s">
        <v>642</v>
      </c>
      <c r="R35" s="715" t="s">
        <v>642</v>
      </c>
      <c r="S35" s="715" t="s">
        <v>642</v>
      </c>
      <c r="T35" s="715" t="s">
        <v>642</v>
      </c>
      <c r="U35" s="715" t="s">
        <v>642</v>
      </c>
    </row>
    <row r="36" spans="1:21" x14ac:dyDescent="0.3">
      <c r="A36" s="735" t="s">
        <v>1116</v>
      </c>
      <c r="B36" s="716">
        <v>64531300</v>
      </c>
      <c r="C36" s="716">
        <v>46920782</v>
      </c>
      <c r="D36" s="716">
        <v>29206000</v>
      </c>
      <c r="E36" s="716">
        <v>22674000</v>
      </c>
      <c r="F36" s="716">
        <v>28420000</v>
      </c>
      <c r="G36" s="716">
        <v>28950000</v>
      </c>
      <c r="H36" s="716">
        <v>32370000</v>
      </c>
      <c r="I36" s="716">
        <v>29340000</v>
      </c>
      <c r="J36" s="716">
        <v>32210000</v>
      </c>
      <c r="K36" s="716">
        <v>26900000</v>
      </c>
      <c r="L36" s="716">
        <v>31820000</v>
      </c>
      <c r="M36" s="716">
        <v>25550000</v>
      </c>
      <c r="N36" s="716">
        <v>30000000</v>
      </c>
      <c r="O36" s="716">
        <v>25040000</v>
      </c>
      <c r="P36" s="716">
        <v>33530000</v>
      </c>
      <c r="Q36" s="716">
        <v>27380000</v>
      </c>
      <c r="R36" s="716">
        <v>30520000</v>
      </c>
      <c r="S36" s="716">
        <v>25870000</v>
      </c>
      <c r="T36" s="716">
        <v>34743743.310000002</v>
      </c>
      <c r="U36" s="716">
        <v>28263711.16</v>
      </c>
    </row>
    <row r="37" spans="1:21" x14ac:dyDescent="0.3">
      <c r="A37" s="735" t="s">
        <v>1117</v>
      </c>
      <c r="B37" s="715" t="s">
        <v>642</v>
      </c>
      <c r="C37" s="715" t="s">
        <v>642</v>
      </c>
      <c r="D37" s="715" t="s">
        <v>642</v>
      </c>
      <c r="E37" s="715" t="s">
        <v>642</v>
      </c>
      <c r="F37" s="715" t="s">
        <v>642</v>
      </c>
      <c r="G37" s="715" t="s">
        <v>642</v>
      </c>
      <c r="H37" s="715" t="s">
        <v>642</v>
      </c>
      <c r="I37" s="715" t="s">
        <v>642</v>
      </c>
      <c r="J37" s="715" t="s">
        <v>642</v>
      </c>
      <c r="K37" s="715" t="s">
        <v>642</v>
      </c>
      <c r="L37" s="715" t="s">
        <v>642</v>
      </c>
      <c r="M37" s="715" t="s">
        <v>642</v>
      </c>
      <c r="N37" s="715" t="s">
        <v>642</v>
      </c>
      <c r="O37" s="715" t="s">
        <v>642</v>
      </c>
      <c r="P37" s="715" t="s">
        <v>642</v>
      </c>
      <c r="Q37" s="715" t="s">
        <v>642</v>
      </c>
      <c r="R37" s="715" t="s">
        <v>642</v>
      </c>
      <c r="S37" s="715" t="s">
        <v>642</v>
      </c>
      <c r="T37" s="715" t="s">
        <v>642</v>
      </c>
      <c r="U37" s="715" t="s">
        <v>642</v>
      </c>
    </row>
    <row r="38" spans="1:21" x14ac:dyDescent="0.3">
      <c r="A38" s="735" t="s">
        <v>1118</v>
      </c>
      <c r="B38" s="716">
        <v>27426053.059999999</v>
      </c>
      <c r="C38" s="716">
        <v>23614041.879999999</v>
      </c>
      <c r="D38" s="716">
        <v>27405305.879999999</v>
      </c>
      <c r="E38" s="716">
        <v>23296269.640000001</v>
      </c>
      <c r="F38" s="716">
        <v>26652643.620000001</v>
      </c>
      <c r="G38" s="716">
        <v>27700000</v>
      </c>
      <c r="H38" s="716">
        <v>31230000</v>
      </c>
      <c r="I38" s="716">
        <v>28000000</v>
      </c>
      <c r="J38" s="716">
        <v>30920000</v>
      </c>
      <c r="K38" s="716">
        <v>25280000</v>
      </c>
      <c r="L38" s="716">
        <v>30740000</v>
      </c>
      <c r="M38" s="716">
        <v>24610000</v>
      </c>
      <c r="N38" s="716">
        <v>29250000</v>
      </c>
      <c r="O38" s="716">
        <v>24030000</v>
      </c>
      <c r="P38" s="716">
        <v>32790000</v>
      </c>
      <c r="Q38" s="716">
        <v>26640000</v>
      </c>
      <c r="R38" s="716">
        <v>29980000</v>
      </c>
      <c r="S38" s="716">
        <v>24987030</v>
      </c>
      <c r="T38" s="716">
        <v>34056216.659999996</v>
      </c>
      <c r="U38" s="716">
        <v>27427881.129999999</v>
      </c>
    </row>
    <row r="39" spans="1:21" x14ac:dyDescent="0.3">
      <c r="A39" s="735" t="s">
        <v>1119</v>
      </c>
      <c r="B39" s="715" t="s">
        <v>642</v>
      </c>
      <c r="C39" s="715" t="s">
        <v>642</v>
      </c>
      <c r="D39" s="715" t="s">
        <v>642</v>
      </c>
      <c r="E39" s="715" t="s">
        <v>642</v>
      </c>
      <c r="F39" s="715" t="s">
        <v>642</v>
      </c>
      <c r="G39" s="715" t="s">
        <v>642</v>
      </c>
      <c r="H39" s="715" t="s">
        <v>642</v>
      </c>
      <c r="I39" s="715" t="s">
        <v>642</v>
      </c>
      <c r="J39" s="715" t="s">
        <v>642</v>
      </c>
      <c r="K39" s="715" t="s">
        <v>642</v>
      </c>
      <c r="L39" s="715" t="s">
        <v>642</v>
      </c>
      <c r="M39" s="715" t="s">
        <v>642</v>
      </c>
      <c r="N39" s="715" t="s">
        <v>642</v>
      </c>
      <c r="O39" s="715" t="s">
        <v>642</v>
      </c>
      <c r="P39" s="715" t="s">
        <v>642</v>
      </c>
      <c r="Q39" s="715" t="s">
        <v>642</v>
      </c>
      <c r="R39" s="715" t="s">
        <v>642</v>
      </c>
      <c r="S39" s="715" t="s">
        <v>642</v>
      </c>
      <c r="T39" s="715" t="s">
        <v>642</v>
      </c>
      <c r="U39" s="715" t="s">
        <v>642</v>
      </c>
    </row>
    <row r="40" spans="1:21" x14ac:dyDescent="0.3">
      <c r="A40" s="735" t="s">
        <v>1120</v>
      </c>
      <c r="B40" s="716">
        <v>33512500</v>
      </c>
      <c r="C40" s="716">
        <v>31076700</v>
      </c>
      <c r="D40" s="716">
        <v>12987300</v>
      </c>
      <c r="E40" s="716">
        <v>13395900</v>
      </c>
      <c r="F40" s="716">
        <v>14101800</v>
      </c>
      <c r="G40" s="716">
        <v>15350000</v>
      </c>
      <c r="H40" s="716">
        <v>15470000</v>
      </c>
      <c r="I40" s="716">
        <v>14830000</v>
      </c>
      <c r="J40" s="716">
        <v>14750000</v>
      </c>
      <c r="K40" s="716">
        <v>15580000</v>
      </c>
      <c r="L40" s="716">
        <v>14080000</v>
      </c>
      <c r="M40" s="716">
        <v>14390000</v>
      </c>
      <c r="N40" s="716">
        <v>13710000</v>
      </c>
      <c r="O40" s="716">
        <v>14260000</v>
      </c>
      <c r="P40" s="716">
        <v>13480000</v>
      </c>
      <c r="Q40" s="716">
        <v>14420000</v>
      </c>
      <c r="R40" s="716">
        <v>14140000</v>
      </c>
      <c r="S40" s="716">
        <v>14460000</v>
      </c>
      <c r="T40" s="716">
        <v>13693657.449999999</v>
      </c>
      <c r="U40" s="716">
        <v>14337559.140000001</v>
      </c>
    </row>
    <row r="41" spans="1:21" x14ac:dyDescent="0.3">
      <c r="A41" s="735" t="s">
        <v>1117</v>
      </c>
      <c r="B41" s="715" t="s">
        <v>642</v>
      </c>
      <c r="C41" s="715" t="s">
        <v>642</v>
      </c>
      <c r="D41" s="715" t="s">
        <v>642</v>
      </c>
      <c r="E41" s="715" t="s">
        <v>642</v>
      </c>
      <c r="F41" s="715" t="s">
        <v>642</v>
      </c>
      <c r="G41" s="715" t="s">
        <v>642</v>
      </c>
      <c r="H41" s="715" t="s">
        <v>642</v>
      </c>
      <c r="I41" s="715" t="s">
        <v>642</v>
      </c>
      <c r="J41" s="715" t="s">
        <v>642</v>
      </c>
      <c r="K41" s="715" t="s">
        <v>642</v>
      </c>
      <c r="L41" s="715" t="s">
        <v>642</v>
      </c>
      <c r="M41" s="715" t="s">
        <v>642</v>
      </c>
      <c r="N41" s="715" t="s">
        <v>642</v>
      </c>
      <c r="O41" s="715" t="s">
        <v>642</v>
      </c>
      <c r="P41" s="715" t="s">
        <v>642</v>
      </c>
      <c r="Q41" s="715" t="s">
        <v>642</v>
      </c>
      <c r="R41" s="715" t="s">
        <v>642</v>
      </c>
      <c r="S41" s="715" t="s">
        <v>642</v>
      </c>
      <c r="T41" s="715" t="s">
        <v>642</v>
      </c>
      <c r="U41" s="715" t="s">
        <v>642</v>
      </c>
    </row>
    <row r="42" spans="1:21" x14ac:dyDescent="0.3">
      <c r="A42" s="735" t="s">
        <v>1121</v>
      </c>
      <c r="B42" s="716">
        <v>6720644.8399999999</v>
      </c>
      <c r="C42" s="716">
        <v>7680300.4699999997</v>
      </c>
      <c r="D42" s="716">
        <v>6942538.6299999999</v>
      </c>
      <c r="E42" s="716">
        <v>5822955.04</v>
      </c>
      <c r="F42" s="716">
        <v>8450362.6500000004</v>
      </c>
      <c r="G42" s="716">
        <v>9290000</v>
      </c>
      <c r="H42" s="716">
        <v>8720000</v>
      </c>
      <c r="I42" s="716">
        <v>7540000</v>
      </c>
      <c r="J42" s="716">
        <v>7860000</v>
      </c>
      <c r="K42" s="716">
        <v>9160000</v>
      </c>
      <c r="L42" s="716">
        <v>7430000</v>
      </c>
      <c r="M42" s="716">
        <v>7250000</v>
      </c>
      <c r="N42" s="716">
        <v>7320000</v>
      </c>
      <c r="O42" s="716">
        <v>8380000</v>
      </c>
      <c r="P42" s="716">
        <v>7230000</v>
      </c>
      <c r="Q42" s="716">
        <v>7540000</v>
      </c>
      <c r="R42" s="716">
        <v>7580000</v>
      </c>
      <c r="S42" s="716">
        <v>8540598</v>
      </c>
      <c r="T42" s="716">
        <v>7540775.79</v>
      </c>
      <c r="U42" s="716">
        <v>7509347.1900000004</v>
      </c>
    </row>
    <row r="43" spans="1:21" x14ac:dyDescent="0.3">
      <c r="A43" s="735" t="s">
        <v>1119</v>
      </c>
      <c r="B43" s="715" t="s">
        <v>642</v>
      </c>
      <c r="C43" s="715" t="s">
        <v>642</v>
      </c>
      <c r="D43" s="715" t="s">
        <v>642</v>
      </c>
      <c r="E43" s="715" t="s">
        <v>642</v>
      </c>
      <c r="F43" s="715" t="s">
        <v>642</v>
      </c>
      <c r="G43" s="715" t="s">
        <v>642</v>
      </c>
      <c r="H43" s="715" t="s">
        <v>642</v>
      </c>
      <c r="I43" s="715" t="s">
        <v>642</v>
      </c>
      <c r="J43" s="715" t="s">
        <v>642</v>
      </c>
      <c r="K43" s="715" t="s">
        <v>642</v>
      </c>
      <c r="L43" s="715" t="s">
        <v>642</v>
      </c>
      <c r="M43" s="715" t="s">
        <v>642</v>
      </c>
      <c r="N43" s="715" t="s">
        <v>642</v>
      </c>
      <c r="O43" s="715" t="s">
        <v>642</v>
      </c>
      <c r="P43" s="715" t="s">
        <v>642</v>
      </c>
      <c r="Q43" s="715" t="s">
        <v>642</v>
      </c>
      <c r="R43" s="715" t="s">
        <v>642</v>
      </c>
      <c r="S43" s="715" t="s">
        <v>642</v>
      </c>
      <c r="T43" s="715" t="s">
        <v>642</v>
      </c>
      <c r="U43" s="715" t="s">
        <v>642</v>
      </c>
    </row>
    <row r="44" spans="1:21" x14ac:dyDescent="0.3">
      <c r="A44" s="735" t="s">
        <v>1122</v>
      </c>
      <c r="B44" s="716">
        <v>53238200</v>
      </c>
      <c r="C44" s="716">
        <v>58171024</v>
      </c>
      <c r="D44" s="716">
        <v>25929200</v>
      </c>
      <c r="E44" s="716">
        <v>29608000</v>
      </c>
      <c r="F44" s="716">
        <v>35270200</v>
      </c>
      <c r="G44" s="716">
        <v>26280000</v>
      </c>
      <c r="H44" s="716">
        <v>26867414</v>
      </c>
      <c r="I44" s="716">
        <v>28497568</v>
      </c>
      <c r="J44" s="716">
        <v>23023397</v>
      </c>
      <c r="K44" s="716">
        <v>20070000</v>
      </c>
      <c r="L44" s="716">
        <v>13734475</v>
      </c>
      <c r="M44" s="716">
        <v>14729264</v>
      </c>
      <c r="N44" s="716">
        <v>16438381</v>
      </c>
      <c r="O44" s="716">
        <v>21690000</v>
      </c>
      <c r="P44" s="716">
        <v>23137290</v>
      </c>
      <c r="Q44" s="716">
        <v>28556551</v>
      </c>
      <c r="R44" s="716">
        <v>29271373</v>
      </c>
      <c r="S44" s="716">
        <v>30134786</v>
      </c>
      <c r="T44" s="716">
        <v>25488105.920000002</v>
      </c>
      <c r="U44" s="716">
        <v>27823650.07</v>
      </c>
    </row>
    <row r="45" spans="1:21" x14ac:dyDescent="0.3">
      <c r="A45" s="735" t="s">
        <v>963</v>
      </c>
      <c r="B45" s="715" t="s">
        <v>642</v>
      </c>
      <c r="C45" s="715" t="s">
        <v>642</v>
      </c>
      <c r="D45" s="715" t="s">
        <v>642</v>
      </c>
      <c r="E45" s="715" t="s">
        <v>642</v>
      </c>
      <c r="F45" s="715" t="s">
        <v>642</v>
      </c>
      <c r="G45" s="715" t="s">
        <v>642</v>
      </c>
      <c r="H45" s="715" t="s">
        <v>642</v>
      </c>
      <c r="I45" s="715" t="s">
        <v>642</v>
      </c>
      <c r="J45" s="715" t="s">
        <v>642</v>
      </c>
      <c r="K45" s="715" t="s">
        <v>642</v>
      </c>
      <c r="L45" s="715" t="s">
        <v>642</v>
      </c>
      <c r="M45" s="715" t="s">
        <v>642</v>
      </c>
      <c r="N45" s="715" t="s">
        <v>642</v>
      </c>
      <c r="O45" s="715" t="s">
        <v>642</v>
      </c>
      <c r="P45" s="715" t="s">
        <v>642</v>
      </c>
      <c r="Q45" s="715" t="s">
        <v>642</v>
      </c>
      <c r="R45" s="715" t="s">
        <v>642</v>
      </c>
      <c r="S45" s="715" t="s">
        <v>642</v>
      </c>
      <c r="T45" s="715" t="s">
        <v>642</v>
      </c>
      <c r="U45" s="715" t="s">
        <v>642</v>
      </c>
    </row>
    <row r="46" spans="1:21" x14ac:dyDescent="0.3">
      <c r="A46" s="735" t="s">
        <v>1095</v>
      </c>
      <c r="B46" s="716">
        <v>14539865.9</v>
      </c>
      <c r="C46" s="716">
        <v>13951013.359999999</v>
      </c>
      <c r="D46" s="716">
        <v>13927987.109999999</v>
      </c>
      <c r="E46" s="716">
        <v>16403517.35</v>
      </c>
      <c r="F46" s="716">
        <v>20284871.609999999</v>
      </c>
      <c r="G46" s="716">
        <v>19450000</v>
      </c>
      <c r="H46" s="716">
        <v>20090000</v>
      </c>
      <c r="I46" s="716">
        <v>21080000</v>
      </c>
      <c r="J46" s="716">
        <v>15230000</v>
      </c>
      <c r="K46" s="716">
        <v>12140000</v>
      </c>
      <c r="L46" s="716">
        <v>8920000</v>
      </c>
      <c r="M46" s="716">
        <v>8970000</v>
      </c>
      <c r="N46" s="716">
        <v>10530000</v>
      </c>
      <c r="O46" s="716">
        <v>15710000</v>
      </c>
      <c r="P46" s="716">
        <v>17490000</v>
      </c>
      <c r="Q46" s="716">
        <v>21740000</v>
      </c>
      <c r="R46" s="716">
        <v>22270000</v>
      </c>
      <c r="S46" s="716">
        <v>22994650</v>
      </c>
      <c r="T46" s="716">
        <v>19396725.969999999</v>
      </c>
      <c r="U46" s="716">
        <v>21160147.34</v>
      </c>
    </row>
    <row r="47" spans="1:21" x14ac:dyDescent="0.3">
      <c r="A47" s="735" t="s">
        <v>1117</v>
      </c>
      <c r="B47" s="715" t="s">
        <v>642</v>
      </c>
      <c r="C47" s="715" t="s">
        <v>642</v>
      </c>
      <c r="D47" s="715" t="s">
        <v>642</v>
      </c>
      <c r="E47" s="715" t="s">
        <v>642</v>
      </c>
      <c r="F47" s="715" t="s">
        <v>642</v>
      </c>
      <c r="G47" s="715" t="s">
        <v>642</v>
      </c>
      <c r="H47" s="715" t="s">
        <v>642</v>
      </c>
      <c r="I47" s="715" t="s">
        <v>642</v>
      </c>
      <c r="J47" s="715" t="s">
        <v>642</v>
      </c>
      <c r="K47" s="715" t="s">
        <v>642</v>
      </c>
      <c r="L47" s="715" t="s">
        <v>642</v>
      </c>
      <c r="M47" s="715" t="s">
        <v>642</v>
      </c>
      <c r="N47" s="715" t="s">
        <v>642</v>
      </c>
      <c r="O47" s="715" t="s">
        <v>642</v>
      </c>
      <c r="P47" s="715" t="s">
        <v>642</v>
      </c>
      <c r="Q47" s="715" t="s">
        <v>642</v>
      </c>
      <c r="R47" s="715" t="s">
        <v>642</v>
      </c>
      <c r="S47" s="715" t="s">
        <v>642</v>
      </c>
      <c r="T47" s="715" t="s">
        <v>642</v>
      </c>
      <c r="U47" s="715" t="s">
        <v>642</v>
      </c>
    </row>
    <row r="48" spans="1:21" x14ac:dyDescent="0.3">
      <c r="A48" s="735" t="s">
        <v>1123</v>
      </c>
      <c r="B48" s="716">
        <v>4220100</v>
      </c>
      <c r="C48" s="716">
        <v>4331680</v>
      </c>
      <c r="D48" s="716">
        <v>4814203.8600000003</v>
      </c>
      <c r="E48" s="716">
        <v>4774051.34</v>
      </c>
      <c r="F48" s="716">
        <v>5546344.4400000004</v>
      </c>
      <c r="G48" s="716">
        <v>6830000</v>
      </c>
      <c r="H48" s="716">
        <v>6777414</v>
      </c>
      <c r="I48" s="716">
        <v>7417568</v>
      </c>
      <c r="J48" s="716">
        <v>7793397</v>
      </c>
      <c r="K48" s="716">
        <v>7930000</v>
      </c>
      <c r="L48" s="716">
        <v>4814475</v>
      </c>
      <c r="M48" s="716">
        <v>5759264</v>
      </c>
      <c r="N48" s="716">
        <v>5908381</v>
      </c>
      <c r="O48" s="716">
        <v>5980000</v>
      </c>
      <c r="P48" s="716">
        <v>5647290</v>
      </c>
      <c r="Q48" s="716">
        <v>6816551</v>
      </c>
      <c r="R48" s="716">
        <v>7001373</v>
      </c>
      <c r="S48" s="716">
        <v>7140136</v>
      </c>
      <c r="T48" s="716">
        <v>6122608.9299999997</v>
      </c>
      <c r="U48" s="716">
        <v>6705394.0700000003</v>
      </c>
    </row>
    <row r="49" spans="1:21" x14ac:dyDescent="0.3">
      <c r="A49" s="735" t="s">
        <v>1117</v>
      </c>
      <c r="B49" s="715" t="s">
        <v>642</v>
      </c>
      <c r="C49" s="715" t="s">
        <v>642</v>
      </c>
      <c r="D49" s="715" t="s">
        <v>642</v>
      </c>
      <c r="E49" s="715" t="s">
        <v>642</v>
      </c>
      <c r="F49" s="715" t="s">
        <v>642</v>
      </c>
      <c r="G49" s="715" t="s">
        <v>642</v>
      </c>
      <c r="H49" s="715" t="s">
        <v>642</v>
      </c>
      <c r="I49" s="715" t="s">
        <v>642</v>
      </c>
      <c r="J49" s="715" t="s">
        <v>642</v>
      </c>
      <c r="K49" s="715" t="s">
        <v>642</v>
      </c>
      <c r="L49" s="715" t="s">
        <v>642</v>
      </c>
      <c r="M49" s="715" t="s">
        <v>642</v>
      </c>
      <c r="N49" s="715" t="s">
        <v>642</v>
      </c>
      <c r="O49" s="715" t="s">
        <v>642</v>
      </c>
      <c r="P49" s="715" t="s">
        <v>642</v>
      </c>
      <c r="Q49" s="715" t="s">
        <v>642</v>
      </c>
      <c r="R49" s="715" t="s">
        <v>642</v>
      </c>
      <c r="S49" s="715" t="s">
        <v>642</v>
      </c>
      <c r="T49" s="715" t="s">
        <v>642</v>
      </c>
      <c r="U49" s="715" t="s">
        <v>642</v>
      </c>
    </row>
    <row r="50" spans="1:21" x14ac:dyDescent="0.3">
      <c r="A50" s="735" t="s">
        <v>1124</v>
      </c>
      <c r="B50" s="716">
        <v>15785300</v>
      </c>
      <c r="C50" s="716">
        <v>21489403</v>
      </c>
      <c r="D50" s="716">
        <v>6923000</v>
      </c>
      <c r="E50" s="716">
        <v>6867900</v>
      </c>
      <c r="F50" s="716">
        <v>8863200</v>
      </c>
      <c r="G50" s="716">
        <v>9060000</v>
      </c>
      <c r="H50" s="716">
        <v>7970491</v>
      </c>
      <c r="I50" s="716">
        <v>7710680</v>
      </c>
      <c r="J50" s="716">
        <v>9394448</v>
      </c>
      <c r="K50" s="716">
        <v>9310000</v>
      </c>
      <c r="L50" s="716">
        <v>6614151</v>
      </c>
      <c r="M50" s="716">
        <v>6483066</v>
      </c>
      <c r="N50" s="716">
        <v>8218580</v>
      </c>
      <c r="O50" s="716">
        <v>9660000</v>
      </c>
      <c r="P50" s="716">
        <v>5386418</v>
      </c>
      <c r="Q50" s="716">
        <v>7646160</v>
      </c>
      <c r="R50" s="716">
        <v>7999109</v>
      </c>
      <c r="S50" s="716">
        <v>8168313</v>
      </c>
      <c r="T50" s="716">
        <v>6056189.9199999999</v>
      </c>
      <c r="U50" s="716">
        <v>7230462.9000000004</v>
      </c>
    </row>
    <row r="51" spans="1:21" x14ac:dyDescent="0.3">
      <c r="A51" s="735" t="s">
        <v>963</v>
      </c>
      <c r="B51" s="715" t="s">
        <v>642</v>
      </c>
      <c r="C51" s="715" t="s">
        <v>642</v>
      </c>
      <c r="D51" s="715" t="s">
        <v>642</v>
      </c>
      <c r="E51" s="715" t="s">
        <v>642</v>
      </c>
      <c r="F51" s="715" t="s">
        <v>642</v>
      </c>
      <c r="G51" s="715" t="s">
        <v>642</v>
      </c>
      <c r="H51" s="715" t="s">
        <v>642</v>
      </c>
      <c r="I51" s="715" t="s">
        <v>642</v>
      </c>
      <c r="J51" s="715" t="s">
        <v>642</v>
      </c>
      <c r="K51" s="715" t="s">
        <v>642</v>
      </c>
      <c r="L51" s="715" t="s">
        <v>642</v>
      </c>
      <c r="M51" s="715" t="s">
        <v>642</v>
      </c>
      <c r="N51" s="715" t="s">
        <v>642</v>
      </c>
      <c r="O51" s="715" t="s">
        <v>642</v>
      </c>
      <c r="P51" s="715" t="s">
        <v>642</v>
      </c>
      <c r="Q51" s="715" t="s">
        <v>642</v>
      </c>
      <c r="R51" s="715" t="s">
        <v>642</v>
      </c>
      <c r="S51" s="715" t="s">
        <v>642</v>
      </c>
      <c r="T51" s="715" t="s">
        <v>642</v>
      </c>
      <c r="U51" s="715" t="s">
        <v>642</v>
      </c>
    </row>
    <row r="52" spans="1:21" x14ac:dyDescent="0.3">
      <c r="A52" s="735" t="s">
        <v>1125</v>
      </c>
      <c r="B52" s="716">
        <v>2897000</v>
      </c>
      <c r="C52" s="716">
        <v>3254218</v>
      </c>
      <c r="D52" s="716">
        <v>2367300</v>
      </c>
      <c r="E52" s="716">
        <v>2419400</v>
      </c>
      <c r="F52" s="716">
        <v>2400000</v>
      </c>
      <c r="G52" s="716">
        <v>2850000</v>
      </c>
      <c r="H52" s="716">
        <v>2666346</v>
      </c>
      <c r="I52" s="716">
        <v>2982834</v>
      </c>
      <c r="J52" s="716">
        <v>3625723</v>
      </c>
      <c r="K52" s="716">
        <v>3940000</v>
      </c>
      <c r="L52" s="716">
        <v>3165897</v>
      </c>
      <c r="M52" s="716">
        <v>3495745</v>
      </c>
      <c r="N52" s="716">
        <v>3802481</v>
      </c>
      <c r="O52" s="716">
        <v>3920000</v>
      </c>
      <c r="P52" s="716">
        <v>3200250</v>
      </c>
      <c r="Q52" s="716">
        <v>3619094</v>
      </c>
      <c r="R52" s="716">
        <v>3529579</v>
      </c>
      <c r="S52" s="716">
        <v>3900000</v>
      </c>
      <c r="T52" s="716">
        <v>3443421.92</v>
      </c>
      <c r="U52" s="716">
        <v>3823878.42</v>
      </c>
    </row>
    <row r="53" spans="1:21" x14ac:dyDescent="0.3">
      <c r="A53" s="735" t="s">
        <v>963</v>
      </c>
      <c r="B53" s="715" t="s">
        <v>642</v>
      </c>
      <c r="C53" s="715" t="s">
        <v>642</v>
      </c>
      <c r="D53" s="715" t="s">
        <v>642</v>
      </c>
      <c r="E53" s="715" t="s">
        <v>642</v>
      </c>
      <c r="F53" s="715" t="s">
        <v>642</v>
      </c>
      <c r="G53" s="715" t="s">
        <v>642</v>
      </c>
      <c r="H53" s="715" t="s">
        <v>642</v>
      </c>
      <c r="I53" s="715" t="s">
        <v>642</v>
      </c>
      <c r="J53" s="715" t="s">
        <v>642</v>
      </c>
      <c r="K53" s="715" t="s">
        <v>642</v>
      </c>
      <c r="L53" s="715" t="s">
        <v>642</v>
      </c>
      <c r="M53" s="715" t="s">
        <v>642</v>
      </c>
      <c r="N53" s="715" t="s">
        <v>642</v>
      </c>
      <c r="O53" s="715" t="s">
        <v>642</v>
      </c>
      <c r="P53" s="715" t="s">
        <v>642</v>
      </c>
      <c r="Q53" s="715" t="s">
        <v>642</v>
      </c>
      <c r="R53" s="715" t="s">
        <v>642</v>
      </c>
      <c r="S53" s="715" t="s">
        <v>642</v>
      </c>
      <c r="T53" s="715" t="s">
        <v>642</v>
      </c>
      <c r="U53" s="715" t="s">
        <v>642</v>
      </c>
    </row>
    <row r="54" spans="1:21" x14ac:dyDescent="0.3">
      <c r="A54" s="735" t="s">
        <v>971</v>
      </c>
      <c r="B54" s="715" t="s">
        <v>642</v>
      </c>
      <c r="C54" s="715" t="s">
        <v>642</v>
      </c>
      <c r="D54" s="715" t="s">
        <v>642</v>
      </c>
      <c r="E54" s="715" t="s">
        <v>642</v>
      </c>
      <c r="F54" s="715" t="s">
        <v>642</v>
      </c>
      <c r="G54" s="715" t="s">
        <v>642</v>
      </c>
      <c r="H54" s="715" t="s">
        <v>642</v>
      </c>
      <c r="I54" s="715" t="s">
        <v>642</v>
      </c>
      <c r="J54" s="715" t="s">
        <v>642</v>
      </c>
      <c r="K54" s="715" t="s">
        <v>642</v>
      </c>
      <c r="L54" s="715" t="s">
        <v>642</v>
      </c>
      <c r="M54" s="715" t="s">
        <v>642</v>
      </c>
      <c r="N54" s="715" t="s">
        <v>642</v>
      </c>
      <c r="O54" s="715" t="s">
        <v>642</v>
      </c>
      <c r="P54" s="715" t="s">
        <v>642</v>
      </c>
      <c r="Q54" s="715" t="s">
        <v>642</v>
      </c>
      <c r="R54" s="715" t="s">
        <v>642</v>
      </c>
      <c r="S54" s="715" t="s">
        <v>642</v>
      </c>
      <c r="T54" s="715" t="s">
        <v>642</v>
      </c>
      <c r="U54" s="715" t="s">
        <v>642</v>
      </c>
    </row>
    <row r="55" spans="1:21" x14ac:dyDescent="0.3">
      <c r="A55" s="735" t="s">
        <v>1126</v>
      </c>
      <c r="B55" s="715" t="s">
        <v>642</v>
      </c>
      <c r="C55" s="715" t="s">
        <v>642</v>
      </c>
      <c r="D55" s="715" t="s">
        <v>642</v>
      </c>
      <c r="E55" s="715" t="s">
        <v>642</v>
      </c>
      <c r="F55" s="715" t="s">
        <v>642</v>
      </c>
      <c r="G55" s="715" t="s">
        <v>642</v>
      </c>
      <c r="H55" s="715" t="s">
        <v>642</v>
      </c>
      <c r="I55" s="715" t="s">
        <v>642</v>
      </c>
      <c r="J55" s="715" t="s">
        <v>642</v>
      </c>
      <c r="K55" s="715" t="s">
        <v>642</v>
      </c>
      <c r="L55" s="715" t="s">
        <v>642</v>
      </c>
      <c r="M55" s="715" t="s">
        <v>642</v>
      </c>
      <c r="N55" s="715" t="s">
        <v>642</v>
      </c>
      <c r="O55" s="715" t="s">
        <v>642</v>
      </c>
      <c r="P55" s="715" t="s">
        <v>642</v>
      </c>
      <c r="Q55" s="715" t="s">
        <v>642</v>
      </c>
      <c r="R55" s="715" t="s">
        <v>642</v>
      </c>
      <c r="S55" s="715" t="s">
        <v>642</v>
      </c>
      <c r="T55" s="715" t="s">
        <v>642</v>
      </c>
      <c r="U55" s="715" t="s">
        <v>642</v>
      </c>
    </row>
    <row r="56" spans="1:21" x14ac:dyDescent="0.3">
      <c r="A56" s="735" t="s">
        <v>1127</v>
      </c>
      <c r="B56" s="715" t="s">
        <v>642</v>
      </c>
      <c r="C56" s="715" t="s">
        <v>642</v>
      </c>
      <c r="D56" s="715" t="s">
        <v>642</v>
      </c>
      <c r="E56" s="715" t="s">
        <v>642</v>
      </c>
      <c r="F56" s="715" t="s">
        <v>642</v>
      </c>
      <c r="G56" s="715" t="s">
        <v>642</v>
      </c>
      <c r="H56" s="715" t="s">
        <v>642</v>
      </c>
      <c r="I56" s="715" t="s">
        <v>642</v>
      </c>
      <c r="J56" s="715" t="s">
        <v>642</v>
      </c>
      <c r="K56" s="715" t="s">
        <v>642</v>
      </c>
      <c r="L56" s="715" t="s">
        <v>642</v>
      </c>
      <c r="M56" s="715" t="s">
        <v>642</v>
      </c>
      <c r="N56" s="715" t="s">
        <v>642</v>
      </c>
      <c r="O56" s="715" t="s">
        <v>642</v>
      </c>
      <c r="P56" s="715" t="s">
        <v>642</v>
      </c>
      <c r="Q56" s="715" t="s">
        <v>642</v>
      </c>
      <c r="R56" s="715" t="s">
        <v>642</v>
      </c>
      <c r="S56" s="715" t="s">
        <v>642</v>
      </c>
      <c r="T56" s="715" t="s">
        <v>642</v>
      </c>
      <c r="U56" s="715" t="s">
        <v>642</v>
      </c>
    </row>
    <row r="57" spans="1:21" x14ac:dyDescent="0.3">
      <c r="A57" s="735" t="s">
        <v>1129</v>
      </c>
      <c r="B57" s="715" t="s">
        <v>642</v>
      </c>
      <c r="C57" s="715" t="s">
        <v>642</v>
      </c>
      <c r="D57" s="715" t="s">
        <v>642</v>
      </c>
      <c r="E57" s="715" t="s">
        <v>642</v>
      </c>
      <c r="F57" s="715" t="s">
        <v>642</v>
      </c>
      <c r="G57" s="715" t="s">
        <v>642</v>
      </c>
      <c r="H57" s="715" t="s">
        <v>642</v>
      </c>
      <c r="I57" s="715" t="s">
        <v>642</v>
      </c>
      <c r="J57" s="715" t="s">
        <v>642</v>
      </c>
      <c r="K57" s="715" t="s">
        <v>642</v>
      </c>
      <c r="L57" s="715" t="s">
        <v>642</v>
      </c>
      <c r="M57" s="715" t="s">
        <v>642</v>
      </c>
      <c r="N57" s="715" t="s">
        <v>642</v>
      </c>
      <c r="O57" s="715" t="s">
        <v>642</v>
      </c>
      <c r="P57" s="715" t="s">
        <v>642</v>
      </c>
      <c r="Q57" s="715" t="s">
        <v>642</v>
      </c>
      <c r="R57" s="715" t="s">
        <v>642</v>
      </c>
      <c r="S57" s="715" t="s">
        <v>642</v>
      </c>
      <c r="T57" s="715" t="s">
        <v>642</v>
      </c>
      <c r="U57" s="715" t="s">
        <v>642</v>
      </c>
    </row>
    <row r="58" spans="1:21" x14ac:dyDescent="0.3">
      <c r="A58" s="735" t="s">
        <v>1130</v>
      </c>
      <c r="B58" s="716">
        <v>36655300</v>
      </c>
      <c r="C58" s="716">
        <v>35970834</v>
      </c>
      <c r="D58" s="716">
        <v>19006200</v>
      </c>
      <c r="E58" s="716">
        <v>22740100</v>
      </c>
      <c r="F58" s="716">
        <v>26407000</v>
      </c>
      <c r="G58" s="716">
        <v>26005300</v>
      </c>
      <c r="H58" s="715" t="s">
        <v>642</v>
      </c>
      <c r="I58" s="715" t="s">
        <v>642</v>
      </c>
      <c r="J58" s="715" t="s">
        <v>642</v>
      </c>
      <c r="K58" s="715" t="s">
        <v>642</v>
      </c>
      <c r="L58" s="715" t="s">
        <v>642</v>
      </c>
      <c r="M58" s="715" t="s">
        <v>642</v>
      </c>
      <c r="N58" s="715" t="s">
        <v>642</v>
      </c>
      <c r="O58" s="715" t="s">
        <v>642</v>
      </c>
      <c r="P58" s="715" t="s">
        <v>642</v>
      </c>
      <c r="Q58" s="715" t="s">
        <v>642</v>
      </c>
      <c r="R58" s="715" t="s">
        <v>642</v>
      </c>
      <c r="S58" s="715" t="s">
        <v>642</v>
      </c>
      <c r="T58" s="715" t="s">
        <v>642</v>
      </c>
      <c r="U58" s="715" t="s">
        <v>642</v>
      </c>
    </row>
    <row r="59" spans="1:21" x14ac:dyDescent="0.3">
      <c r="A59" s="735" t="s">
        <v>226</v>
      </c>
      <c r="B59" s="715" t="s">
        <v>642</v>
      </c>
      <c r="C59" s="715" t="s">
        <v>642</v>
      </c>
      <c r="D59" s="715" t="s">
        <v>642</v>
      </c>
      <c r="E59" s="715" t="s">
        <v>642</v>
      </c>
      <c r="F59" s="715" t="s">
        <v>642</v>
      </c>
      <c r="G59" s="715" t="s">
        <v>642</v>
      </c>
      <c r="H59" s="715" t="s">
        <v>642</v>
      </c>
      <c r="I59" s="715" t="s">
        <v>642</v>
      </c>
      <c r="J59" s="715" t="s">
        <v>642</v>
      </c>
      <c r="K59" s="715" t="s">
        <v>642</v>
      </c>
      <c r="L59" s="715" t="s">
        <v>642</v>
      </c>
      <c r="M59" s="715" t="s">
        <v>642</v>
      </c>
      <c r="N59" s="715" t="s">
        <v>642</v>
      </c>
      <c r="O59" s="715" t="s">
        <v>642</v>
      </c>
      <c r="P59" s="715" t="s">
        <v>642</v>
      </c>
      <c r="Q59" s="715" t="s">
        <v>642</v>
      </c>
      <c r="R59" s="715" t="s">
        <v>642</v>
      </c>
      <c r="S59" s="715" t="s">
        <v>642</v>
      </c>
      <c r="T59" s="715" t="s">
        <v>642</v>
      </c>
      <c r="U59" s="715" t="s">
        <v>642</v>
      </c>
    </row>
    <row r="60" spans="1:21" x14ac:dyDescent="0.3">
      <c r="A60" s="735" t="s">
        <v>1132</v>
      </c>
      <c r="B60" s="715" t="s">
        <v>642</v>
      </c>
      <c r="C60" s="715" t="s">
        <v>642</v>
      </c>
      <c r="D60" s="715" t="s">
        <v>642</v>
      </c>
      <c r="E60" s="715" t="s">
        <v>642</v>
      </c>
      <c r="F60" s="715" t="s">
        <v>642</v>
      </c>
      <c r="G60" s="715" t="s">
        <v>642</v>
      </c>
      <c r="H60" s="715" t="s">
        <v>642</v>
      </c>
      <c r="I60" s="715" t="s">
        <v>642</v>
      </c>
      <c r="J60" s="715" t="s">
        <v>642</v>
      </c>
      <c r="K60" s="715" t="s">
        <v>642</v>
      </c>
      <c r="L60" s="715" t="s">
        <v>642</v>
      </c>
      <c r="M60" s="715" t="s">
        <v>642</v>
      </c>
      <c r="N60" s="715" t="s">
        <v>642</v>
      </c>
      <c r="O60" s="715" t="s">
        <v>642</v>
      </c>
      <c r="P60" s="715" t="s">
        <v>642</v>
      </c>
      <c r="Q60" s="715" t="s">
        <v>642</v>
      </c>
      <c r="R60" s="715" t="s">
        <v>642</v>
      </c>
      <c r="S60" s="715" t="s">
        <v>642</v>
      </c>
      <c r="T60" s="715" t="s">
        <v>642</v>
      </c>
      <c r="U60" s="715" t="s">
        <v>642</v>
      </c>
    </row>
    <row r="61" spans="1:21" x14ac:dyDescent="0.3">
      <c r="A61" s="735" t="s">
        <v>1115</v>
      </c>
      <c r="B61" s="715" t="s">
        <v>642</v>
      </c>
      <c r="C61" s="715" t="s">
        <v>642</v>
      </c>
      <c r="D61" s="715" t="s">
        <v>642</v>
      </c>
      <c r="E61" s="715" t="s">
        <v>642</v>
      </c>
      <c r="F61" s="715" t="s">
        <v>642</v>
      </c>
      <c r="G61" s="716">
        <v>82753000</v>
      </c>
      <c r="H61" s="716">
        <v>75556000</v>
      </c>
      <c r="I61" s="716">
        <v>65305000</v>
      </c>
      <c r="J61" s="716">
        <v>69948000</v>
      </c>
      <c r="K61" s="716">
        <v>60173000</v>
      </c>
      <c r="L61" s="716">
        <v>64920000</v>
      </c>
      <c r="M61" s="716">
        <v>49702000</v>
      </c>
      <c r="N61" s="716">
        <v>61383000</v>
      </c>
      <c r="O61" s="716">
        <v>54071000</v>
      </c>
      <c r="P61" s="716">
        <v>62828000</v>
      </c>
      <c r="Q61" s="716">
        <v>55703000</v>
      </c>
      <c r="R61" s="716">
        <v>119652000</v>
      </c>
      <c r="S61" s="715" t="s">
        <v>642</v>
      </c>
      <c r="T61" s="715" t="s">
        <v>642</v>
      </c>
      <c r="U61" s="715" t="s">
        <v>642</v>
      </c>
    </row>
    <row r="62" spans="1:21" x14ac:dyDescent="0.3">
      <c r="A62" s="735" t="s">
        <v>963</v>
      </c>
      <c r="B62" s="715" t="s">
        <v>642</v>
      </c>
      <c r="C62" s="715" t="s">
        <v>642</v>
      </c>
      <c r="D62" s="715" t="s">
        <v>642</v>
      </c>
      <c r="E62" s="715" t="s">
        <v>642</v>
      </c>
      <c r="F62" s="715" t="s">
        <v>642</v>
      </c>
      <c r="G62" s="715" t="s">
        <v>642</v>
      </c>
      <c r="H62" s="715" t="s">
        <v>642</v>
      </c>
      <c r="I62" s="715" t="s">
        <v>642</v>
      </c>
      <c r="J62" s="715" t="s">
        <v>642</v>
      </c>
      <c r="K62" s="715" t="s">
        <v>642</v>
      </c>
      <c r="L62" s="715" t="s">
        <v>642</v>
      </c>
      <c r="M62" s="715" t="s">
        <v>642</v>
      </c>
      <c r="N62" s="715" t="s">
        <v>642</v>
      </c>
      <c r="O62" s="715" t="s">
        <v>642</v>
      </c>
      <c r="P62" s="715" t="s">
        <v>642</v>
      </c>
      <c r="Q62" s="715" t="s">
        <v>642</v>
      </c>
      <c r="R62" s="715" t="s">
        <v>642</v>
      </c>
      <c r="S62" s="715" t="s">
        <v>642</v>
      </c>
      <c r="T62" s="715" t="s">
        <v>642</v>
      </c>
      <c r="U62" s="715" t="s">
        <v>642</v>
      </c>
    </row>
    <row r="63" spans="1:21" x14ac:dyDescent="0.3">
      <c r="A63" s="735" t="s">
        <v>1120</v>
      </c>
      <c r="B63" s="716">
        <v>15502000</v>
      </c>
      <c r="C63" s="716">
        <v>13910000</v>
      </c>
      <c r="D63" s="716">
        <v>11011000</v>
      </c>
      <c r="E63" s="716">
        <v>10655000</v>
      </c>
      <c r="F63" s="716">
        <v>10353000</v>
      </c>
      <c r="G63" s="716">
        <v>12114000</v>
      </c>
      <c r="H63" s="716">
        <v>12261000</v>
      </c>
      <c r="I63" s="716">
        <v>8616000</v>
      </c>
      <c r="J63" s="716">
        <v>10422000</v>
      </c>
      <c r="K63" s="716">
        <v>10503000</v>
      </c>
      <c r="L63" s="716">
        <v>10559000</v>
      </c>
      <c r="M63" s="716">
        <v>8709000</v>
      </c>
      <c r="N63" s="716">
        <v>10939000</v>
      </c>
      <c r="O63" s="716">
        <v>9878000</v>
      </c>
      <c r="P63" s="716">
        <v>9919000</v>
      </c>
      <c r="Q63" s="716">
        <v>9926000</v>
      </c>
      <c r="R63" s="716">
        <v>18688000</v>
      </c>
      <c r="S63" s="715" t="s">
        <v>642</v>
      </c>
      <c r="T63" s="715" t="s">
        <v>642</v>
      </c>
      <c r="U63" s="715" t="s">
        <v>642</v>
      </c>
    </row>
    <row r="64" spans="1:21" x14ac:dyDescent="0.3">
      <c r="A64" s="735" t="s">
        <v>1117</v>
      </c>
      <c r="B64" s="715" t="s">
        <v>642</v>
      </c>
      <c r="C64" s="715" t="s">
        <v>642</v>
      </c>
      <c r="D64" s="715" t="s">
        <v>642</v>
      </c>
      <c r="E64" s="715" t="s">
        <v>642</v>
      </c>
      <c r="F64" s="715" t="s">
        <v>642</v>
      </c>
      <c r="G64" s="715" t="s">
        <v>642</v>
      </c>
      <c r="H64" s="715" t="s">
        <v>642</v>
      </c>
      <c r="I64" s="715" t="s">
        <v>642</v>
      </c>
      <c r="J64" s="715" t="s">
        <v>642</v>
      </c>
      <c r="K64" s="715" t="s">
        <v>642</v>
      </c>
      <c r="L64" s="715" t="s">
        <v>642</v>
      </c>
      <c r="M64" s="715" t="s">
        <v>642</v>
      </c>
      <c r="N64" s="715" t="s">
        <v>642</v>
      </c>
      <c r="O64" s="715" t="s">
        <v>642</v>
      </c>
      <c r="P64" s="715" t="s">
        <v>642</v>
      </c>
      <c r="Q64" s="715" t="s">
        <v>642</v>
      </c>
      <c r="R64" s="715" t="s">
        <v>642</v>
      </c>
      <c r="S64" s="715" t="s">
        <v>642</v>
      </c>
      <c r="T64" s="715" t="s">
        <v>642</v>
      </c>
      <c r="U64" s="715" t="s">
        <v>642</v>
      </c>
    </row>
    <row r="65" spans="1:21" x14ac:dyDescent="0.3">
      <c r="A65" s="735" t="s">
        <v>1121</v>
      </c>
      <c r="B65" s="716">
        <v>15502000</v>
      </c>
      <c r="C65" s="716">
        <v>13910000</v>
      </c>
      <c r="D65" s="716">
        <v>11011000</v>
      </c>
      <c r="E65" s="716">
        <v>10655000</v>
      </c>
      <c r="F65" s="716">
        <v>10353000</v>
      </c>
      <c r="G65" s="716">
        <v>12114000</v>
      </c>
      <c r="H65" s="716">
        <v>12261000</v>
      </c>
      <c r="I65" s="716">
        <v>8616000</v>
      </c>
      <c r="J65" s="716">
        <v>10422000</v>
      </c>
      <c r="K65" s="716">
        <v>10503000</v>
      </c>
      <c r="L65" s="716">
        <v>10559000</v>
      </c>
      <c r="M65" s="716">
        <v>8709000</v>
      </c>
      <c r="N65" s="716">
        <v>10939000</v>
      </c>
      <c r="O65" s="716">
        <v>9878000</v>
      </c>
      <c r="P65" s="716">
        <v>9919000</v>
      </c>
      <c r="Q65" s="716">
        <v>9926000</v>
      </c>
      <c r="R65" s="716">
        <v>18688000</v>
      </c>
      <c r="S65" s="715" t="s">
        <v>642</v>
      </c>
      <c r="T65" s="715" t="s">
        <v>642</v>
      </c>
      <c r="U65" s="715" t="s">
        <v>642</v>
      </c>
    </row>
    <row r="66" spans="1:21" x14ac:dyDescent="0.3">
      <c r="A66" s="735" t="s">
        <v>1119</v>
      </c>
      <c r="B66" s="715" t="s">
        <v>642</v>
      </c>
      <c r="C66" s="715" t="s">
        <v>642</v>
      </c>
      <c r="D66" s="715" t="s">
        <v>642</v>
      </c>
      <c r="E66" s="715" t="s">
        <v>642</v>
      </c>
      <c r="F66" s="715" t="s">
        <v>642</v>
      </c>
      <c r="G66" s="715" t="s">
        <v>642</v>
      </c>
      <c r="H66" s="715" t="s">
        <v>642</v>
      </c>
      <c r="I66" s="715" t="s">
        <v>642</v>
      </c>
      <c r="J66" s="715" t="s">
        <v>642</v>
      </c>
      <c r="K66" s="715" t="s">
        <v>642</v>
      </c>
      <c r="L66" s="715" t="s">
        <v>642</v>
      </c>
      <c r="M66" s="715" t="s">
        <v>642</v>
      </c>
      <c r="N66" s="715" t="s">
        <v>642</v>
      </c>
      <c r="O66" s="715" t="s">
        <v>642</v>
      </c>
      <c r="P66" s="715" t="s">
        <v>642</v>
      </c>
      <c r="Q66" s="715" t="s">
        <v>642</v>
      </c>
      <c r="R66" s="715" t="s">
        <v>642</v>
      </c>
      <c r="S66" s="715" t="s">
        <v>642</v>
      </c>
      <c r="T66" s="715" t="s">
        <v>642</v>
      </c>
      <c r="U66" s="715" t="s">
        <v>642</v>
      </c>
    </row>
    <row r="67" spans="1:21" x14ac:dyDescent="0.3">
      <c r="A67" s="735" t="s">
        <v>1133</v>
      </c>
      <c r="B67" s="715" t="s">
        <v>642</v>
      </c>
      <c r="C67" s="715" t="s">
        <v>642</v>
      </c>
      <c r="D67" s="715" t="s">
        <v>642</v>
      </c>
      <c r="E67" s="715" t="s">
        <v>642</v>
      </c>
      <c r="F67" s="715" t="s">
        <v>642</v>
      </c>
      <c r="G67" s="716">
        <v>70639000</v>
      </c>
      <c r="H67" s="716">
        <v>63295000</v>
      </c>
      <c r="I67" s="716">
        <v>56689000</v>
      </c>
      <c r="J67" s="716">
        <v>59526000</v>
      </c>
      <c r="K67" s="716">
        <v>49670000</v>
      </c>
      <c r="L67" s="716">
        <v>54361000</v>
      </c>
      <c r="M67" s="716">
        <v>40993000</v>
      </c>
      <c r="N67" s="716">
        <v>50444000</v>
      </c>
      <c r="O67" s="716">
        <v>44193000</v>
      </c>
      <c r="P67" s="716">
        <v>52909000</v>
      </c>
      <c r="Q67" s="716">
        <v>45777000</v>
      </c>
      <c r="R67" s="716">
        <v>100964000</v>
      </c>
      <c r="S67" s="715" t="s">
        <v>642</v>
      </c>
      <c r="T67" s="715" t="s">
        <v>642</v>
      </c>
      <c r="U67" s="715" t="s">
        <v>642</v>
      </c>
    </row>
    <row r="68" spans="1:21" x14ac:dyDescent="0.3">
      <c r="A68" s="735" t="s">
        <v>1117</v>
      </c>
      <c r="B68" s="715" t="s">
        <v>642</v>
      </c>
      <c r="C68" s="715" t="s">
        <v>642</v>
      </c>
      <c r="D68" s="715" t="s">
        <v>642</v>
      </c>
      <c r="E68" s="715" t="s">
        <v>642</v>
      </c>
      <c r="F68" s="715" t="s">
        <v>642</v>
      </c>
      <c r="G68" s="715" t="s">
        <v>642</v>
      </c>
      <c r="H68" s="715" t="s">
        <v>642</v>
      </c>
      <c r="I68" s="715" t="s">
        <v>642</v>
      </c>
      <c r="J68" s="715" t="s">
        <v>642</v>
      </c>
      <c r="K68" s="715" t="s">
        <v>642</v>
      </c>
      <c r="L68" s="715" t="s">
        <v>642</v>
      </c>
      <c r="M68" s="715" t="s">
        <v>642</v>
      </c>
      <c r="N68" s="715" t="s">
        <v>642</v>
      </c>
      <c r="O68" s="715" t="s">
        <v>642</v>
      </c>
      <c r="P68" s="715" t="s">
        <v>642</v>
      </c>
      <c r="Q68" s="715" t="s">
        <v>642</v>
      </c>
      <c r="R68" s="715" t="s">
        <v>642</v>
      </c>
      <c r="S68" s="715" t="s">
        <v>642</v>
      </c>
      <c r="T68" s="715" t="s">
        <v>642</v>
      </c>
      <c r="U68" s="715" t="s">
        <v>642</v>
      </c>
    </row>
    <row r="69" spans="1:21" x14ac:dyDescent="0.3">
      <c r="A69" s="735" t="s">
        <v>1122</v>
      </c>
      <c r="B69" s="716">
        <v>312046589000</v>
      </c>
      <c r="C69" s="716">
        <v>358055521000</v>
      </c>
      <c r="D69" s="716">
        <v>370363056000</v>
      </c>
      <c r="E69" s="716">
        <v>416875853000</v>
      </c>
      <c r="F69" s="716">
        <v>475930440000</v>
      </c>
      <c r="G69" s="716">
        <v>492840592000</v>
      </c>
      <c r="H69" s="716">
        <v>462503956000</v>
      </c>
      <c r="I69" s="716">
        <v>523319909000</v>
      </c>
      <c r="J69" s="716">
        <v>426481301000</v>
      </c>
      <c r="K69" s="716">
        <v>493426670000</v>
      </c>
      <c r="L69" s="716">
        <v>465881169000</v>
      </c>
      <c r="M69" s="716">
        <v>474659131000</v>
      </c>
      <c r="N69" s="716">
        <v>464394114000</v>
      </c>
      <c r="O69" s="716">
        <v>521717132000</v>
      </c>
      <c r="P69" s="716">
        <v>577186808000</v>
      </c>
      <c r="Q69" s="716">
        <v>579736997000</v>
      </c>
      <c r="R69" s="716">
        <v>536179217000</v>
      </c>
      <c r="S69" s="715" t="s">
        <v>642</v>
      </c>
      <c r="T69" s="715" t="s">
        <v>642</v>
      </c>
      <c r="U69" s="715" t="s">
        <v>642</v>
      </c>
    </row>
    <row r="70" spans="1:21" x14ac:dyDescent="0.3">
      <c r="A70" s="735" t="s">
        <v>963</v>
      </c>
      <c r="B70" s="715" t="s">
        <v>642</v>
      </c>
      <c r="C70" s="715" t="s">
        <v>642</v>
      </c>
      <c r="D70" s="715" t="s">
        <v>642</v>
      </c>
      <c r="E70" s="715" t="s">
        <v>642</v>
      </c>
      <c r="F70" s="715" t="s">
        <v>642</v>
      </c>
      <c r="G70" s="715" t="s">
        <v>642</v>
      </c>
      <c r="H70" s="715" t="s">
        <v>642</v>
      </c>
      <c r="I70" s="715" t="s">
        <v>642</v>
      </c>
      <c r="J70" s="715" t="s">
        <v>642</v>
      </c>
      <c r="K70" s="715" t="s">
        <v>642</v>
      </c>
      <c r="L70" s="715" t="s">
        <v>642</v>
      </c>
      <c r="M70" s="715" t="s">
        <v>642</v>
      </c>
      <c r="N70" s="715" t="s">
        <v>642</v>
      </c>
      <c r="O70" s="715" t="s">
        <v>642</v>
      </c>
      <c r="P70" s="715" t="s">
        <v>642</v>
      </c>
      <c r="Q70" s="715" t="s">
        <v>642</v>
      </c>
      <c r="R70" s="715" t="s">
        <v>642</v>
      </c>
      <c r="S70" s="715" t="s">
        <v>642</v>
      </c>
      <c r="T70" s="715" t="s">
        <v>642</v>
      </c>
      <c r="U70" s="715" t="s">
        <v>642</v>
      </c>
    </row>
    <row r="71" spans="1:21" x14ac:dyDescent="0.3">
      <c r="A71" s="735" t="s">
        <v>1095</v>
      </c>
      <c r="B71" s="716">
        <v>312045000000</v>
      </c>
      <c r="C71" s="716">
        <v>358054000000</v>
      </c>
      <c r="D71" s="716">
        <v>370362093000</v>
      </c>
      <c r="E71" s="716">
        <v>416875317000</v>
      </c>
      <c r="F71" s="716">
        <v>475929788000</v>
      </c>
      <c r="G71" s="716">
        <v>492842743000</v>
      </c>
      <c r="H71" s="716">
        <v>462503956000</v>
      </c>
      <c r="I71" s="716">
        <v>523319909000</v>
      </c>
      <c r="J71" s="716">
        <v>426481301000</v>
      </c>
      <c r="K71" s="716">
        <v>493426670000</v>
      </c>
      <c r="L71" s="716">
        <v>465881169000</v>
      </c>
      <c r="M71" s="716">
        <v>474659131000</v>
      </c>
      <c r="N71" s="716">
        <v>464394114000</v>
      </c>
      <c r="O71" s="716">
        <v>521717132000</v>
      </c>
      <c r="P71" s="716">
        <v>577186808000</v>
      </c>
      <c r="Q71" s="716">
        <v>579736997000</v>
      </c>
      <c r="R71" s="716">
        <v>536179217000</v>
      </c>
      <c r="S71" s="715" t="s">
        <v>642</v>
      </c>
      <c r="T71" s="715" t="s">
        <v>642</v>
      </c>
      <c r="U71" s="715" t="s">
        <v>642</v>
      </c>
    </row>
    <row r="72" spans="1:21" x14ac:dyDescent="0.3">
      <c r="A72" s="735" t="s">
        <v>1117</v>
      </c>
      <c r="B72" s="715" t="s">
        <v>642</v>
      </c>
      <c r="C72" s="715" t="s">
        <v>642</v>
      </c>
      <c r="D72" s="715" t="s">
        <v>642</v>
      </c>
      <c r="E72" s="715" t="s">
        <v>642</v>
      </c>
      <c r="F72" s="715" t="s">
        <v>642</v>
      </c>
      <c r="G72" s="715" t="s">
        <v>642</v>
      </c>
      <c r="H72" s="715" t="s">
        <v>642</v>
      </c>
      <c r="I72" s="715" t="s">
        <v>642</v>
      </c>
      <c r="J72" s="715" t="s">
        <v>642</v>
      </c>
      <c r="K72" s="715" t="s">
        <v>642</v>
      </c>
      <c r="L72" s="715" t="s">
        <v>642</v>
      </c>
      <c r="M72" s="715" t="s">
        <v>642</v>
      </c>
      <c r="N72" s="715" t="s">
        <v>642</v>
      </c>
      <c r="O72" s="715" t="s">
        <v>642</v>
      </c>
      <c r="P72" s="715" t="s">
        <v>642</v>
      </c>
      <c r="Q72" s="715" t="s">
        <v>642</v>
      </c>
      <c r="R72" s="715" t="s">
        <v>642</v>
      </c>
      <c r="S72" s="715" t="s">
        <v>642</v>
      </c>
      <c r="T72" s="715" t="s">
        <v>642</v>
      </c>
      <c r="U72" s="715" t="s">
        <v>642</v>
      </c>
    </row>
    <row r="73" spans="1:21" x14ac:dyDescent="0.3">
      <c r="A73" s="735" t="s">
        <v>1124</v>
      </c>
      <c r="B73" s="716">
        <v>1589000</v>
      </c>
      <c r="C73" s="716">
        <v>1521000</v>
      </c>
      <c r="D73" s="716">
        <v>963000</v>
      </c>
      <c r="E73" s="716">
        <v>536000</v>
      </c>
      <c r="F73" s="716">
        <v>652000</v>
      </c>
      <c r="G73" s="716">
        <v>4777000</v>
      </c>
      <c r="H73" s="716">
        <v>744000</v>
      </c>
      <c r="I73" s="716">
        <v>527000</v>
      </c>
      <c r="J73" s="716">
        <v>338000</v>
      </c>
      <c r="K73" s="716">
        <v>399000</v>
      </c>
      <c r="L73" s="716">
        <v>289000</v>
      </c>
      <c r="M73" s="716">
        <v>350000</v>
      </c>
      <c r="N73" s="716">
        <v>358000</v>
      </c>
      <c r="O73" s="716">
        <v>410000</v>
      </c>
      <c r="P73" s="716">
        <v>387000</v>
      </c>
      <c r="Q73" s="716">
        <v>443000</v>
      </c>
      <c r="R73" s="716">
        <v>858000</v>
      </c>
      <c r="S73" s="715" t="s">
        <v>642</v>
      </c>
      <c r="T73" s="715" t="s">
        <v>642</v>
      </c>
      <c r="U73" s="715" t="s">
        <v>642</v>
      </c>
    </row>
    <row r="74" spans="1:21" x14ac:dyDescent="0.3">
      <c r="A74" s="735" t="s">
        <v>963</v>
      </c>
      <c r="B74" s="715" t="s">
        <v>642</v>
      </c>
      <c r="C74" s="715" t="s">
        <v>642</v>
      </c>
      <c r="D74" s="715" t="s">
        <v>642</v>
      </c>
      <c r="E74" s="715" t="s">
        <v>642</v>
      </c>
      <c r="F74" s="715" t="s">
        <v>642</v>
      </c>
      <c r="G74" s="715" t="s">
        <v>642</v>
      </c>
      <c r="H74" s="715" t="s">
        <v>642</v>
      </c>
      <c r="I74" s="715" t="s">
        <v>642</v>
      </c>
      <c r="J74" s="715" t="s">
        <v>642</v>
      </c>
      <c r="K74" s="715" t="s">
        <v>642</v>
      </c>
      <c r="L74" s="715" t="s">
        <v>642</v>
      </c>
      <c r="M74" s="715" t="s">
        <v>642</v>
      </c>
      <c r="N74" s="715" t="s">
        <v>642</v>
      </c>
      <c r="O74" s="715" t="s">
        <v>642</v>
      </c>
      <c r="P74" s="715" t="s">
        <v>642</v>
      </c>
      <c r="Q74" s="715" t="s">
        <v>642</v>
      </c>
      <c r="R74" s="715" t="s">
        <v>642</v>
      </c>
      <c r="S74" s="715" t="s">
        <v>642</v>
      </c>
      <c r="T74" s="715" t="s">
        <v>642</v>
      </c>
      <c r="U74" s="715" t="s">
        <v>642</v>
      </c>
    </row>
    <row r="75" spans="1:21" x14ac:dyDescent="0.3">
      <c r="A75" s="735" t="s">
        <v>1125</v>
      </c>
      <c r="B75" s="716">
        <v>1715000</v>
      </c>
      <c r="C75" s="716">
        <v>2015000</v>
      </c>
      <c r="D75" s="716">
        <v>1741000</v>
      </c>
      <c r="E75" s="716">
        <v>1685000</v>
      </c>
      <c r="F75" s="716">
        <v>1585000</v>
      </c>
      <c r="G75" s="716">
        <v>1917000</v>
      </c>
      <c r="H75" s="716">
        <v>1969000</v>
      </c>
      <c r="I75" s="716">
        <v>1983000</v>
      </c>
      <c r="J75" s="716">
        <v>2288000</v>
      </c>
      <c r="K75" s="716">
        <v>2094000</v>
      </c>
      <c r="L75" s="716">
        <v>2188000</v>
      </c>
      <c r="M75" s="716">
        <v>1920000</v>
      </c>
      <c r="N75" s="716">
        <v>1836000</v>
      </c>
      <c r="O75" s="716">
        <v>1714000</v>
      </c>
      <c r="P75" s="716">
        <v>1811000</v>
      </c>
      <c r="Q75" s="716">
        <v>1638000</v>
      </c>
      <c r="R75" s="716">
        <v>3232000</v>
      </c>
      <c r="S75" s="715" t="s">
        <v>642</v>
      </c>
      <c r="T75" s="715" t="s">
        <v>642</v>
      </c>
      <c r="U75" s="715" t="s">
        <v>642</v>
      </c>
    </row>
    <row r="76" spans="1:21" x14ac:dyDescent="0.3">
      <c r="A76" s="735" t="s">
        <v>963</v>
      </c>
      <c r="B76" s="715" t="s">
        <v>642</v>
      </c>
      <c r="C76" s="715" t="s">
        <v>642</v>
      </c>
      <c r="D76" s="715" t="s">
        <v>642</v>
      </c>
      <c r="E76" s="715" t="s">
        <v>642</v>
      </c>
      <c r="F76" s="715" t="s">
        <v>642</v>
      </c>
      <c r="G76" s="715" t="s">
        <v>642</v>
      </c>
      <c r="H76" s="715" t="s">
        <v>642</v>
      </c>
      <c r="I76" s="715" t="s">
        <v>642</v>
      </c>
      <c r="J76" s="715" t="s">
        <v>642</v>
      </c>
      <c r="K76" s="715" t="s">
        <v>642</v>
      </c>
      <c r="L76" s="715" t="s">
        <v>642</v>
      </c>
      <c r="M76" s="715" t="s">
        <v>642</v>
      </c>
      <c r="N76" s="715" t="s">
        <v>642</v>
      </c>
      <c r="O76" s="715" t="s">
        <v>642</v>
      </c>
      <c r="P76" s="715" t="s">
        <v>642</v>
      </c>
      <c r="Q76" s="715" t="s">
        <v>642</v>
      </c>
      <c r="R76" s="715" t="s">
        <v>642</v>
      </c>
      <c r="S76" s="715" t="s">
        <v>642</v>
      </c>
      <c r="T76" s="715" t="s">
        <v>642</v>
      </c>
      <c r="U76" s="715" t="s">
        <v>642</v>
      </c>
    </row>
    <row r="77" spans="1:21" x14ac:dyDescent="0.3">
      <c r="A77" s="735" t="s">
        <v>971</v>
      </c>
      <c r="B77" s="715" t="s">
        <v>642</v>
      </c>
      <c r="C77" s="715" t="s">
        <v>642</v>
      </c>
      <c r="D77" s="715" t="s">
        <v>642</v>
      </c>
      <c r="E77" s="715" t="s">
        <v>642</v>
      </c>
      <c r="F77" s="715" t="s">
        <v>642</v>
      </c>
      <c r="G77" s="715" t="s">
        <v>642</v>
      </c>
      <c r="H77" s="715" t="s">
        <v>642</v>
      </c>
      <c r="I77" s="715" t="s">
        <v>642</v>
      </c>
      <c r="J77" s="715" t="s">
        <v>642</v>
      </c>
      <c r="K77" s="715" t="s">
        <v>642</v>
      </c>
      <c r="L77" s="715" t="s">
        <v>642</v>
      </c>
      <c r="M77" s="715" t="s">
        <v>642</v>
      </c>
      <c r="N77" s="715" t="s">
        <v>642</v>
      </c>
      <c r="O77" s="715" t="s">
        <v>642</v>
      </c>
      <c r="P77" s="715" t="s">
        <v>642</v>
      </c>
      <c r="Q77" s="715" t="s">
        <v>642</v>
      </c>
      <c r="R77" s="715" t="s">
        <v>642</v>
      </c>
      <c r="S77" s="715" t="s">
        <v>642</v>
      </c>
      <c r="T77" s="715" t="s">
        <v>642</v>
      </c>
      <c r="U77" s="715" t="s">
        <v>642</v>
      </c>
    </row>
    <row r="78" spans="1:21" x14ac:dyDescent="0.3">
      <c r="A78" s="735" t="s">
        <v>1134</v>
      </c>
      <c r="B78" s="715" t="s">
        <v>642</v>
      </c>
      <c r="C78" s="715" t="s">
        <v>642</v>
      </c>
      <c r="D78" s="715" t="s">
        <v>642</v>
      </c>
      <c r="E78" s="715" t="s">
        <v>642</v>
      </c>
      <c r="F78" s="715" t="s">
        <v>642</v>
      </c>
      <c r="G78" s="715" t="s">
        <v>642</v>
      </c>
      <c r="H78" s="715" t="s">
        <v>642</v>
      </c>
      <c r="I78" s="715" t="s">
        <v>642</v>
      </c>
      <c r="J78" s="715" t="s">
        <v>642</v>
      </c>
      <c r="K78" s="715" t="s">
        <v>642</v>
      </c>
      <c r="L78" s="715" t="s">
        <v>642</v>
      </c>
      <c r="M78" s="715" t="s">
        <v>642</v>
      </c>
      <c r="N78" s="715" t="s">
        <v>642</v>
      </c>
      <c r="O78" s="715" t="s">
        <v>642</v>
      </c>
      <c r="P78" s="715" t="s">
        <v>642</v>
      </c>
      <c r="Q78" s="715" t="s">
        <v>642</v>
      </c>
      <c r="R78" s="715" t="s">
        <v>642</v>
      </c>
      <c r="S78" s="715" t="s">
        <v>642</v>
      </c>
      <c r="T78" s="715" t="s">
        <v>642</v>
      </c>
      <c r="U78" s="715" t="s">
        <v>642</v>
      </c>
    </row>
    <row r="79" spans="1:21" x14ac:dyDescent="0.3">
      <c r="A79" s="735" t="s">
        <v>1135</v>
      </c>
      <c r="B79" s="716">
        <v>82465000</v>
      </c>
      <c r="C79" s="716">
        <v>59816000</v>
      </c>
      <c r="D79" s="716">
        <v>70429000</v>
      </c>
      <c r="E79" s="716">
        <v>49627000</v>
      </c>
      <c r="F79" s="716">
        <v>69806000</v>
      </c>
      <c r="G79" s="716">
        <v>70639000</v>
      </c>
      <c r="H79" s="715" t="s">
        <v>642</v>
      </c>
      <c r="I79" s="715" t="s">
        <v>642</v>
      </c>
      <c r="J79" s="715" t="s">
        <v>642</v>
      </c>
      <c r="K79" s="715" t="s">
        <v>642</v>
      </c>
      <c r="L79" s="715" t="s">
        <v>642</v>
      </c>
      <c r="M79" s="715" t="s">
        <v>642</v>
      </c>
      <c r="N79" s="715" t="s">
        <v>642</v>
      </c>
      <c r="O79" s="715" t="s">
        <v>642</v>
      </c>
      <c r="P79" s="715" t="s">
        <v>642</v>
      </c>
      <c r="Q79" s="715" t="s">
        <v>642</v>
      </c>
      <c r="R79" s="715" t="s">
        <v>642</v>
      </c>
      <c r="S79" s="715" t="s">
        <v>642</v>
      </c>
      <c r="T79" s="715" t="s">
        <v>642</v>
      </c>
      <c r="U79" s="715" t="s">
        <v>642</v>
      </c>
    </row>
    <row r="80" spans="1:21" x14ac:dyDescent="0.3">
      <c r="A80" s="735" t="s">
        <v>1136</v>
      </c>
      <c r="B80" s="716">
        <v>82465000</v>
      </c>
      <c r="C80" s="716">
        <v>59816000</v>
      </c>
      <c r="D80" s="716">
        <v>70429000</v>
      </c>
      <c r="E80" s="716">
        <v>49627000</v>
      </c>
      <c r="F80" s="716">
        <v>69806000</v>
      </c>
      <c r="G80" s="716">
        <v>70639000</v>
      </c>
      <c r="H80" s="715" t="s">
        <v>642</v>
      </c>
      <c r="I80" s="715" t="s">
        <v>642</v>
      </c>
      <c r="J80" s="715" t="s">
        <v>642</v>
      </c>
      <c r="K80" s="715" t="s">
        <v>642</v>
      </c>
      <c r="L80" s="715" t="s">
        <v>642</v>
      </c>
      <c r="M80" s="715" t="s">
        <v>642</v>
      </c>
      <c r="N80" s="715" t="s">
        <v>642</v>
      </c>
      <c r="O80" s="715" t="s">
        <v>642</v>
      </c>
      <c r="P80" s="715" t="s">
        <v>642</v>
      </c>
      <c r="Q80" s="715" t="s">
        <v>642</v>
      </c>
      <c r="R80" s="715" t="s">
        <v>642</v>
      </c>
      <c r="S80" s="715" t="s">
        <v>642</v>
      </c>
      <c r="T80" s="715" t="s">
        <v>642</v>
      </c>
      <c r="U80" s="715" t="s">
        <v>642</v>
      </c>
    </row>
    <row r="81" spans="1:21" x14ac:dyDescent="0.3">
      <c r="A81" s="735" t="s">
        <v>226</v>
      </c>
      <c r="B81" s="715" t="s">
        <v>642</v>
      </c>
      <c r="C81" s="715" t="s">
        <v>642</v>
      </c>
      <c r="D81" s="715" t="s">
        <v>642</v>
      </c>
      <c r="E81" s="715" t="s">
        <v>642</v>
      </c>
      <c r="F81" s="715" t="s">
        <v>642</v>
      </c>
      <c r="G81" s="715" t="s">
        <v>642</v>
      </c>
      <c r="H81" s="715" t="s">
        <v>642</v>
      </c>
      <c r="I81" s="715" t="s">
        <v>642</v>
      </c>
      <c r="J81" s="715" t="s">
        <v>642</v>
      </c>
      <c r="K81" s="715" t="s">
        <v>642</v>
      </c>
      <c r="L81" s="715" t="s">
        <v>642</v>
      </c>
      <c r="M81" s="715" t="s">
        <v>642</v>
      </c>
      <c r="N81" s="715" t="s">
        <v>642</v>
      </c>
      <c r="O81" s="715" t="s">
        <v>642</v>
      </c>
      <c r="P81" s="715" t="s">
        <v>642</v>
      </c>
      <c r="Q81" s="715" t="s">
        <v>642</v>
      </c>
      <c r="R81" s="715" t="s">
        <v>642</v>
      </c>
      <c r="S81" s="715" t="s">
        <v>642</v>
      </c>
      <c r="T81" s="715" t="s">
        <v>642</v>
      </c>
      <c r="U81" s="715" t="s">
        <v>642</v>
      </c>
    </row>
    <row r="82" spans="1:21" x14ac:dyDescent="0.3">
      <c r="A82" s="735" t="s">
        <v>1137</v>
      </c>
      <c r="B82" s="715" t="s">
        <v>642</v>
      </c>
      <c r="C82" s="715" t="s">
        <v>642</v>
      </c>
      <c r="D82" s="715" t="s">
        <v>642</v>
      </c>
      <c r="E82" s="715" t="s">
        <v>642</v>
      </c>
      <c r="F82" s="715" t="s">
        <v>642</v>
      </c>
      <c r="G82" s="715" t="s">
        <v>642</v>
      </c>
      <c r="H82" s="715" t="s">
        <v>642</v>
      </c>
      <c r="I82" s="715" t="s">
        <v>642</v>
      </c>
      <c r="J82" s="715" t="s">
        <v>642</v>
      </c>
      <c r="K82" s="715" t="s">
        <v>642</v>
      </c>
      <c r="L82" s="715" t="s">
        <v>642</v>
      </c>
      <c r="M82" s="715" t="s">
        <v>642</v>
      </c>
      <c r="N82" s="715" t="s">
        <v>642</v>
      </c>
      <c r="O82" s="715" t="s">
        <v>642</v>
      </c>
      <c r="P82" s="715" t="s">
        <v>642</v>
      </c>
      <c r="Q82" s="715" t="s">
        <v>642</v>
      </c>
      <c r="R82" s="715" t="s">
        <v>642</v>
      </c>
      <c r="S82" s="715" t="s">
        <v>642</v>
      </c>
      <c r="T82" s="715" t="s">
        <v>642</v>
      </c>
      <c r="U82" s="715" t="s">
        <v>642</v>
      </c>
    </row>
    <row r="83" spans="1:21" x14ac:dyDescent="0.3">
      <c r="A83" s="735" t="s">
        <v>1138</v>
      </c>
      <c r="B83" s="715">
        <v>97</v>
      </c>
      <c r="C83" s="715">
        <v>77</v>
      </c>
      <c r="D83" s="715">
        <v>89</v>
      </c>
      <c r="E83" s="715">
        <v>68</v>
      </c>
      <c r="F83" s="715">
        <v>79</v>
      </c>
      <c r="G83" s="715">
        <v>79</v>
      </c>
      <c r="H83" s="715">
        <v>82</v>
      </c>
      <c r="I83" s="715">
        <v>69</v>
      </c>
      <c r="J83" s="715">
        <v>71</v>
      </c>
      <c r="K83" s="715">
        <v>64</v>
      </c>
      <c r="L83" s="715">
        <v>67</v>
      </c>
      <c r="M83" s="715">
        <v>59</v>
      </c>
      <c r="N83" s="715">
        <v>65</v>
      </c>
      <c r="O83" s="715">
        <v>60</v>
      </c>
      <c r="P83" s="715">
        <v>67</v>
      </c>
      <c r="Q83" s="715">
        <v>61</v>
      </c>
      <c r="R83" s="715">
        <v>65</v>
      </c>
      <c r="S83" s="715" t="s">
        <v>642</v>
      </c>
      <c r="T83" s="715" t="s">
        <v>642</v>
      </c>
      <c r="U83" s="715" t="s">
        <v>642</v>
      </c>
    </row>
    <row r="84" spans="1:21" x14ac:dyDescent="0.3">
      <c r="A84" s="735" t="s">
        <v>963</v>
      </c>
      <c r="B84" s="715" t="s">
        <v>642</v>
      </c>
      <c r="C84" s="715" t="s">
        <v>642</v>
      </c>
      <c r="D84" s="715" t="s">
        <v>642</v>
      </c>
      <c r="E84" s="715" t="s">
        <v>642</v>
      </c>
      <c r="F84" s="715" t="s">
        <v>642</v>
      </c>
      <c r="G84" s="715" t="s">
        <v>642</v>
      </c>
      <c r="H84" s="715" t="s">
        <v>642</v>
      </c>
      <c r="I84" s="715" t="s">
        <v>642</v>
      </c>
      <c r="J84" s="715" t="s">
        <v>642</v>
      </c>
      <c r="K84" s="715" t="s">
        <v>642</v>
      </c>
      <c r="L84" s="715" t="s">
        <v>642</v>
      </c>
      <c r="M84" s="715" t="s">
        <v>642</v>
      </c>
      <c r="N84" s="715" t="s">
        <v>642</v>
      </c>
      <c r="O84" s="715" t="s">
        <v>642</v>
      </c>
      <c r="P84" s="715" t="s">
        <v>642</v>
      </c>
      <c r="Q84" s="715" t="s">
        <v>642</v>
      </c>
      <c r="R84" s="715" t="s">
        <v>642</v>
      </c>
      <c r="S84" s="715" t="s">
        <v>642</v>
      </c>
      <c r="T84" s="715" t="s">
        <v>642</v>
      </c>
      <c r="U84" s="715" t="s">
        <v>642</v>
      </c>
    </row>
    <row r="85" spans="1:21" x14ac:dyDescent="0.3">
      <c r="A85" s="735" t="s">
        <v>1139</v>
      </c>
      <c r="B85" s="715">
        <v>88</v>
      </c>
      <c r="C85" s="715">
        <v>67</v>
      </c>
      <c r="D85" s="715">
        <v>81</v>
      </c>
      <c r="E85" s="715">
        <v>60</v>
      </c>
      <c r="F85" s="715">
        <v>72</v>
      </c>
      <c r="G85" s="715">
        <v>72</v>
      </c>
      <c r="H85" s="715">
        <v>74</v>
      </c>
      <c r="I85" s="715">
        <v>62</v>
      </c>
      <c r="J85" s="715">
        <v>64</v>
      </c>
      <c r="K85" s="715">
        <v>58</v>
      </c>
      <c r="L85" s="715">
        <v>60</v>
      </c>
      <c r="M85" s="715">
        <v>53</v>
      </c>
      <c r="N85" s="715">
        <v>59</v>
      </c>
      <c r="O85" s="715">
        <v>53</v>
      </c>
      <c r="P85" s="715">
        <v>60</v>
      </c>
      <c r="Q85" s="715">
        <v>54</v>
      </c>
      <c r="R85" s="715">
        <v>58</v>
      </c>
      <c r="S85" s="715">
        <v>52</v>
      </c>
      <c r="T85" s="715">
        <v>59.79</v>
      </c>
      <c r="U85" s="715">
        <v>54.01</v>
      </c>
    </row>
    <row r="86" spans="1:21" x14ac:dyDescent="0.3">
      <c r="A86" s="735" t="s">
        <v>1117</v>
      </c>
      <c r="B86" s="715" t="s">
        <v>642</v>
      </c>
      <c r="C86" s="715" t="s">
        <v>642</v>
      </c>
      <c r="D86" s="715" t="s">
        <v>642</v>
      </c>
      <c r="E86" s="715" t="s">
        <v>642</v>
      </c>
      <c r="F86" s="715" t="s">
        <v>642</v>
      </c>
      <c r="G86" s="715" t="s">
        <v>642</v>
      </c>
      <c r="H86" s="715" t="s">
        <v>642</v>
      </c>
      <c r="I86" s="715" t="s">
        <v>642</v>
      </c>
      <c r="J86" s="715" t="s">
        <v>642</v>
      </c>
      <c r="K86" s="715" t="s">
        <v>642</v>
      </c>
      <c r="L86" s="715" t="s">
        <v>642</v>
      </c>
      <c r="M86" s="715" t="s">
        <v>642</v>
      </c>
      <c r="N86" s="715" t="s">
        <v>642</v>
      </c>
      <c r="O86" s="715" t="s">
        <v>642</v>
      </c>
      <c r="P86" s="715" t="s">
        <v>642</v>
      </c>
      <c r="Q86" s="715" t="s">
        <v>642</v>
      </c>
      <c r="R86" s="715" t="s">
        <v>642</v>
      </c>
      <c r="S86" s="715" t="s">
        <v>642</v>
      </c>
      <c r="T86" s="715" t="s">
        <v>642</v>
      </c>
      <c r="U86" s="715" t="s">
        <v>642</v>
      </c>
    </row>
    <row r="87" spans="1:21" x14ac:dyDescent="0.3">
      <c r="A87" s="735" t="s">
        <v>1140</v>
      </c>
      <c r="B87" s="715">
        <v>9</v>
      </c>
      <c r="C87" s="715">
        <v>10</v>
      </c>
      <c r="D87" s="715">
        <v>8</v>
      </c>
      <c r="E87" s="715">
        <v>8</v>
      </c>
      <c r="F87" s="715">
        <v>7</v>
      </c>
      <c r="G87" s="715">
        <v>7</v>
      </c>
      <c r="H87" s="715">
        <v>8</v>
      </c>
      <c r="I87" s="715">
        <v>7</v>
      </c>
      <c r="J87" s="715">
        <v>7</v>
      </c>
      <c r="K87" s="715">
        <v>8</v>
      </c>
      <c r="L87" s="715">
        <v>7</v>
      </c>
      <c r="M87" s="715">
        <v>6</v>
      </c>
      <c r="N87" s="715">
        <v>6</v>
      </c>
      <c r="O87" s="715">
        <v>7</v>
      </c>
      <c r="P87" s="715">
        <v>7</v>
      </c>
      <c r="Q87" s="715">
        <v>7</v>
      </c>
      <c r="R87" s="715">
        <v>7</v>
      </c>
      <c r="S87" s="715">
        <v>7</v>
      </c>
      <c r="T87" s="715">
        <v>6.8</v>
      </c>
      <c r="U87" s="715">
        <v>6.77</v>
      </c>
    </row>
    <row r="88" spans="1:21" x14ac:dyDescent="0.3">
      <c r="A88" s="735" t="s">
        <v>1117</v>
      </c>
      <c r="B88" s="715" t="s">
        <v>642</v>
      </c>
      <c r="C88" s="715" t="s">
        <v>642</v>
      </c>
      <c r="D88" s="715" t="s">
        <v>642</v>
      </c>
      <c r="E88" s="715" t="s">
        <v>642</v>
      </c>
      <c r="F88" s="715" t="s">
        <v>642</v>
      </c>
      <c r="G88" s="715" t="s">
        <v>642</v>
      </c>
      <c r="H88" s="715" t="s">
        <v>642</v>
      </c>
      <c r="I88" s="715" t="s">
        <v>642</v>
      </c>
      <c r="J88" s="715" t="s">
        <v>642</v>
      </c>
      <c r="K88" s="715" t="s">
        <v>642</v>
      </c>
      <c r="L88" s="715" t="s">
        <v>642</v>
      </c>
      <c r="M88" s="715" t="s">
        <v>642</v>
      </c>
      <c r="N88" s="715" t="s">
        <v>642</v>
      </c>
      <c r="O88" s="715" t="s">
        <v>642</v>
      </c>
      <c r="P88" s="715" t="s">
        <v>642</v>
      </c>
      <c r="Q88" s="715" t="s">
        <v>642</v>
      </c>
      <c r="R88" s="715" t="s">
        <v>642</v>
      </c>
      <c r="S88" s="715" t="s">
        <v>642</v>
      </c>
      <c r="T88" s="715" t="s">
        <v>642</v>
      </c>
      <c r="U88" s="715" t="s">
        <v>642</v>
      </c>
    </row>
    <row r="89" spans="1:21" x14ac:dyDescent="0.3">
      <c r="A89" s="735" t="s">
        <v>226</v>
      </c>
      <c r="B89" s="715" t="s">
        <v>642</v>
      </c>
      <c r="C89" s="715" t="s">
        <v>642</v>
      </c>
      <c r="D89" s="715" t="s">
        <v>642</v>
      </c>
      <c r="E89" s="715" t="s">
        <v>642</v>
      </c>
      <c r="F89" s="715" t="s">
        <v>642</v>
      </c>
      <c r="G89" s="715" t="s">
        <v>642</v>
      </c>
      <c r="H89" s="715" t="s">
        <v>642</v>
      </c>
      <c r="I89" s="715" t="s">
        <v>642</v>
      </c>
      <c r="J89" s="715" t="s">
        <v>642</v>
      </c>
      <c r="K89" s="715" t="s">
        <v>642</v>
      </c>
      <c r="L89" s="715" t="s">
        <v>642</v>
      </c>
      <c r="M89" s="715" t="s">
        <v>642</v>
      </c>
      <c r="N89" s="715" t="s">
        <v>642</v>
      </c>
      <c r="O89" s="715" t="s">
        <v>642</v>
      </c>
      <c r="P89" s="715" t="s">
        <v>642</v>
      </c>
      <c r="Q89" s="715" t="s">
        <v>642</v>
      </c>
      <c r="R89" s="715" t="s">
        <v>642</v>
      </c>
      <c r="S89" s="715" t="s">
        <v>642</v>
      </c>
      <c r="T89" s="715" t="s">
        <v>642</v>
      </c>
      <c r="U89" s="715" t="s">
        <v>642</v>
      </c>
    </row>
    <row r="90" spans="1:21" x14ac:dyDescent="0.3">
      <c r="A90" s="735" t="s">
        <v>1141</v>
      </c>
      <c r="B90" s="715" t="s">
        <v>642</v>
      </c>
      <c r="C90" s="715" t="s">
        <v>642</v>
      </c>
      <c r="D90" s="715" t="s">
        <v>642</v>
      </c>
      <c r="E90" s="715" t="s">
        <v>642</v>
      </c>
      <c r="F90" s="715" t="s">
        <v>642</v>
      </c>
      <c r="G90" s="715" t="s">
        <v>642</v>
      </c>
      <c r="H90" s="715" t="s">
        <v>642</v>
      </c>
      <c r="I90" s="715" t="s">
        <v>642</v>
      </c>
      <c r="J90" s="715" t="s">
        <v>642</v>
      </c>
      <c r="K90" s="715" t="s">
        <v>642</v>
      </c>
      <c r="L90" s="715" t="s">
        <v>642</v>
      </c>
      <c r="M90" s="715" t="s">
        <v>642</v>
      </c>
      <c r="N90" s="715" t="s">
        <v>642</v>
      </c>
      <c r="O90" s="715" t="s">
        <v>642</v>
      </c>
      <c r="P90" s="715" t="s">
        <v>642</v>
      </c>
      <c r="Q90" s="715" t="s">
        <v>642</v>
      </c>
      <c r="R90" s="715" t="s">
        <v>642</v>
      </c>
      <c r="S90" s="715" t="s">
        <v>642</v>
      </c>
      <c r="T90" s="715" t="s">
        <v>642</v>
      </c>
      <c r="U90" s="715" t="s">
        <v>642</v>
      </c>
    </row>
    <row r="91" spans="1:21" x14ac:dyDescent="0.3">
      <c r="A91" s="735" t="s">
        <v>1142</v>
      </c>
      <c r="B91" s="715">
        <v>112</v>
      </c>
      <c r="C91" s="715">
        <v>96.89</v>
      </c>
      <c r="D91" s="715">
        <v>78.099999999999994</v>
      </c>
      <c r="E91" s="715">
        <v>77.3</v>
      </c>
      <c r="F91" s="715">
        <v>82.36</v>
      </c>
      <c r="G91" s="715">
        <v>87.9</v>
      </c>
      <c r="H91" s="715">
        <v>84.3</v>
      </c>
      <c r="I91" s="715">
        <v>63.7</v>
      </c>
      <c r="J91" s="715">
        <v>75.400000000000006</v>
      </c>
      <c r="K91" s="715" t="s">
        <v>642</v>
      </c>
      <c r="L91" s="715">
        <v>77.099999999999994</v>
      </c>
      <c r="M91" s="715">
        <v>71.900000000000006</v>
      </c>
      <c r="N91" s="715">
        <v>75.599999999999994</v>
      </c>
      <c r="O91" s="715">
        <v>74.900000000000006</v>
      </c>
      <c r="P91" s="715">
        <v>75.099999999999994</v>
      </c>
      <c r="Q91" s="715">
        <v>77.3</v>
      </c>
      <c r="R91" s="715">
        <v>80.599999999999994</v>
      </c>
      <c r="S91" s="715" t="s">
        <v>642</v>
      </c>
      <c r="T91" s="715" t="s">
        <v>642</v>
      </c>
      <c r="U91" s="715" t="s">
        <v>642</v>
      </c>
    </row>
    <row r="92" spans="1:21" x14ac:dyDescent="0.3">
      <c r="A92" s="735" t="s">
        <v>963</v>
      </c>
      <c r="B92" s="715" t="s">
        <v>642</v>
      </c>
      <c r="C92" s="715" t="s">
        <v>642</v>
      </c>
      <c r="D92" s="715" t="s">
        <v>642</v>
      </c>
      <c r="E92" s="715" t="s">
        <v>642</v>
      </c>
      <c r="F92" s="715" t="s">
        <v>642</v>
      </c>
      <c r="G92" s="715" t="s">
        <v>642</v>
      </c>
      <c r="H92" s="715" t="s">
        <v>642</v>
      </c>
      <c r="I92" s="715" t="s">
        <v>642</v>
      </c>
      <c r="J92" s="715" t="s">
        <v>642</v>
      </c>
      <c r="K92" s="715" t="s">
        <v>642</v>
      </c>
      <c r="L92" s="715" t="s">
        <v>642</v>
      </c>
      <c r="M92" s="715" t="s">
        <v>642</v>
      </c>
      <c r="N92" s="715" t="s">
        <v>642</v>
      </c>
      <c r="O92" s="715" t="s">
        <v>642</v>
      </c>
      <c r="P92" s="715" t="s">
        <v>642</v>
      </c>
      <c r="Q92" s="715" t="s">
        <v>642</v>
      </c>
      <c r="R92" s="715" t="s">
        <v>642</v>
      </c>
      <c r="S92" s="715" t="s">
        <v>642</v>
      </c>
      <c r="T92" s="715" t="s">
        <v>642</v>
      </c>
      <c r="U92" s="715" t="s">
        <v>642</v>
      </c>
    </row>
    <row r="93" spans="1:21" x14ac:dyDescent="0.3">
      <c r="A93" s="735" t="s">
        <v>1143</v>
      </c>
      <c r="B93" s="715">
        <v>102</v>
      </c>
      <c r="C93" s="715">
        <v>74.12</v>
      </c>
      <c r="D93" s="715">
        <v>87.3</v>
      </c>
      <c r="E93" s="715">
        <v>61.8</v>
      </c>
      <c r="F93" s="715">
        <v>92.56</v>
      </c>
      <c r="G93" s="715">
        <v>85.03</v>
      </c>
      <c r="H93" s="715">
        <v>81</v>
      </c>
      <c r="I93" s="715">
        <v>70.2</v>
      </c>
      <c r="J93" s="715">
        <v>72.2</v>
      </c>
      <c r="K93" s="715" t="s">
        <v>642</v>
      </c>
      <c r="L93" s="715">
        <v>65.2</v>
      </c>
      <c r="M93" s="715">
        <v>64.5</v>
      </c>
      <c r="N93" s="715">
        <v>66.900000000000006</v>
      </c>
      <c r="O93" s="715">
        <v>66.7</v>
      </c>
      <c r="P93" s="715">
        <v>79.400000000000006</v>
      </c>
      <c r="Q93" s="715">
        <v>74.099999999999994</v>
      </c>
      <c r="R93" s="715">
        <v>74</v>
      </c>
      <c r="S93" s="715" t="s">
        <v>642</v>
      </c>
      <c r="T93" s="715" t="s">
        <v>642</v>
      </c>
      <c r="U93" s="715" t="s">
        <v>642</v>
      </c>
    </row>
    <row r="94" spans="1:21" x14ac:dyDescent="0.3">
      <c r="A94" s="735" t="s">
        <v>963</v>
      </c>
      <c r="B94" s="715" t="s">
        <v>642</v>
      </c>
      <c r="C94" s="715" t="s">
        <v>642</v>
      </c>
      <c r="D94" s="715" t="s">
        <v>642</v>
      </c>
      <c r="E94" s="715" t="s">
        <v>642</v>
      </c>
      <c r="F94" s="715" t="s">
        <v>642</v>
      </c>
      <c r="G94" s="715" t="s">
        <v>642</v>
      </c>
      <c r="H94" s="715" t="s">
        <v>642</v>
      </c>
      <c r="I94" s="715" t="s">
        <v>642</v>
      </c>
      <c r="J94" s="715" t="s">
        <v>642</v>
      </c>
      <c r="K94" s="715" t="s">
        <v>642</v>
      </c>
      <c r="L94" s="715" t="s">
        <v>642</v>
      </c>
      <c r="M94" s="715" t="s">
        <v>642</v>
      </c>
      <c r="N94" s="715" t="s">
        <v>642</v>
      </c>
      <c r="O94" s="715" t="s">
        <v>642</v>
      </c>
      <c r="P94" s="715" t="s">
        <v>642</v>
      </c>
      <c r="Q94" s="715" t="s">
        <v>642</v>
      </c>
      <c r="R94" s="715" t="s">
        <v>642</v>
      </c>
      <c r="S94" s="715" t="s">
        <v>642</v>
      </c>
      <c r="T94" s="715" t="s">
        <v>642</v>
      </c>
      <c r="U94" s="715" t="s">
        <v>642</v>
      </c>
    </row>
    <row r="95" spans="1:21" x14ac:dyDescent="0.3">
      <c r="A95" s="735" t="s">
        <v>1144</v>
      </c>
      <c r="B95" s="715">
        <v>100</v>
      </c>
      <c r="C95" s="715">
        <v>100</v>
      </c>
      <c r="D95" s="715">
        <v>100</v>
      </c>
      <c r="E95" s="715">
        <v>100</v>
      </c>
      <c r="F95" s="715">
        <v>100</v>
      </c>
      <c r="G95" s="715">
        <v>100</v>
      </c>
      <c r="H95" s="715">
        <v>100</v>
      </c>
      <c r="I95" s="715">
        <v>100</v>
      </c>
      <c r="J95" s="715">
        <v>100</v>
      </c>
      <c r="K95" s="715" t="s">
        <v>642</v>
      </c>
      <c r="L95" s="715">
        <v>100</v>
      </c>
      <c r="M95" s="715">
        <v>100</v>
      </c>
      <c r="N95" s="715">
        <v>100</v>
      </c>
      <c r="O95" s="715">
        <v>100</v>
      </c>
      <c r="P95" s="715">
        <v>100</v>
      </c>
      <c r="Q95" s="715">
        <v>100</v>
      </c>
      <c r="R95" s="715">
        <v>100</v>
      </c>
      <c r="S95" s="715" t="s">
        <v>642</v>
      </c>
      <c r="T95" s="715" t="s">
        <v>642</v>
      </c>
      <c r="U95" s="715" t="s">
        <v>642</v>
      </c>
    </row>
    <row r="96" spans="1:21" x14ac:dyDescent="0.3">
      <c r="A96" s="735" t="s">
        <v>963</v>
      </c>
      <c r="B96" s="715" t="s">
        <v>642</v>
      </c>
      <c r="C96" s="715" t="s">
        <v>642</v>
      </c>
      <c r="D96" s="715" t="s">
        <v>642</v>
      </c>
      <c r="E96" s="715" t="s">
        <v>642</v>
      </c>
      <c r="F96" s="715" t="s">
        <v>642</v>
      </c>
      <c r="G96" s="715" t="s">
        <v>642</v>
      </c>
      <c r="H96" s="715" t="s">
        <v>642</v>
      </c>
      <c r="I96" s="715" t="s">
        <v>642</v>
      </c>
      <c r="J96" s="715" t="s">
        <v>642</v>
      </c>
      <c r="K96" s="715" t="s">
        <v>642</v>
      </c>
      <c r="L96" s="715" t="s">
        <v>642</v>
      </c>
      <c r="M96" s="715" t="s">
        <v>642</v>
      </c>
      <c r="N96" s="715" t="s">
        <v>642</v>
      </c>
      <c r="O96" s="715" t="s">
        <v>642</v>
      </c>
      <c r="P96" s="715" t="s">
        <v>642</v>
      </c>
      <c r="Q96" s="715" t="s">
        <v>642</v>
      </c>
      <c r="R96" s="715" t="s">
        <v>642</v>
      </c>
      <c r="S96" s="715" t="s">
        <v>642</v>
      </c>
      <c r="T96" s="715" t="s">
        <v>642</v>
      </c>
      <c r="U96" s="715" t="s">
        <v>642</v>
      </c>
    </row>
    <row r="97" spans="1:21" x14ac:dyDescent="0.3">
      <c r="A97" s="735" t="s">
        <v>1145</v>
      </c>
      <c r="B97" s="715">
        <v>100</v>
      </c>
      <c r="C97" s="715">
        <v>100</v>
      </c>
      <c r="D97" s="715">
        <v>100</v>
      </c>
      <c r="E97" s="715">
        <v>100</v>
      </c>
      <c r="F97" s="715">
        <v>100</v>
      </c>
      <c r="G97" s="715">
        <v>87.47</v>
      </c>
      <c r="H97" s="715">
        <v>100</v>
      </c>
      <c r="I97" s="715">
        <v>100</v>
      </c>
      <c r="J97" s="715">
        <v>100</v>
      </c>
      <c r="K97" s="715">
        <v>100</v>
      </c>
      <c r="L97" s="715">
        <v>100</v>
      </c>
      <c r="M97" s="715">
        <v>100</v>
      </c>
      <c r="N97" s="715">
        <v>100</v>
      </c>
      <c r="O97" s="715">
        <v>100</v>
      </c>
      <c r="P97" s="715">
        <v>100</v>
      </c>
      <c r="Q97" s="715">
        <v>100</v>
      </c>
      <c r="R97" s="715">
        <v>100</v>
      </c>
      <c r="S97" s="715">
        <v>100</v>
      </c>
      <c r="T97" s="715">
        <v>99.94</v>
      </c>
      <c r="U97" s="715">
        <v>99.94</v>
      </c>
    </row>
    <row r="98" spans="1:21" x14ac:dyDescent="0.3">
      <c r="A98" s="735" t="s">
        <v>963</v>
      </c>
      <c r="B98" s="715" t="s">
        <v>642</v>
      </c>
      <c r="C98" s="715" t="s">
        <v>642</v>
      </c>
      <c r="D98" s="715" t="s">
        <v>642</v>
      </c>
      <c r="E98" s="715" t="s">
        <v>642</v>
      </c>
      <c r="F98" s="715" t="s">
        <v>642</v>
      </c>
      <c r="G98" s="715" t="s">
        <v>642</v>
      </c>
      <c r="H98" s="715" t="s">
        <v>642</v>
      </c>
      <c r="I98" s="715" t="s">
        <v>642</v>
      </c>
      <c r="J98" s="715" t="s">
        <v>642</v>
      </c>
      <c r="K98" s="715" t="s">
        <v>642</v>
      </c>
      <c r="L98" s="715" t="s">
        <v>642</v>
      </c>
      <c r="M98" s="715" t="s">
        <v>642</v>
      </c>
      <c r="N98" s="715" t="s">
        <v>642</v>
      </c>
      <c r="O98" s="715" t="s">
        <v>642</v>
      </c>
      <c r="P98" s="715" t="s">
        <v>642</v>
      </c>
      <c r="Q98" s="715" t="s">
        <v>642</v>
      </c>
      <c r="R98" s="715" t="s">
        <v>642</v>
      </c>
      <c r="S98" s="715" t="s">
        <v>642</v>
      </c>
      <c r="T98" s="715" t="s">
        <v>642</v>
      </c>
      <c r="U98" s="715" t="s">
        <v>642</v>
      </c>
    </row>
    <row r="99" spans="1:21" x14ac:dyDescent="0.3">
      <c r="A99" s="735" t="s">
        <v>1125</v>
      </c>
      <c r="B99" s="715">
        <v>70.599999999999994</v>
      </c>
      <c r="C99" s="715">
        <v>92.81</v>
      </c>
      <c r="D99" s="715">
        <v>84.3</v>
      </c>
      <c r="E99" s="715">
        <v>81.8</v>
      </c>
      <c r="F99" s="715">
        <v>70.92</v>
      </c>
      <c r="G99" s="715">
        <v>70.819999999999993</v>
      </c>
      <c r="H99" s="715">
        <v>68.8</v>
      </c>
      <c r="I99" s="715">
        <v>68.400000000000006</v>
      </c>
      <c r="J99" s="715">
        <v>72.7</v>
      </c>
      <c r="K99" s="715">
        <v>77</v>
      </c>
      <c r="L99" s="715">
        <v>75.2</v>
      </c>
      <c r="M99" s="715">
        <v>72.7</v>
      </c>
      <c r="N99" s="715">
        <v>72.900000000000006</v>
      </c>
      <c r="O99" s="715">
        <v>70.2</v>
      </c>
      <c r="P99" s="715">
        <v>63.7</v>
      </c>
      <c r="Q99" s="715">
        <v>75.2</v>
      </c>
      <c r="R99" s="715">
        <v>69.900000000000006</v>
      </c>
      <c r="S99" s="715">
        <v>68.2</v>
      </c>
      <c r="T99" s="715">
        <v>67</v>
      </c>
      <c r="U99" s="715">
        <v>70</v>
      </c>
    </row>
    <row r="100" spans="1:21" x14ac:dyDescent="0.3">
      <c r="A100" s="735" t="s">
        <v>963</v>
      </c>
      <c r="B100" s="715" t="s">
        <v>642</v>
      </c>
      <c r="C100" s="715" t="s">
        <v>642</v>
      </c>
      <c r="D100" s="715" t="s">
        <v>642</v>
      </c>
      <c r="E100" s="715" t="s">
        <v>642</v>
      </c>
      <c r="F100" s="715" t="s">
        <v>642</v>
      </c>
      <c r="G100" s="715" t="s">
        <v>642</v>
      </c>
      <c r="H100" s="715" t="s">
        <v>642</v>
      </c>
      <c r="I100" s="715" t="s">
        <v>642</v>
      </c>
      <c r="J100" s="715" t="s">
        <v>642</v>
      </c>
      <c r="K100" s="715" t="s">
        <v>642</v>
      </c>
      <c r="L100" s="715" t="s">
        <v>642</v>
      </c>
      <c r="M100" s="715" t="s">
        <v>642</v>
      </c>
      <c r="N100" s="715" t="s">
        <v>642</v>
      </c>
      <c r="O100" s="715" t="s">
        <v>642</v>
      </c>
      <c r="P100" s="715" t="s">
        <v>642</v>
      </c>
      <c r="Q100" s="715" t="s">
        <v>642</v>
      </c>
      <c r="R100" s="715" t="s">
        <v>642</v>
      </c>
      <c r="S100" s="715" t="s">
        <v>642</v>
      </c>
      <c r="T100" s="715" t="s">
        <v>642</v>
      </c>
      <c r="U100" s="715" t="s">
        <v>642</v>
      </c>
    </row>
    <row r="101" spans="1:21" x14ac:dyDescent="0.3">
      <c r="A101" s="735" t="s">
        <v>226</v>
      </c>
      <c r="B101" s="715" t="s">
        <v>642</v>
      </c>
      <c r="C101" s="715" t="s">
        <v>642</v>
      </c>
      <c r="D101" s="715" t="s">
        <v>642</v>
      </c>
      <c r="E101" s="715" t="s">
        <v>642</v>
      </c>
      <c r="F101" s="715" t="s">
        <v>642</v>
      </c>
      <c r="G101" s="715" t="s">
        <v>642</v>
      </c>
      <c r="H101" s="715" t="s">
        <v>642</v>
      </c>
      <c r="I101" s="715" t="s">
        <v>642</v>
      </c>
      <c r="J101" s="715" t="s">
        <v>642</v>
      </c>
      <c r="K101" s="715" t="s">
        <v>642</v>
      </c>
      <c r="L101" s="715" t="s">
        <v>642</v>
      </c>
      <c r="M101" s="715" t="s">
        <v>642</v>
      </c>
      <c r="N101" s="715" t="s">
        <v>642</v>
      </c>
      <c r="O101" s="715" t="s">
        <v>642</v>
      </c>
      <c r="P101" s="715" t="s">
        <v>642</v>
      </c>
      <c r="Q101" s="715" t="s">
        <v>642</v>
      </c>
      <c r="R101" s="715" t="s">
        <v>642</v>
      </c>
      <c r="S101" s="715" t="s">
        <v>642</v>
      </c>
      <c r="T101" s="715" t="s">
        <v>642</v>
      </c>
      <c r="U101" s="715" t="s">
        <v>642</v>
      </c>
    </row>
    <row r="102" spans="1:21" x14ac:dyDescent="0.3">
      <c r="A102" s="735" t="s">
        <v>1146</v>
      </c>
      <c r="B102" s="715" t="s">
        <v>642</v>
      </c>
      <c r="C102" s="715" t="s">
        <v>642</v>
      </c>
      <c r="D102" s="715" t="s">
        <v>642</v>
      </c>
      <c r="E102" s="715" t="s">
        <v>642</v>
      </c>
      <c r="F102" s="715" t="s">
        <v>642</v>
      </c>
      <c r="G102" s="715" t="s">
        <v>642</v>
      </c>
      <c r="H102" s="715" t="s">
        <v>642</v>
      </c>
      <c r="I102" s="715" t="s">
        <v>642</v>
      </c>
      <c r="J102" s="715" t="s">
        <v>642</v>
      </c>
      <c r="K102" s="715" t="s">
        <v>642</v>
      </c>
      <c r="L102" s="715">
        <v>0</v>
      </c>
      <c r="M102" s="715" t="s">
        <v>642</v>
      </c>
      <c r="N102" s="715" t="s">
        <v>642</v>
      </c>
      <c r="O102" s="715" t="s">
        <v>642</v>
      </c>
      <c r="P102" s="715" t="s">
        <v>642</v>
      </c>
      <c r="Q102" s="715" t="s">
        <v>642</v>
      </c>
      <c r="R102" s="715" t="s">
        <v>642</v>
      </c>
      <c r="S102" s="715" t="s">
        <v>642</v>
      </c>
      <c r="T102" s="715" t="s">
        <v>642</v>
      </c>
      <c r="U102" s="715" t="s">
        <v>642</v>
      </c>
    </row>
    <row r="103" spans="1:21" x14ac:dyDescent="0.3">
      <c r="A103" s="735" t="s">
        <v>1142</v>
      </c>
      <c r="B103" s="715">
        <v>31.9</v>
      </c>
      <c r="C103" s="715">
        <v>31.9</v>
      </c>
      <c r="D103" s="715">
        <v>32</v>
      </c>
      <c r="E103" s="715">
        <v>32.700000000000003</v>
      </c>
      <c r="F103" s="715">
        <v>30.8</v>
      </c>
      <c r="G103" s="715">
        <v>29.5</v>
      </c>
      <c r="H103" s="715">
        <v>29.9</v>
      </c>
      <c r="I103" s="715">
        <v>31.6</v>
      </c>
      <c r="J103" s="715">
        <v>30.5</v>
      </c>
      <c r="K103" s="715" t="s">
        <v>642</v>
      </c>
      <c r="L103" s="715">
        <v>32.9</v>
      </c>
      <c r="M103" s="715">
        <v>31.1</v>
      </c>
      <c r="N103" s="715">
        <v>30.5</v>
      </c>
      <c r="O103" s="715">
        <v>30.1</v>
      </c>
      <c r="P103" s="715">
        <v>30</v>
      </c>
      <c r="Q103" s="715">
        <v>29.2</v>
      </c>
      <c r="R103" s="715">
        <v>28.9</v>
      </c>
      <c r="S103" s="715" t="s">
        <v>642</v>
      </c>
      <c r="T103" s="715" t="s">
        <v>642</v>
      </c>
      <c r="U103" s="715" t="s">
        <v>642</v>
      </c>
    </row>
    <row r="104" spans="1:21" x14ac:dyDescent="0.3">
      <c r="A104" s="735" t="s">
        <v>963</v>
      </c>
      <c r="B104" s="715" t="s">
        <v>642</v>
      </c>
      <c r="C104" s="715" t="s">
        <v>642</v>
      </c>
      <c r="D104" s="715" t="s">
        <v>642</v>
      </c>
      <c r="E104" s="715" t="s">
        <v>642</v>
      </c>
      <c r="F104" s="715" t="s">
        <v>642</v>
      </c>
      <c r="G104" s="715" t="s">
        <v>642</v>
      </c>
      <c r="H104" s="715" t="s">
        <v>642</v>
      </c>
      <c r="I104" s="715" t="s">
        <v>642</v>
      </c>
      <c r="J104" s="715" t="s">
        <v>642</v>
      </c>
      <c r="K104" s="715" t="s">
        <v>642</v>
      </c>
      <c r="L104" s="716">
        <v>142424242.41999999</v>
      </c>
      <c r="M104" s="715" t="s">
        <v>642</v>
      </c>
      <c r="N104" s="715" t="s">
        <v>642</v>
      </c>
      <c r="O104" s="715" t="s">
        <v>642</v>
      </c>
      <c r="P104" s="715" t="s">
        <v>642</v>
      </c>
      <c r="Q104" s="715" t="s">
        <v>642</v>
      </c>
      <c r="R104" s="715" t="s">
        <v>642</v>
      </c>
      <c r="S104" s="715" t="s">
        <v>642</v>
      </c>
      <c r="T104" s="715" t="s">
        <v>642</v>
      </c>
      <c r="U104" s="715" t="s">
        <v>642</v>
      </c>
    </row>
    <row r="105" spans="1:21" x14ac:dyDescent="0.3">
      <c r="A105" s="735" t="s">
        <v>962</v>
      </c>
      <c r="B105" s="715">
        <v>43.3</v>
      </c>
      <c r="C105" s="715">
        <v>43.1</v>
      </c>
      <c r="D105" s="715">
        <v>42</v>
      </c>
      <c r="E105" s="715">
        <v>42.9</v>
      </c>
      <c r="F105" s="715">
        <v>43.3</v>
      </c>
      <c r="G105" s="715">
        <v>43</v>
      </c>
      <c r="H105" s="715">
        <v>43.5</v>
      </c>
      <c r="I105" s="715">
        <v>43.5</v>
      </c>
      <c r="J105" s="715">
        <v>42.7</v>
      </c>
      <c r="K105" s="715" t="s">
        <v>642</v>
      </c>
      <c r="L105" s="715">
        <v>43</v>
      </c>
      <c r="M105" s="715">
        <v>41.9</v>
      </c>
      <c r="N105" s="715">
        <v>41</v>
      </c>
      <c r="O105" s="715">
        <v>42.2</v>
      </c>
      <c r="P105" s="715">
        <v>43.9</v>
      </c>
      <c r="Q105" s="715">
        <v>42.7</v>
      </c>
      <c r="R105" s="715">
        <v>42.2</v>
      </c>
      <c r="S105" s="715" t="s">
        <v>642</v>
      </c>
      <c r="T105" s="715" t="s">
        <v>642</v>
      </c>
      <c r="U105" s="715" t="s">
        <v>642</v>
      </c>
    </row>
    <row r="106" spans="1:21" x14ac:dyDescent="0.3">
      <c r="A106" s="735" t="s">
        <v>963</v>
      </c>
      <c r="B106" s="715" t="s">
        <v>642</v>
      </c>
      <c r="C106" s="715" t="s">
        <v>642</v>
      </c>
      <c r="D106" s="715" t="s">
        <v>642</v>
      </c>
      <c r="E106" s="715" t="s">
        <v>642</v>
      </c>
      <c r="F106" s="715" t="s">
        <v>642</v>
      </c>
      <c r="G106" s="715" t="s">
        <v>642</v>
      </c>
      <c r="H106" s="715" t="s">
        <v>642</v>
      </c>
      <c r="I106" s="715" t="s">
        <v>642</v>
      </c>
      <c r="J106" s="715" t="s">
        <v>642</v>
      </c>
      <c r="K106" s="715" t="s">
        <v>642</v>
      </c>
      <c r="L106" s="716">
        <v>186147186.15000001</v>
      </c>
      <c r="M106" s="715" t="s">
        <v>642</v>
      </c>
      <c r="N106" s="715" t="s">
        <v>642</v>
      </c>
      <c r="O106" s="715" t="s">
        <v>642</v>
      </c>
      <c r="P106" s="715" t="s">
        <v>642</v>
      </c>
      <c r="Q106" s="715" t="s">
        <v>642</v>
      </c>
      <c r="R106" s="715" t="s">
        <v>642</v>
      </c>
      <c r="S106" s="715" t="s">
        <v>642</v>
      </c>
      <c r="T106" s="715" t="s">
        <v>642</v>
      </c>
      <c r="U106" s="715" t="s">
        <v>642</v>
      </c>
    </row>
    <row r="107" spans="1:21" x14ac:dyDescent="0.3">
      <c r="A107" s="735" t="s">
        <v>1143</v>
      </c>
      <c r="B107" s="715">
        <v>17.2</v>
      </c>
      <c r="C107" s="715">
        <v>16.2</v>
      </c>
      <c r="D107" s="715">
        <v>21.8</v>
      </c>
      <c r="E107" s="715">
        <v>20.100000000000001</v>
      </c>
      <c r="F107" s="715">
        <v>20.399999999999999</v>
      </c>
      <c r="G107" s="715">
        <v>20</v>
      </c>
      <c r="H107" s="715">
        <v>23.7</v>
      </c>
      <c r="I107" s="715">
        <v>22.6</v>
      </c>
      <c r="J107" s="715">
        <v>21.8</v>
      </c>
      <c r="K107" s="715" t="s">
        <v>642</v>
      </c>
      <c r="L107" s="715">
        <v>25.2</v>
      </c>
      <c r="M107" s="715">
        <v>21.2</v>
      </c>
      <c r="N107" s="715">
        <v>20.8</v>
      </c>
      <c r="O107" s="715">
        <v>19.7</v>
      </c>
      <c r="P107" s="715">
        <v>20.3</v>
      </c>
      <c r="Q107" s="715">
        <v>19.5</v>
      </c>
      <c r="R107" s="715">
        <v>19.2</v>
      </c>
      <c r="S107" s="715" t="s">
        <v>642</v>
      </c>
      <c r="T107" s="715" t="s">
        <v>642</v>
      </c>
      <c r="U107" s="715" t="s">
        <v>642</v>
      </c>
    </row>
    <row r="108" spans="1:21" x14ac:dyDescent="0.3">
      <c r="A108" s="735" t="s">
        <v>963</v>
      </c>
      <c r="B108" s="715" t="s">
        <v>642</v>
      </c>
      <c r="C108" s="715" t="s">
        <v>642</v>
      </c>
      <c r="D108" s="715" t="s">
        <v>642</v>
      </c>
      <c r="E108" s="715" t="s">
        <v>642</v>
      </c>
      <c r="F108" s="715" t="s">
        <v>642</v>
      </c>
      <c r="G108" s="715" t="s">
        <v>642</v>
      </c>
      <c r="H108" s="715" t="s">
        <v>642</v>
      </c>
      <c r="I108" s="715" t="s">
        <v>642</v>
      </c>
      <c r="J108" s="715" t="s">
        <v>642</v>
      </c>
      <c r="K108" s="715" t="s">
        <v>642</v>
      </c>
      <c r="L108" s="716">
        <v>109090909.09</v>
      </c>
      <c r="M108" s="715" t="s">
        <v>642</v>
      </c>
      <c r="N108" s="715" t="s">
        <v>642</v>
      </c>
      <c r="O108" s="715" t="s">
        <v>642</v>
      </c>
      <c r="P108" s="715" t="s">
        <v>642</v>
      </c>
      <c r="Q108" s="715" t="s">
        <v>642</v>
      </c>
      <c r="R108" s="715" t="s">
        <v>642</v>
      </c>
      <c r="S108" s="715" t="s">
        <v>642</v>
      </c>
      <c r="T108" s="715" t="s">
        <v>642</v>
      </c>
      <c r="U108" s="715" t="s">
        <v>642</v>
      </c>
    </row>
    <row r="109" spans="1:21" x14ac:dyDescent="0.3">
      <c r="A109" s="735" t="s">
        <v>1145</v>
      </c>
      <c r="B109" s="715">
        <v>39.6</v>
      </c>
      <c r="C109" s="715">
        <v>43.8</v>
      </c>
      <c r="D109" s="715">
        <v>50</v>
      </c>
      <c r="E109" s="715">
        <v>43.9</v>
      </c>
      <c r="F109" s="715">
        <v>49</v>
      </c>
      <c r="G109" s="715">
        <v>51.1</v>
      </c>
      <c r="H109" s="715">
        <v>50.1</v>
      </c>
      <c r="I109" s="715">
        <v>51.1</v>
      </c>
      <c r="J109" s="715">
        <v>56</v>
      </c>
      <c r="K109" s="715" t="s">
        <v>642</v>
      </c>
      <c r="L109" s="715">
        <v>49.2</v>
      </c>
      <c r="M109" s="715">
        <v>48.8</v>
      </c>
      <c r="N109" s="715">
        <v>52.7</v>
      </c>
      <c r="O109" s="715">
        <v>50.7</v>
      </c>
      <c r="P109" s="715">
        <v>36.6</v>
      </c>
      <c r="Q109" s="715">
        <v>41.5</v>
      </c>
      <c r="R109" s="715">
        <v>42.4</v>
      </c>
      <c r="S109" s="715" t="s">
        <v>642</v>
      </c>
      <c r="T109" s="715" t="s">
        <v>642</v>
      </c>
      <c r="U109" s="715" t="s">
        <v>642</v>
      </c>
    </row>
    <row r="110" spans="1:21" x14ac:dyDescent="0.3">
      <c r="A110" s="735" t="s">
        <v>963</v>
      </c>
      <c r="B110" s="715" t="s">
        <v>642</v>
      </c>
      <c r="C110" s="715" t="s">
        <v>642</v>
      </c>
      <c r="D110" s="715" t="s">
        <v>642</v>
      </c>
      <c r="E110" s="715" t="s">
        <v>642</v>
      </c>
      <c r="F110" s="715" t="s">
        <v>642</v>
      </c>
      <c r="G110" s="715" t="s">
        <v>642</v>
      </c>
      <c r="H110" s="715" t="s">
        <v>642</v>
      </c>
      <c r="I110" s="715" t="s">
        <v>642</v>
      </c>
      <c r="J110" s="715" t="s">
        <v>642</v>
      </c>
      <c r="K110" s="715" t="s">
        <v>642</v>
      </c>
      <c r="L110" s="716">
        <v>212987012.99000001</v>
      </c>
      <c r="M110" s="715" t="s">
        <v>642</v>
      </c>
      <c r="N110" s="715" t="s">
        <v>642</v>
      </c>
      <c r="O110" s="715" t="s">
        <v>642</v>
      </c>
      <c r="P110" s="715" t="s">
        <v>642</v>
      </c>
      <c r="Q110" s="715" t="s">
        <v>642</v>
      </c>
      <c r="R110" s="715" t="s">
        <v>642</v>
      </c>
      <c r="S110" s="715" t="s">
        <v>642</v>
      </c>
      <c r="T110" s="715" t="s">
        <v>642</v>
      </c>
      <c r="U110" s="715" t="s">
        <v>642</v>
      </c>
    </row>
    <row r="111" spans="1:21" x14ac:dyDescent="0.3">
      <c r="A111" s="735" t="s">
        <v>1125</v>
      </c>
      <c r="B111" s="715">
        <v>27.7</v>
      </c>
      <c r="C111" s="715">
        <v>27.5</v>
      </c>
      <c r="D111" s="715">
        <v>25</v>
      </c>
      <c r="E111" s="715">
        <v>24.6</v>
      </c>
      <c r="F111" s="715">
        <v>24.9</v>
      </c>
      <c r="G111" s="715">
        <v>25.3</v>
      </c>
      <c r="H111" s="715">
        <v>24.7</v>
      </c>
      <c r="I111" s="715">
        <v>24.8</v>
      </c>
      <c r="J111" s="715">
        <v>25.3</v>
      </c>
      <c r="K111" s="715" t="s">
        <v>642</v>
      </c>
      <c r="L111" s="715">
        <v>23.1</v>
      </c>
      <c r="M111" s="715">
        <v>21.2</v>
      </c>
      <c r="N111" s="715">
        <v>20</v>
      </c>
      <c r="O111" s="715">
        <v>16.5</v>
      </c>
      <c r="P111" s="715">
        <v>14.5</v>
      </c>
      <c r="Q111" s="715">
        <v>14</v>
      </c>
      <c r="R111" s="715">
        <v>13.3</v>
      </c>
      <c r="S111" s="715" t="s">
        <v>642</v>
      </c>
      <c r="T111" s="715" t="s">
        <v>642</v>
      </c>
      <c r="U111" s="715" t="s">
        <v>642</v>
      </c>
    </row>
    <row r="112" spans="1:21" x14ac:dyDescent="0.3">
      <c r="A112" s="735" t="s">
        <v>963</v>
      </c>
      <c r="B112" s="715" t="s">
        <v>642</v>
      </c>
      <c r="C112" s="715" t="s">
        <v>642</v>
      </c>
      <c r="D112" s="715" t="s">
        <v>642</v>
      </c>
      <c r="E112" s="715" t="s">
        <v>642</v>
      </c>
      <c r="F112" s="715" t="s">
        <v>642</v>
      </c>
      <c r="G112" s="715" t="s">
        <v>642</v>
      </c>
      <c r="H112" s="715" t="s">
        <v>642</v>
      </c>
      <c r="I112" s="715" t="s">
        <v>642</v>
      </c>
      <c r="J112" s="715" t="s">
        <v>642</v>
      </c>
      <c r="K112" s="715" t="s">
        <v>642</v>
      </c>
      <c r="L112" s="716">
        <v>100000000</v>
      </c>
      <c r="M112" s="715" t="s">
        <v>642</v>
      </c>
      <c r="N112" s="715" t="s">
        <v>642</v>
      </c>
      <c r="O112" s="715" t="s">
        <v>642</v>
      </c>
      <c r="P112" s="715" t="s">
        <v>642</v>
      </c>
      <c r="Q112" s="715" t="s">
        <v>642</v>
      </c>
      <c r="R112" s="715" t="s">
        <v>642</v>
      </c>
      <c r="S112" s="715" t="s">
        <v>642</v>
      </c>
      <c r="T112" s="715" t="s">
        <v>642</v>
      </c>
      <c r="U112" s="715" t="s">
        <v>642</v>
      </c>
    </row>
    <row r="113" spans="1:21" x14ac:dyDescent="0.3">
      <c r="A113" s="735" t="s">
        <v>226</v>
      </c>
      <c r="B113" s="715" t="s">
        <v>642</v>
      </c>
      <c r="C113" s="715" t="s">
        <v>642</v>
      </c>
      <c r="D113" s="715" t="s">
        <v>642</v>
      </c>
      <c r="E113" s="715" t="s">
        <v>642</v>
      </c>
      <c r="F113" s="715" t="s">
        <v>642</v>
      </c>
      <c r="G113" s="715" t="s">
        <v>642</v>
      </c>
      <c r="H113" s="715" t="s">
        <v>642</v>
      </c>
      <c r="I113" s="715" t="s">
        <v>642</v>
      </c>
      <c r="J113" s="715" t="s">
        <v>642</v>
      </c>
      <c r="K113" s="715" t="s">
        <v>642</v>
      </c>
      <c r="L113" s="715" t="s">
        <v>642</v>
      </c>
      <c r="M113" s="715" t="s">
        <v>642</v>
      </c>
      <c r="N113" s="715" t="s">
        <v>642</v>
      </c>
      <c r="O113" s="715" t="s">
        <v>642</v>
      </c>
      <c r="P113" s="715" t="s">
        <v>642</v>
      </c>
      <c r="Q113" s="715" t="s">
        <v>642</v>
      </c>
      <c r="R113" s="715" t="s">
        <v>642</v>
      </c>
      <c r="S113" s="715" t="s">
        <v>642</v>
      </c>
      <c r="T113" s="715" t="s">
        <v>642</v>
      </c>
      <c r="U113" s="715" t="s">
        <v>642</v>
      </c>
    </row>
    <row r="114" spans="1:21" ht="25.5" x14ac:dyDescent="0.3">
      <c r="A114" s="735" t="s">
        <v>1010</v>
      </c>
      <c r="B114" s="715" t="s">
        <v>642</v>
      </c>
      <c r="C114" s="715" t="s">
        <v>642</v>
      </c>
      <c r="D114" s="715" t="s">
        <v>642</v>
      </c>
      <c r="E114" s="715" t="s">
        <v>642</v>
      </c>
      <c r="F114" s="715" t="s">
        <v>642</v>
      </c>
      <c r="G114" s="715" t="s">
        <v>642</v>
      </c>
      <c r="H114" s="715" t="s">
        <v>642</v>
      </c>
      <c r="I114" s="715" t="s">
        <v>642</v>
      </c>
      <c r="J114" s="715" t="s">
        <v>642</v>
      </c>
      <c r="K114" s="715" t="s">
        <v>642</v>
      </c>
      <c r="L114" s="715" t="s">
        <v>642</v>
      </c>
      <c r="M114" s="715" t="s">
        <v>642</v>
      </c>
      <c r="N114" s="715" t="s">
        <v>642</v>
      </c>
      <c r="O114" s="715" t="s">
        <v>642</v>
      </c>
      <c r="P114" s="715" t="s">
        <v>642</v>
      </c>
      <c r="Q114" s="715" t="s">
        <v>642</v>
      </c>
      <c r="R114" s="715" t="s">
        <v>642</v>
      </c>
      <c r="S114" s="715" t="s">
        <v>642</v>
      </c>
      <c r="T114" s="715" t="s">
        <v>642</v>
      </c>
      <c r="U114" s="715" t="s">
        <v>642</v>
      </c>
    </row>
    <row r="115" spans="1:21" x14ac:dyDescent="0.3">
      <c r="A115" s="735" t="s">
        <v>962</v>
      </c>
      <c r="B115" s="715">
        <v>5</v>
      </c>
      <c r="C115" s="715">
        <v>10</v>
      </c>
      <c r="D115" s="715">
        <v>5</v>
      </c>
      <c r="E115" s="715">
        <v>11.5</v>
      </c>
      <c r="F115" s="715">
        <v>1.5</v>
      </c>
      <c r="G115" s="715">
        <v>-5</v>
      </c>
      <c r="H115" s="715">
        <v>1.5</v>
      </c>
      <c r="I115" s="715">
        <v>5</v>
      </c>
      <c r="J115" s="715">
        <v>-18.5</v>
      </c>
      <c r="K115" s="715">
        <v>8.5</v>
      </c>
      <c r="L115" s="715">
        <v>-10</v>
      </c>
      <c r="M115" s="715">
        <v>15.5</v>
      </c>
      <c r="N115" s="715">
        <v>10</v>
      </c>
      <c r="O115" s="715">
        <v>35</v>
      </c>
      <c r="P115" s="715">
        <v>-15</v>
      </c>
      <c r="Q115" s="715">
        <v>5</v>
      </c>
      <c r="R115" s="715">
        <v>5</v>
      </c>
      <c r="S115" s="715" t="s">
        <v>642</v>
      </c>
      <c r="T115" s="715" t="s">
        <v>642</v>
      </c>
      <c r="U115" s="715" t="s">
        <v>642</v>
      </c>
    </row>
    <row r="116" spans="1:21" x14ac:dyDescent="0.3">
      <c r="A116" s="735" t="s">
        <v>963</v>
      </c>
      <c r="B116" s="715" t="s">
        <v>642</v>
      </c>
      <c r="C116" s="715" t="s">
        <v>642</v>
      </c>
      <c r="D116" s="715" t="s">
        <v>642</v>
      </c>
      <c r="E116" s="715" t="s">
        <v>642</v>
      </c>
      <c r="F116" s="715" t="s">
        <v>642</v>
      </c>
      <c r="G116" s="715" t="s">
        <v>642</v>
      </c>
      <c r="H116" s="715" t="s">
        <v>642</v>
      </c>
      <c r="I116" s="715" t="s">
        <v>642</v>
      </c>
      <c r="J116" s="715" t="s">
        <v>642</v>
      </c>
      <c r="K116" s="715" t="s">
        <v>642</v>
      </c>
      <c r="L116" s="715" t="s">
        <v>642</v>
      </c>
      <c r="M116" s="715" t="s">
        <v>642</v>
      </c>
      <c r="N116" s="715" t="s">
        <v>642</v>
      </c>
      <c r="O116" s="715" t="s">
        <v>642</v>
      </c>
      <c r="P116" s="715" t="s">
        <v>642</v>
      </c>
      <c r="Q116" s="715" t="s">
        <v>642</v>
      </c>
      <c r="R116" s="715" t="s">
        <v>642</v>
      </c>
      <c r="S116" s="715" t="s">
        <v>642</v>
      </c>
      <c r="T116" s="715" t="s">
        <v>642</v>
      </c>
      <c r="U116" s="715" t="s">
        <v>642</v>
      </c>
    </row>
    <row r="117" spans="1:21" x14ac:dyDescent="0.3">
      <c r="A117" s="735" t="s">
        <v>1074</v>
      </c>
      <c r="B117" s="715">
        <v>18.5</v>
      </c>
      <c r="C117" s="715">
        <v>8.5</v>
      </c>
      <c r="D117" s="715">
        <v>13</v>
      </c>
      <c r="E117" s="715">
        <v>8.5</v>
      </c>
      <c r="F117" s="715">
        <v>5</v>
      </c>
      <c r="G117" s="715">
        <v>-1.5</v>
      </c>
      <c r="H117" s="715" t="s">
        <v>642</v>
      </c>
      <c r="I117" s="715">
        <v>-8.5</v>
      </c>
      <c r="J117" s="715">
        <v>-8.5</v>
      </c>
      <c r="K117" s="715">
        <v>5</v>
      </c>
      <c r="L117" s="715">
        <v>-1.5</v>
      </c>
      <c r="M117" s="715">
        <v>4.5</v>
      </c>
      <c r="N117" s="715">
        <v>-1.5</v>
      </c>
      <c r="O117" s="715">
        <v>35</v>
      </c>
      <c r="P117" s="715">
        <v>1.5</v>
      </c>
      <c r="Q117" s="715">
        <v>-5</v>
      </c>
      <c r="R117" s="715">
        <v>8.5</v>
      </c>
      <c r="S117" s="715" t="s">
        <v>642</v>
      </c>
      <c r="T117" s="715" t="s">
        <v>642</v>
      </c>
      <c r="U117" s="715" t="s">
        <v>642</v>
      </c>
    </row>
    <row r="118" spans="1:21" x14ac:dyDescent="0.3">
      <c r="A118" s="735" t="s">
        <v>963</v>
      </c>
      <c r="B118" s="715" t="s">
        <v>642</v>
      </c>
      <c r="C118" s="715" t="s">
        <v>642</v>
      </c>
      <c r="D118" s="715" t="s">
        <v>642</v>
      </c>
      <c r="E118" s="715" t="s">
        <v>642</v>
      </c>
      <c r="F118" s="715" t="s">
        <v>642</v>
      </c>
      <c r="G118" s="715" t="s">
        <v>642</v>
      </c>
      <c r="H118" s="715" t="s">
        <v>642</v>
      </c>
      <c r="I118" s="715" t="s">
        <v>642</v>
      </c>
      <c r="J118" s="715" t="s">
        <v>642</v>
      </c>
      <c r="K118" s="715" t="s">
        <v>642</v>
      </c>
      <c r="L118" s="715" t="s">
        <v>642</v>
      </c>
      <c r="M118" s="715" t="s">
        <v>642</v>
      </c>
      <c r="N118" s="715" t="s">
        <v>642</v>
      </c>
      <c r="O118" s="715" t="s">
        <v>642</v>
      </c>
      <c r="P118" s="715" t="s">
        <v>642</v>
      </c>
      <c r="Q118" s="715" t="s">
        <v>642</v>
      </c>
      <c r="R118" s="715" t="s">
        <v>642</v>
      </c>
      <c r="S118" s="715" t="s">
        <v>642</v>
      </c>
      <c r="T118" s="715" t="s">
        <v>642</v>
      </c>
      <c r="U118" s="715" t="s">
        <v>642</v>
      </c>
    </row>
    <row r="119" spans="1:21" x14ac:dyDescent="0.3">
      <c r="A119" s="735" t="s">
        <v>226</v>
      </c>
      <c r="B119" s="715" t="s">
        <v>642</v>
      </c>
      <c r="C119" s="715" t="s">
        <v>642</v>
      </c>
      <c r="D119" s="715" t="s">
        <v>642</v>
      </c>
      <c r="E119" s="715" t="s">
        <v>642</v>
      </c>
      <c r="F119" s="715" t="s">
        <v>642</v>
      </c>
      <c r="G119" s="715" t="s">
        <v>642</v>
      </c>
      <c r="H119" s="715" t="s">
        <v>642</v>
      </c>
      <c r="I119" s="715" t="s">
        <v>642</v>
      </c>
      <c r="J119" s="715" t="s">
        <v>642</v>
      </c>
      <c r="K119" s="715" t="s">
        <v>642</v>
      </c>
      <c r="L119" s="715" t="s">
        <v>642</v>
      </c>
      <c r="M119" s="715" t="s">
        <v>642</v>
      </c>
      <c r="N119" s="715" t="s">
        <v>642</v>
      </c>
      <c r="O119" s="715" t="s">
        <v>642</v>
      </c>
      <c r="P119" s="715" t="s">
        <v>642</v>
      </c>
      <c r="Q119" s="715" t="s">
        <v>642</v>
      </c>
      <c r="R119" s="715" t="s">
        <v>642</v>
      </c>
      <c r="S119" s="715" t="s">
        <v>642</v>
      </c>
      <c r="T119" s="715" t="s">
        <v>642</v>
      </c>
      <c r="U119" s="715" t="s">
        <v>642</v>
      </c>
    </row>
    <row r="120" spans="1:21" x14ac:dyDescent="0.3">
      <c r="A120" s="735" t="s">
        <v>1084</v>
      </c>
      <c r="B120" s="716">
        <v>12353238</v>
      </c>
      <c r="C120" s="716">
        <v>9047001</v>
      </c>
      <c r="D120" s="716">
        <v>9382868</v>
      </c>
      <c r="E120" s="716">
        <v>12566745</v>
      </c>
      <c r="F120" s="716">
        <v>15817531</v>
      </c>
      <c r="G120" s="716">
        <v>13866712</v>
      </c>
      <c r="H120" s="716">
        <v>14121409</v>
      </c>
      <c r="I120" s="716">
        <v>14097045</v>
      </c>
      <c r="J120" s="716">
        <v>10852045</v>
      </c>
      <c r="K120" s="716">
        <v>4306131</v>
      </c>
      <c r="L120" s="716">
        <v>640178</v>
      </c>
      <c r="M120" s="716">
        <v>668547</v>
      </c>
      <c r="N120" s="716">
        <v>2433534</v>
      </c>
      <c r="O120" s="716">
        <v>2824717</v>
      </c>
      <c r="P120" s="716">
        <v>6606009</v>
      </c>
      <c r="Q120" s="716">
        <v>10443878</v>
      </c>
      <c r="R120" s="716">
        <v>9183371</v>
      </c>
      <c r="S120" s="716">
        <v>6492703</v>
      </c>
      <c r="T120" s="715" t="s">
        <v>642</v>
      </c>
      <c r="U120" s="715" t="s">
        <v>642</v>
      </c>
    </row>
    <row r="121" spans="1:21" x14ac:dyDescent="0.3">
      <c r="A121" s="735" t="s">
        <v>1115</v>
      </c>
      <c r="B121" s="715" t="s">
        <v>642</v>
      </c>
      <c r="C121" s="715" t="s">
        <v>642</v>
      </c>
      <c r="D121" s="715" t="s">
        <v>642</v>
      </c>
      <c r="E121" s="715" t="s">
        <v>642</v>
      </c>
      <c r="F121" s="715" t="s">
        <v>642</v>
      </c>
      <c r="G121" s="715" t="s">
        <v>642</v>
      </c>
      <c r="H121" s="715" t="s">
        <v>642</v>
      </c>
      <c r="I121" s="715" t="s">
        <v>642</v>
      </c>
      <c r="J121" s="715" t="s">
        <v>642</v>
      </c>
      <c r="K121" s="715" t="s">
        <v>642</v>
      </c>
      <c r="L121" s="715" t="s">
        <v>642</v>
      </c>
      <c r="M121" s="715" t="s">
        <v>642</v>
      </c>
      <c r="N121" s="715" t="s">
        <v>642</v>
      </c>
      <c r="O121" s="715" t="s">
        <v>642</v>
      </c>
      <c r="P121" s="715" t="s">
        <v>642</v>
      </c>
      <c r="Q121" s="715" t="s">
        <v>642</v>
      </c>
      <c r="R121" s="715" t="s">
        <v>642</v>
      </c>
      <c r="S121" s="715" t="s">
        <v>642</v>
      </c>
      <c r="T121" s="715" t="s">
        <v>642</v>
      </c>
      <c r="U121" s="715" t="s">
        <v>642</v>
      </c>
    </row>
    <row r="122" spans="1:21" x14ac:dyDescent="0.3">
      <c r="A122" s="735" t="s">
        <v>963</v>
      </c>
      <c r="B122" s="715" t="s">
        <v>642</v>
      </c>
      <c r="C122" s="715" t="s">
        <v>642</v>
      </c>
      <c r="D122" s="715" t="s">
        <v>642</v>
      </c>
      <c r="E122" s="715" t="s">
        <v>642</v>
      </c>
      <c r="F122" s="715" t="s">
        <v>642</v>
      </c>
      <c r="G122" s="715" t="s">
        <v>642</v>
      </c>
      <c r="H122" s="715" t="s">
        <v>642</v>
      </c>
      <c r="I122" s="715" t="s">
        <v>642</v>
      </c>
      <c r="J122" s="715" t="s">
        <v>642</v>
      </c>
      <c r="K122" s="715" t="s">
        <v>642</v>
      </c>
      <c r="L122" s="715" t="s">
        <v>642</v>
      </c>
      <c r="M122" s="715" t="s">
        <v>642</v>
      </c>
      <c r="N122" s="715" t="s">
        <v>642</v>
      </c>
      <c r="O122" s="715" t="s">
        <v>642</v>
      </c>
      <c r="P122" s="715" t="s">
        <v>642</v>
      </c>
      <c r="Q122" s="715" t="s">
        <v>642</v>
      </c>
      <c r="R122" s="715" t="s">
        <v>642</v>
      </c>
      <c r="S122" s="715" t="s">
        <v>642</v>
      </c>
      <c r="T122" s="715" t="s">
        <v>642</v>
      </c>
      <c r="U122" s="715" t="s">
        <v>642</v>
      </c>
    </row>
    <row r="123" spans="1:21" x14ac:dyDescent="0.3">
      <c r="A123" s="735" t="s">
        <v>1116</v>
      </c>
      <c r="B123" s="716">
        <v>4453933</v>
      </c>
      <c r="C123" s="715" t="s">
        <v>642</v>
      </c>
      <c r="D123" s="715" t="s">
        <v>642</v>
      </c>
      <c r="E123" s="715" t="s">
        <v>642</v>
      </c>
      <c r="F123" s="715" t="s">
        <v>642</v>
      </c>
      <c r="G123" s="715" t="s">
        <v>642</v>
      </c>
      <c r="H123" s="715" t="s">
        <v>642</v>
      </c>
      <c r="I123" s="715" t="s">
        <v>642</v>
      </c>
      <c r="J123" s="715" t="s">
        <v>642</v>
      </c>
      <c r="K123" s="715" t="s">
        <v>642</v>
      </c>
      <c r="L123" s="715" t="s">
        <v>642</v>
      </c>
      <c r="M123" s="715" t="s">
        <v>642</v>
      </c>
      <c r="N123" s="715" t="s">
        <v>642</v>
      </c>
      <c r="O123" s="715" t="s">
        <v>642</v>
      </c>
      <c r="P123" s="715" t="s">
        <v>642</v>
      </c>
      <c r="Q123" s="715" t="s">
        <v>642</v>
      </c>
      <c r="R123" s="715" t="s">
        <v>642</v>
      </c>
      <c r="S123" s="715" t="s">
        <v>642</v>
      </c>
      <c r="T123" s="715" t="s">
        <v>642</v>
      </c>
      <c r="U123" s="715" t="s">
        <v>642</v>
      </c>
    </row>
    <row r="124" spans="1:21" x14ac:dyDescent="0.3">
      <c r="A124" s="735" t="s">
        <v>1117</v>
      </c>
      <c r="B124" s="715">
        <v>36.049999999999997</v>
      </c>
      <c r="C124" s="715" t="s">
        <v>642</v>
      </c>
      <c r="D124" s="715" t="s">
        <v>642</v>
      </c>
      <c r="E124" s="715" t="s">
        <v>642</v>
      </c>
      <c r="F124" s="715" t="s">
        <v>642</v>
      </c>
      <c r="G124" s="715" t="s">
        <v>642</v>
      </c>
      <c r="H124" s="715" t="s">
        <v>642</v>
      </c>
      <c r="I124" s="715" t="s">
        <v>642</v>
      </c>
      <c r="J124" s="715" t="s">
        <v>642</v>
      </c>
      <c r="K124" s="715" t="s">
        <v>642</v>
      </c>
      <c r="L124" s="715" t="s">
        <v>642</v>
      </c>
      <c r="M124" s="715" t="s">
        <v>642</v>
      </c>
      <c r="N124" s="715" t="s">
        <v>642</v>
      </c>
      <c r="O124" s="715" t="s">
        <v>642</v>
      </c>
      <c r="P124" s="715" t="s">
        <v>642</v>
      </c>
      <c r="Q124" s="715" t="s">
        <v>642</v>
      </c>
      <c r="R124" s="715" t="s">
        <v>642</v>
      </c>
      <c r="S124" s="715" t="s">
        <v>642</v>
      </c>
      <c r="T124" s="715" t="s">
        <v>642</v>
      </c>
      <c r="U124" s="715" t="s">
        <v>642</v>
      </c>
    </row>
    <row r="125" spans="1:21" x14ac:dyDescent="0.3">
      <c r="A125" s="735" t="s">
        <v>1120</v>
      </c>
      <c r="B125" s="716">
        <v>1558923</v>
      </c>
      <c r="C125" s="715" t="s">
        <v>642</v>
      </c>
      <c r="D125" s="715" t="s">
        <v>642</v>
      </c>
      <c r="E125" s="715" t="s">
        <v>642</v>
      </c>
      <c r="F125" s="715" t="s">
        <v>642</v>
      </c>
      <c r="G125" s="715" t="s">
        <v>642</v>
      </c>
      <c r="H125" s="715" t="s">
        <v>642</v>
      </c>
      <c r="I125" s="715" t="s">
        <v>642</v>
      </c>
      <c r="J125" s="715" t="s">
        <v>642</v>
      </c>
      <c r="K125" s="715" t="s">
        <v>642</v>
      </c>
      <c r="L125" s="716">
        <v>190000</v>
      </c>
      <c r="M125" s="715" t="s">
        <v>642</v>
      </c>
      <c r="N125" s="715" t="s">
        <v>642</v>
      </c>
      <c r="O125" s="715" t="s">
        <v>642</v>
      </c>
      <c r="P125" s="715" t="s">
        <v>642</v>
      </c>
      <c r="Q125" s="715" t="s">
        <v>642</v>
      </c>
      <c r="R125" s="715" t="s">
        <v>642</v>
      </c>
      <c r="S125" s="715" t="s">
        <v>642</v>
      </c>
      <c r="T125" s="715" t="s">
        <v>642</v>
      </c>
      <c r="U125" s="715" t="s">
        <v>642</v>
      </c>
    </row>
    <row r="126" spans="1:21" x14ac:dyDescent="0.3">
      <c r="A126" s="735" t="s">
        <v>1117</v>
      </c>
      <c r="B126" s="715">
        <v>12.62</v>
      </c>
      <c r="C126" s="715" t="s">
        <v>642</v>
      </c>
      <c r="D126" s="715" t="s">
        <v>642</v>
      </c>
      <c r="E126" s="715" t="s">
        <v>642</v>
      </c>
      <c r="F126" s="715" t="s">
        <v>642</v>
      </c>
      <c r="G126" s="715" t="s">
        <v>642</v>
      </c>
      <c r="H126" s="715" t="s">
        <v>642</v>
      </c>
      <c r="I126" s="715" t="s">
        <v>642</v>
      </c>
      <c r="J126" s="715" t="s">
        <v>642</v>
      </c>
      <c r="K126" s="715" t="s">
        <v>642</v>
      </c>
      <c r="L126" s="715">
        <v>29.68</v>
      </c>
      <c r="M126" s="715" t="s">
        <v>642</v>
      </c>
      <c r="N126" s="715" t="s">
        <v>642</v>
      </c>
      <c r="O126" s="715" t="s">
        <v>642</v>
      </c>
      <c r="P126" s="715" t="s">
        <v>642</v>
      </c>
      <c r="Q126" s="715" t="s">
        <v>642</v>
      </c>
      <c r="R126" s="715" t="s">
        <v>642</v>
      </c>
      <c r="S126" s="715" t="s">
        <v>642</v>
      </c>
      <c r="T126" s="715" t="s">
        <v>642</v>
      </c>
      <c r="U126" s="715" t="s">
        <v>642</v>
      </c>
    </row>
    <row r="127" spans="1:21" x14ac:dyDescent="0.3">
      <c r="A127" s="735" t="s">
        <v>1122</v>
      </c>
      <c r="B127" s="716">
        <v>6035391</v>
      </c>
      <c r="C127" s="715" t="s">
        <v>642</v>
      </c>
      <c r="D127" s="715" t="s">
        <v>642</v>
      </c>
      <c r="E127" s="715" t="s">
        <v>642</v>
      </c>
      <c r="F127" s="715" t="s">
        <v>642</v>
      </c>
      <c r="G127" s="715" t="s">
        <v>642</v>
      </c>
      <c r="H127" s="715" t="s">
        <v>642</v>
      </c>
      <c r="I127" s="715" t="s">
        <v>642</v>
      </c>
      <c r="J127" s="715" t="s">
        <v>642</v>
      </c>
      <c r="K127" s="715" t="s">
        <v>642</v>
      </c>
      <c r="L127" s="715" t="s">
        <v>642</v>
      </c>
      <c r="M127" s="715" t="s">
        <v>642</v>
      </c>
      <c r="N127" s="715" t="s">
        <v>642</v>
      </c>
      <c r="O127" s="715" t="s">
        <v>642</v>
      </c>
      <c r="P127" s="715" t="s">
        <v>642</v>
      </c>
      <c r="Q127" s="715" t="s">
        <v>642</v>
      </c>
      <c r="R127" s="715" t="s">
        <v>642</v>
      </c>
      <c r="S127" s="715" t="s">
        <v>642</v>
      </c>
      <c r="T127" s="715" t="s">
        <v>642</v>
      </c>
      <c r="U127" s="715" t="s">
        <v>642</v>
      </c>
    </row>
    <row r="128" spans="1:21" x14ac:dyDescent="0.3">
      <c r="A128" s="735" t="s">
        <v>963</v>
      </c>
      <c r="B128" s="715">
        <v>48.86</v>
      </c>
      <c r="C128" s="715" t="s">
        <v>642</v>
      </c>
      <c r="D128" s="715" t="s">
        <v>642</v>
      </c>
      <c r="E128" s="715" t="s">
        <v>642</v>
      </c>
      <c r="F128" s="715" t="s">
        <v>642</v>
      </c>
      <c r="G128" s="715" t="s">
        <v>642</v>
      </c>
      <c r="H128" s="715" t="s">
        <v>642</v>
      </c>
      <c r="I128" s="715" t="s">
        <v>642</v>
      </c>
      <c r="J128" s="715" t="s">
        <v>642</v>
      </c>
      <c r="K128" s="715" t="s">
        <v>642</v>
      </c>
      <c r="L128" s="715" t="s">
        <v>642</v>
      </c>
      <c r="M128" s="715" t="s">
        <v>642</v>
      </c>
      <c r="N128" s="715" t="s">
        <v>642</v>
      </c>
      <c r="O128" s="715" t="s">
        <v>642</v>
      </c>
      <c r="P128" s="715" t="s">
        <v>642</v>
      </c>
      <c r="Q128" s="715" t="s">
        <v>642</v>
      </c>
      <c r="R128" s="715" t="s">
        <v>642</v>
      </c>
      <c r="S128" s="715" t="s">
        <v>642</v>
      </c>
      <c r="T128" s="715" t="s">
        <v>642</v>
      </c>
      <c r="U128" s="715" t="s">
        <v>642</v>
      </c>
    </row>
    <row r="129" spans="1:21" x14ac:dyDescent="0.3">
      <c r="A129" s="735" t="s">
        <v>1124</v>
      </c>
      <c r="B129" s="716">
        <v>472381</v>
      </c>
      <c r="C129" s="715" t="s">
        <v>642</v>
      </c>
      <c r="D129" s="715" t="s">
        <v>642</v>
      </c>
      <c r="E129" s="715" t="s">
        <v>642</v>
      </c>
      <c r="F129" s="715" t="s">
        <v>642</v>
      </c>
      <c r="G129" s="715" t="s">
        <v>642</v>
      </c>
      <c r="H129" s="715" t="s">
        <v>642</v>
      </c>
      <c r="I129" s="715" t="s">
        <v>642</v>
      </c>
      <c r="J129" s="715" t="s">
        <v>642</v>
      </c>
      <c r="K129" s="715" t="s">
        <v>642</v>
      </c>
      <c r="L129" s="716">
        <v>780000</v>
      </c>
      <c r="M129" s="715" t="s">
        <v>642</v>
      </c>
      <c r="N129" s="715" t="s">
        <v>642</v>
      </c>
      <c r="O129" s="715" t="s">
        <v>642</v>
      </c>
      <c r="P129" s="715" t="s">
        <v>642</v>
      </c>
      <c r="Q129" s="715" t="s">
        <v>642</v>
      </c>
      <c r="R129" s="715" t="s">
        <v>642</v>
      </c>
      <c r="S129" s="715" t="s">
        <v>642</v>
      </c>
      <c r="T129" s="715" t="s">
        <v>642</v>
      </c>
      <c r="U129" s="715" t="s">
        <v>642</v>
      </c>
    </row>
    <row r="130" spans="1:21" x14ac:dyDescent="0.3">
      <c r="A130" s="735" t="s">
        <v>963</v>
      </c>
      <c r="B130" s="715">
        <v>3.82</v>
      </c>
      <c r="C130" s="715" t="s">
        <v>642</v>
      </c>
      <c r="D130" s="715" t="s">
        <v>642</v>
      </c>
      <c r="E130" s="715" t="s">
        <v>642</v>
      </c>
      <c r="F130" s="715" t="s">
        <v>642</v>
      </c>
      <c r="G130" s="715" t="s">
        <v>642</v>
      </c>
      <c r="H130" s="715" t="s">
        <v>642</v>
      </c>
      <c r="I130" s="715" t="s">
        <v>642</v>
      </c>
      <c r="J130" s="715" t="s">
        <v>642</v>
      </c>
      <c r="K130" s="715" t="s">
        <v>642</v>
      </c>
      <c r="L130" s="715">
        <v>121.84</v>
      </c>
      <c r="M130" s="715" t="s">
        <v>642</v>
      </c>
      <c r="N130" s="715" t="s">
        <v>642</v>
      </c>
      <c r="O130" s="715" t="s">
        <v>642</v>
      </c>
      <c r="P130" s="715" t="s">
        <v>642</v>
      </c>
      <c r="Q130" s="715" t="s">
        <v>642</v>
      </c>
      <c r="R130" s="715" t="s">
        <v>642</v>
      </c>
      <c r="S130" s="715" t="s">
        <v>642</v>
      </c>
      <c r="T130" s="715" t="s">
        <v>642</v>
      </c>
      <c r="U130" s="715" t="s">
        <v>642</v>
      </c>
    </row>
    <row r="131" spans="1:21" x14ac:dyDescent="0.3">
      <c r="A131" s="735" t="s">
        <v>1125</v>
      </c>
      <c r="B131" s="716">
        <v>151915</v>
      </c>
      <c r="C131" s="715" t="s">
        <v>642</v>
      </c>
      <c r="D131" s="715" t="s">
        <v>642</v>
      </c>
      <c r="E131" s="715" t="s">
        <v>642</v>
      </c>
      <c r="F131" s="715" t="s">
        <v>642</v>
      </c>
      <c r="G131" s="715" t="s">
        <v>642</v>
      </c>
      <c r="H131" s="715" t="s">
        <v>642</v>
      </c>
      <c r="I131" s="715" t="s">
        <v>642</v>
      </c>
      <c r="J131" s="715" t="s">
        <v>642</v>
      </c>
      <c r="K131" s="715" t="s">
        <v>642</v>
      </c>
      <c r="L131" s="716">
        <v>130000</v>
      </c>
      <c r="M131" s="715" t="s">
        <v>642</v>
      </c>
      <c r="N131" s="715" t="s">
        <v>642</v>
      </c>
      <c r="O131" s="715" t="s">
        <v>642</v>
      </c>
      <c r="P131" s="715" t="s">
        <v>642</v>
      </c>
      <c r="Q131" s="715" t="s">
        <v>642</v>
      </c>
      <c r="R131" s="715" t="s">
        <v>642</v>
      </c>
      <c r="S131" s="715" t="s">
        <v>642</v>
      </c>
      <c r="T131" s="715" t="s">
        <v>642</v>
      </c>
      <c r="U131" s="715" t="s">
        <v>642</v>
      </c>
    </row>
    <row r="132" spans="1:21" x14ac:dyDescent="0.3">
      <c r="A132" s="735" t="s">
        <v>963</v>
      </c>
      <c r="B132" s="715">
        <v>1.23</v>
      </c>
      <c r="C132" s="715" t="s">
        <v>642</v>
      </c>
      <c r="D132" s="715" t="s">
        <v>642</v>
      </c>
      <c r="E132" s="715" t="s">
        <v>642</v>
      </c>
      <c r="F132" s="715" t="s">
        <v>642</v>
      </c>
      <c r="G132" s="715" t="s">
        <v>642</v>
      </c>
      <c r="H132" s="715" t="s">
        <v>642</v>
      </c>
      <c r="I132" s="715" t="s">
        <v>642</v>
      </c>
      <c r="J132" s="715" t="s">
        <v>642</v>
      </c>
      <c r="K132" s="715" t="s">
        <v>642</v>
      </c>
      <c r="L132" s="715">
        <v>20.309999999999999</v>
      </c>
      <c r="M132" s="715" t="s">
        <v>642</v>
      </c>
      <c r="N132" s="715" t="s">
        <v>642</v>
      </c>
      <c r="O132" s="715" t="s">
        <v>642</v>
      </c>
      <c r="P132" s="715" t="s">
        <v>642</v>
      </c>
      <c r="Q132" s="715" t="s">
        <v>642</v>
      </c>
      <c r="R132" s="715" t="s">
        <v>642</v>
      </c>
      <c r="S132" s="715" t="s">
        <v>642</v>
      </c>
      <c r="T132" s="715" t="s">
        <v>642</v>
      </c>
      <c r="U132" s="715" t="s">
        <v>642</v>
      </c>
    </row>
    <row r="133" spans="1:21" x14ac:dyDescent="0.3">
      <c r="A133" s="735" t="s">
        <v>971</v>
      </c>
      <c r="B133" s="715" t="s">
        <v>642</v>
      </c>
      <c r="C133" s="715" t="s">
        <v>642</v>
      </c>
      <c r="D133" s="715" t="s">
        <v>642</v>
      </c>
      <c r="E133" s="715" t="s">
        <v>642</v>
      </c>
      <c r="F133" s="715" t="s">
        <v>642</v>
      </c>
      <c r="G133" s="715" t="s">
        <v>642</v>
      </c>
      <c r="H133" s="715" t="s">
        <v>642</v>
      </c>
      <c r="I133" s="715" t="s">
        <v>642</v>
      </c>
      <c r="J133" s="715" t="s">
        <v>642</v>
      </c>
      <c r="K133" s="715" t="s">
        <v>642</v>
      </c>
      <c r="L133" s="715" t="s">
        <v>642</v>
      </c>
      <c r="M133" s="715" t="s">
        <v>642</v>
      </c>
      <c r="N133" s="715" t="s">
        <v>642</v>
      </c>
      <c r="O133" s="715" t="s">
        <v>642</v>
      </c>
      <c r="P133" s="715" t="s">
        <v>642</v>
      </c>
      <c r="Q133" s="715" t="s">
        <v>642</v>
      </c>
      <c r="R133" s="715" t="s">
        <v>642</v>
      </c>
      <c r="S133" s="715" t="s">
        <v>642</v>
      </c>
      <c r="T133" s="715" t="s">
        <v>642</v>
      </c>
      <c r="U133" s="715" t="s">
        <v>642</v>
      </c>
    </row>
    <row r="134" spans="1:21" x14ac:dyDescent="0.3">
      <c r="A134" s="735" t="s">
        <v>1126</v>
      </c>
      <c r="B134" s="715" t="s">
        <v>642</v>
      </c>
      <c r="C134" s="715" t="s">
        <v>642</v>
      </c>
      <c r="D134" s="715" t="s">
        <v>642</v>
      </c>
      <c r="E134" s="715" t="s">
        <v>642</v>
      </c>
      <c r="F134" s="715" t="s">
        <v>642</v>
      </c>
      <c r="G134" s="715" t="s">
        <v>642</v>
      </c>
      <c r="H134" s="715" t="s">
        <v>642</v>
      </c>
      <c r="I134" s="715" t="s">
        <v>642</v>
      </c>
      <c r="J134" s="715" t="s">
        <v>642</v>
      </c>
      <c r="K134" s="715" t="s">
        <v>642</v>
      </c>
      <c r="L134" s="715" t="s">
        <v>642</v>
      </c>
      <c r="M134" s="715" t="s">
        <v>642</v>
      </c>
      <c r="N134" s="715" t="s">
        <v>642</v>
      </c>
      <c r="O134" s="715" t="s">
        <v>642</v>
      </c>
      <c r="P134" s="715" t="s">
        <v>642</v>
      </c>
      <c r="Q134" s="715" t="s">
        <v>642</v>
      </c>
      <c r="R134" s="715" t="s">
        <v>642</v>
      </c>
      <c r="S134" s="715" t="s">
        <v>642</v>
      </c>
      <c r="T134" s="715" t="s">
        <v>642</v>
      </c>
      <c r="U134" s="715" t="s">
        <v>642</v>
      </c>
    </row>
    <row r="135" spans="1:21" x14ac:dyDescent="0.3">
      <c r="A135" s="735" t="s">
        <v>1127</v>
      </c>
      <c r="B135" s="715" t="s">
        <v>642</v>
      </c>
      <c r="C135" s="715" t="s">
        <v>642</v>
      </c>
      <c r="D135" s="715" t="s">
        <v>642</v>
      </c>
      <c r="E135" s="715" t="s">
        <v>642</v>
      </c>
      <c r="F135" s="715" t="s">
        <v>642</v>
      </c>
      <c r="G135" s="715" t="s">
        <v>642</v>
      </c>
      <c r="H135" s="715" t="s">
        <v>642</v>
      </c>
      <c r="I135" s="715" t="s">
        <v>642</v>
      </c>
      <c r="J135" s="715" t="s">
        <v>642</v>
      </c>
      <c r="K135" s="715" t="s">
        <v>642</v>
      </c>
      <c r="L135" s="715" t="s">
        <v>642</v>
      </c>
      <c r="M135" s="715" t="s">
        <v>642</v>
      </c>
      <c r="N135" s="715" t="s">
        <v>642</v>
      </c>
      <c r="O135" s="715" t="s">
        <v>642</v>
      </c>
      <c r="P135" s="715" t="s">
        <v>642</v>
      </c>
      <c r="Q135" s="715" t="s">
        <v>642</v>
      </c>
      <c r="R135" s="715" t="s">
        <v>642</v>
      </c>
      <c r="S135" s="715" t="s">
        <v>642</v>
      </c>
      <c r="T135" s="715" t="s">
        <v>642</v>
      </c>
      <c r="U135" s="715" t="s">
        <v>642</v>
      </c>
    </row>
    <row r="136" spans="1:21" x14ac:dyDescent="0.3">
      <c r="A136" s="735" t="s">
        <v>1129</v>
      </c>
      <c r="B136" s="715" t="s">
        <v>642</v>
      </c>
      <c r="C136" s="715" t="s">
        <v>642</v>
      </c>
      <c r="D136" s="715" t="s">
        <v>642</v>
      </c>
      <c r="E136" s="715" t="s">
        <v>642</v>
      </c>
      <c r="F136" s="715" t="s">
        <v>642</v>
      </c>
      <c r="G136" s="715" t="s">
        <v>642</v>
      </c>
      <c r="H136" s="715" t="s">
        <v>642</v>
      </c>
      <c r="I136" s="715" t="s">
        <v>642</v>
      </c>
      <c r="J136" s="715" t="s">
        <v>642</v>
      </c>
      <c r="K136" s="715" t="s">
        <v>642</v>
      </c>
      <c r="L136" s="715" t="s">
        <v>642</v>
      </c>
      <c r="M136" s="715" t="s">
        <v>642</v>
      </c>
      <c r="N136" s="715" t="s">
        <v>642</v>
      </c>
      <c r="O136" s="715" t="s">
        <v>642</v>
      </c>
      <c r="P136" s="715" t="s">
        <v>642</v>
      </c>
      <c r="Q136" s="715" t="s">
        <v>642</v>
      </c>
      <c r="R136" s="715" t="s">
        <v>642</v>
      </c>
      <c r="S136" s="715" t="s">
        <v>642</v>
      </c>
      <c r="T136" s="715" t="s">
        <v>642</v>
      </c>
      <c r="U136" s="715" t="s">
        <v>642</v>
      </c>
    </row>
    <row r="137" spans="1:21" x14ac:dyDescent="0.3">
      <c r="A137" s="735" t="s">
        <v>1130</v>
      </c>
      <c r="B137" s="716">
        <v>5536917</v>
      </c>
      <c r="C137" s="715" t="s">
        <v>642</v>
      </c>
      <c r="D137" s="715" t="s">
        <v>642</v>
      </c>
      <c r="E137" s="715" t="s">
        <v>642</v>
      </c>
      <c r="F137" s="715" t="s">
        <v>642</v>
      </c>
      <c r="G137" s="715" t="s">
        <v>642</v>
      </c>
      <c r="H137" s="715" t="s">
        <v>642</v>
      </c>
      <c r="I137" s="715" t="s">
        <v>642</v>
      </c>
      <c r="J137" s="715" t="s">
        <v>642</v>
      </c>
      <c r="K137" s="715" t="s">
        <v>642</v>
      </c>
      <c r="L137" s="715" t="s">
        <v>642</v>
      </c>
      <c r="M137" s="715" t="s">
        <v>642</v>
      </c>
      <c r="N137" s="715" t="s">
        <v>642</v>
      </c>
      <c r="O137" s="715" t="s">
        <v>642</v>
      </c>
      <c r="P137" s="715" t="s">
        <v>642</v>
      </c>
      <c r="Q137" s="715" t="s">
        <v>642</v>
      </c>
      <c r="R137" s="715" t="s">
        <v>642</v>
      </c>
      <c r="S137" s="715" t="s">
        <v>642</v>
      </c>
      <c r="T137" s="715" t="s">
        <v>642</v>
      </c>
      <c r="U137" s="715" t="s">
        <v>642</v>
      </c>
    </row>
    <row r="138" spans="1:21" x14ac:dyDescent="0.3">
      <c r="A138" s="735" t="s">
        <v>226</v>
      </c>
      <c r="B138" s="715" t="s">
        <v>642</v>
      </c>
      <c r="C138" s="715" t="s">
        <v>642</v>
      </c>
      <c r="D138" s="715" t="s">
        <v>642</v>
      </c>
      <c r="E138" s="715" t="s">
        <v>642</v>
      </c>
      <c r="F138" s="715" t="s">
        <v>642</v>
      </c>
      <c r="G138" s="715" t="s">
        <v>642</v>
      </c>
      <c r="H138" s="715" t="s">
        <v>642</v>
      </c>
      <c r="I138" s="715" t="s">
        <v>642</v>
      </c>
      <c r="J138" s="715" t="s">
        <v>642</v>
      </c>
      <c r="K138" s="715" t="s">
        <v>642</v>
      </c>
      <c r="L138" s="715" t="s">
        <v>642</v>
      </c>
      <c r="M138" s="715" t="s">
        <v>642</v>
      </c>
      <c r="N138" s="715" t="s">
        <v>642</v>
      </c>
      <c r="O138" s="715" t="s">
        <v>642</v>
      </c>
      <c r="P138" s="715" t="s">
        <v>642</v>
      </c>
      <c r="Q138" s="715" t="s">
        <v>642</v>
      </c>
      <c r="R138" s="715" t="s">
        <v>642</v>
      </c>
      <c r="S138" s="715" t="s">
        <v>642</v>
      </c>
      <c r="T138" s="715" t="s">
        <v>642</v>
      </c>
      <c r="U138" s="715" t="s">
        <v>642</v>
      </c>
    </row>
    <row r="139" spans="1:21" x14ac:dyDescent="0.3">
      <c r="A139" s="735" t="s">
        <v>1147</v>
      </c>
      <c r="B139" s="715" t="s">
        <v>642</v>
      </c>
      <c r="C139" s="715" t="s">
        <v>642</v>
      </c>
      <c r="D139" s="715" t="s">
        <v>642</v>
      </c>
      <c r="E139" s="715" t="s">
        <v>642</v>
      </c>
      <c r="F139" s="715" t="s">
        <v>642</v>
      </c>
      <c r="G139" s="715" t="s">
        <v>642</v>
      </c>
      <c r="H139" s="715" t="s">
        <v>642</v>
      </c>
      <c r="I139" s="715" t="s">
        <v>642</v>
      </c>
      <c r="J139" s="715" t="s">
        <v>642</v>
      </c>
      <c r="K139" s="715" t="s">
        <v>642</v>
      </c>
      <c r="L139" s="715" t="s">
        <v>642</v>
      </c>
      <c r="M139" s="715" t="s">
        <v>642</v>
      </c>
      <c r="N139" s="715" t="s">
        <v>642</v>
      </c>
      <c r="O139" s="715" t="s">
        <v>642</v>
      </c>
      <c r="P139" s="715" t="s">
        <v>642</v>
      </c>
      <c r="Q139" s="715" t="s">
        <v>642</v>
      </c>
      <c r="R139" s="715" t="s">
        <v>642</v>
      </c>
      <c r="S139" s="715" t="s">
        <v>642</v>
      </c>
      <c r="T139" s="715" t="s">
        <v>642</v>
      </c>
      <c r="U139" s="715" t="s">
        <v>642</v>
      </c>
    </row>
    <row r="140" spans="1:21" x14ac:dyDescent="0.3">
      <c r="A140" s="735" t="s">
        <v>1115</v>
      </c>
      <c r="B140" s="716">
        <v>6012856</v>
      </c>
      <c r="C140" s="716">
        <v>3237083</v>
      </c>
      <c r="D140" s="716">
        <v>5508026</v>
      </c>
      <c r="E140" s="716">
        <v>4298010</v>
      </c>
      <c r="F140" s="716">
        <v>4120463</v>
      </c>
      <c r="G140" s="716">
        <v>3380000</v>
      </c>
      <c r="H140" s="716">
        <v>4560000</v>
      </c>
      <c r="I140" s="716">
        <v>3020000</v>
      </c>
      <c r="J140" s="716">
        <v>3530000</v>
      </c>
      <c r="K140" s="716">
        <v>1640000</v>
      </c>
      <c r="L140" s="716">
        <v>4210000</v>
      </c>
      <c r="M140" s="716">
        <v>3830000</v>
      </c>
      <c r="N140" s="716">
        <v>3730000</v>
      </c>
      <c r="O140" s="716">
        <v>2610000</v>
      </c>
      <c r="P140" s="716">
        <v>4070000</v>
      </c>
      <c r="Q140" s="716">
        <v>2720000</v>
      </c>
      <c r="R140" s="716">
        <v>3370000</v>
      </c>
      <c r="S140" s="716">
        <v>2240000</v>
      </c>
      <c r="T140" s="716">
        <v>3922275.37</v>
      </c>
      <c r="U140" s="716">
        <v>2955001.62</v>
      </c>
    </row>
    <row r="141" spans="1:21" x14ac:dyDescent="0.3">
      <c r="A141" s="735" t="s">
        <v>963</v>
      </c>
      <c r="B141" s="715" t="s">
        <v>642</v>
      </c>
      <c r="C141" s="715" t="s">
        <v>642</v>
      </c>
      <c r="D141" s="715" t="s">
        <v>642</v>
      </c>
      <c r="E141" s="715" t="s">
        <v>642</v>
      </c>
      <c r="F141" s="715" t="s">
        <v>642</v>
      </c>
      <c r="G141" s="715" t="s">
        <v>642</v>
      </c>
      <c r="H141" s="715" t="s">
        <v>642</v>
      </c>
      <c r="I141" s="715" t="s">
        <v>642</v>
      </c>
      <c r="J141" s="715" t="s">
        <v>642</v>
      </c>
      <c r="K141" s="715" t="s">
        <v>642</v>
      </c>
      <c r="L141" s="715" t="s">
        <v>642</v>
      </c>
      <c r="M141" s="715" t="s">
        <v>642</v>
      </c>
      <c r="N141" s="715" t="s">
        <v>642</v>
      </c>
      <c r="O141" s="715" t="s">
        <v>642</v>
      </c>
      <c r="P141" s="715" t="s">
        <v>642</v>
      </c>
      <c r="Q141" s="715" t="s">
        <v>642</v>
      </c>
      <c r="R141" s="715" t="s">
        <v>642</v>
      </c>
      <c r="S141" s="715" t="s">
        <v>642</v>
      </c>
      <c r="T141" s="715" t="s">
        <v>642</v>
      </c>
      <c r="U141" s="715" t="s">
        <v>642</v>
      </c>
    </row>
    <row r="142" spans="1:21" x14ac:dyDescent="0.3">
      <c r="A142" s="735" t="s">
        <v>1116</v>
      </c>
      <c r="B142" s="716">
        <v>4453933</v>
      </c>
      <c r="C142" s="716">
        <v>2419115</v>
      </c>
      <c r="D142" s="716">
        <v>4392590</v>
      </c>
      <c r="E142" s="716">
        <v>3234992</v>
      </c>
      <c r="F142" s="716">
        <v>3355644</v>
      </c>
      <c r="G142" s="716">
        <v>2660000</v>
      </c>
      <c r="H142" s="716">
        <v>3820000</v>
      </c>
      <c r="I142" s="716">
        <v>2620000</v>
      </c>
      <c r="J142" s="716">
        <v>3240000</v>
      </c>
      <c r="K142" s="716">
        <v>1700000</v>
      </c>
      <c r="L142" s="716">
        <v>3940000</v>
      </c>
      <c r="M142" s="716">
        <v>3040000</v>
      </c>
      <c r="N142" s="716">
        <v>3300000</v>
      </c>
      <c r="O142" s="716">
        <v>2730000</v>
      </c>
      <c r="P142" s="716">
        <v>3510000</v>
      </c>
      <c r="Q142" s="716">
        <v>2230000</v>
      </c>
      <c r="R142" s="716">
        <v>2820000</v>
      </c>
      <c r="S142" s="716">
        <v>2040000</v>
      </c>
      <c r="T142" s="716">
        <v>3491560.65</v>
      </c>
      <c r="U142" s="716">
        <v>2393956.9</v>
      </c>
    </row>
    <row r="143" spans="1:21" x14ac:dyDescent="0.3">
      <c r="A143" s="735" t="s">
        <v>1117</v>
      </c>
      <c r="B143" s="715" t="s">
        <v>642</v>
      </c>
      <c r="C143" s="715" t="s">
        <v>642</v>
      </c>
      <c r="D143" s="715" t="s">
        <v>642</v>
      </c>
      <c r="E143" s="715" t="s">
        <v>642</v>
      </c>
      <c r="F143" s="715" t="s">
        <v>642</v>
      </c>
      <c r="G143" s="715" t="s">
        <v>642</v>
      </c>
      <c r="H143" s="715" t="s">
        <v>642</v>
      </c>
      <c r="I143" s="715" t="s">
        <v>642</v>
      </c>
      <c r="J143" s="715" t="s">
        <v>642</v>
      </c>
      <c r="K143" s="715" t="s">
        <v>642</v>
      </c>
      <c r="L143" s="715" t="s">
        <v>642</v>
      </c>
      <c r="M143" s="715" t="s">
        <v>642</v>
      </c>
      <c r="N143" s="715" t="s">
        <v>642</v>
      </c>
      <c r="O143" s="715" t="s">
        <v>642</v>
      </c>
      <c r="P143" s="715" t="s">
        <v>642</v>
      </c>
      <c r="Q143" s="715" t="s">
        <v>642</v>
      </c>
      <c r="R143" s="715" t="s">
        <v>642</v>
      </c>
      <c r="S143" s="715" t="s">
        <v>642</v>
      </c>
      <c r="T143" s="715" t="s">
        <v>642</v>
      </c>
      <c r="U143" s="715" t="s">
        <v>642</v>
      </c>
    </row>
    <row r="144" spans="1:21" x14ac:dyDescent="0.3">
      <c r="A144" s="735" t="s">
        <v>1120</v>
      </c>
      <c r="B144" s="716">
        <v>1558923</v>
      </c>
      <c r="C144" s="716">
        <v>817968</v>
      </c>
      <c r="D144" s="716">
        <v>1115436</v>
      </c>
      <c r="E144" s="716">
        <v>1063018</v>
      </c>
      <c r="F144" s="716">
        <v>764819</v>
      </c>
      <c r="G144" s="716">
        <v>700000</v>
      </c>
      <c r="H144" s="716">
        <v>800000</v>
      </c>
      <c r="I144" s="716">
        <v>360000</v>
      </c>
      <c r="J144" s="716">
        <v>250000</v>
      </c>
      <c r="K144" s="716">
        <v>-60000</v>
      </c>
      <c r="L144" s="716">
        <v>190000</v>
      </c>
      <c r="M144" s="716">
        <v>740000</v>
      </c>
      <c r="N144" s="716">
        <v>380000</v>
      </c>
      <c r="O144" s="716">
        <v>-60000</v>
      </c>
      <c r="P144" s="716">
        <v>530000</v>
      </c>
      <c r="Q144" s="716">
        <v>490000</v>
      </c>
      <c r="R144" s="716">
        <v>530000</v>
      </c>
      <c r="S144" s="716">
        <v>150000</v>
      </c>
      <c r="T144" s="716">
        <v>433409.43</v>
      </c>
      <c r="U144" s="716">
        <v>497174.91</v>
      </c>
    </row>
    <row r="145" spans="1:21" x14ac:dyDescent="0.3">
      <c r="A145" s="735" t="s">
        <v>1117</v>
      </c>
      <c r="B145" s="715" t="s">
        <v>642</v>
      </c>
      <c r="C145" s="715" t="s">
        <v>642</v>
      </c>
      <c r="D145" s="715" t="s">
        <v>642</v>
      </c>
      <c r="E145" s="715" t="s">
        <v>642</v>
      </c>
      <c r="F145" s="715" t="s">
        <v>642</v>
      </c>
      <c r="G145" s="715" t="s">
        <v>642</v>
      </c>
      <c r="H145" s="715" t="s">
        <v>642</v>
      </c>
      <c r="I145" s="715" t="s">
        <v>642</v>
      </c>
      <c r="J145" s="715" t="s">
        <v>642</v>
      </c>
      <c r="K145" s="715" t="s">
        <v>642</v>
      </c>
      <c r="L145" s="715" t="s">
        <v>642</v>
      </c>
      <c r="M145" s="715" t="s">
        <v>642</v>
      </c>
      <c r="N145" s="715" t="s">
        <v>642</v>
      </c>
      <c r="O145" s="715" t="s">
        <v>642</v>
      </c>
      <c r="P145" s="715" t="s">
        <v>642</v>
      </c>
      <c r="Q145" s="715" t="s">
        <v>642</v>
      </c>
      <c r="R145" s="715" t="s">
        <v>642</v>
      </c>
      <c r="S145" s="715" t="s">
        <v>642</v>
      </c>
      <c r="T145" s="715" t="s">
        <v>642</v>
      </c>
      <c r="U145" s="715" t="s">
        <v>642</v>
      </c>
    </row>
    <row r="146" spans="1:21" x14ac:dyDescent="0.3">
      <c r="A146" s="735" t="s">
        <v>1122</v>
      </c>
      <c r="B146" s="716">
        <v>6035391</v>
      </c>
      <c r="C146" s="716">
        <v>5629129</v>
      </c>
      <c r="D146" s="716">
        <v>3748853</v>
      </c>
      <c r="E146" s="716">
        <v>8229698</v>
      </c>
      <c r="F146" s="716">
        <v>11584481</v>
      </c>
      <c r="G146" s="716">
        <v>8830000</v>
      </c>
      <c r="H146" s="716">
        <v>8450000</v>
      </c>
      <c r="I146" s="716">
        <v>9980000</v>
      </c>
      <c r="J146" s="716">
        <v>5120000</v>
      </c>
      <c r="K146" s="716">
        <v>270000</v>
      </c>
      <c r="L146" s="716">
        <v>-4580000</v>
      </c>
      <c r="M146" s="716">
        <v>-4360000</v>
      </c>
      <c r="N146" s="716">
        <v>-3750000</v>
      </c>
      <c r="O146" s="716">
        <v>-2190000</v>
      </c>
      <c r="P146" s="716">
        <v>1910000</v>
      </c>
      <c r="Q146" s="716">
        <v>6450000</v>
      </c>
      <c r="R146" s="716">
        <v>3860000</v>
      </c>
      <c r="S146" s="716">
        <v>2880000</v>
      </c>
      <c r="T146" s="716">
        <v>1185117.25</v>
      </c>
      <c r="U146" s="716">
        <v>2713136.35</v>
      </c>
    </row>
    <row r="147" spans="1:21" x14ac:dyDescent="0.3">
      <c r="A147" s="735" t="s">
        <v>963</v>
      </c>
      <c r="B147" s="715" t="s">
        <v>642</v>
      </c>
      <c r="C147" s="715" t="s">
        <v>642</v>
      </c>
      <c r="D147" s="715" t="s">
        <v>642</v>
      </c>
      <c r="E147" s="715" t="s">
        <v>642</v>
      </c>
      <c r="F147" s="715" t="s">
        <v>642</v>
      </c>
      <c r="G147" s="715" t="s">
        <v>642</v>
      </c>
      <c r="H147" s="715" t="s">
        <v>642</v>
      </c>
      <c r="I147" s="715" t="s">
        <v>642</v>
      </c>
      <c r="J147" s="715" t="s">
        <v>642</v>
      </c>
      <c r="K147" s="715" t="s">
        <v>642</v>
      </c>
      <c r="L147" s="715" t="s">
        <v>642</v>
      </c>
      <c r="M147" s="715" t="s">
        <v>642</v>
      </c>
      <c r="N147" s="715" t="s">
        <v>642</v>
      </c>
      <c r="O147" s="715" t="s">
        <v>642</v>
      </c>
      <c r="P147" s="715" t="s">
        <v>642</v>
      </c>
      <c r="Q147" s="715" t="s">
        <v>642</v>
      </c>
      <c r="R147" s="715" t="s">
        <v>642</v>
      </c>
      <c r="S147" s="715" t="s">
        <v>642</v>
      </c>
      <c r="T147" s="715" t="s">
        <v>642</v>
      </c>
      <c r="U147" s="715" t="s">
        <v>642</v>
      </c>
    </row>
    <row r="148" spans="1:21" x14ac:dyDescent="0.3">
      <c r="A148" s="735" t="s">
        <v>1095</v>
      </c>
      <c r="B148" s="715" t="s">
        <v>642</v>
      </c>
      <c r="C148" s="715" t="s">
        <v>642</v>
      </c>
      <c r="D148" s="715" t="s">
        <v>642</v>
      </c>
      <c r="E148" s="715" t="s">
        <v>642</v>
      </c>
      <c r="F148" s="715" t="s">
        <v>642</v>
      </c>
      <c r="G148" s="715" t="s">
        <v>642</v>
      </c>
      <c r="H148" s="715" t="s">
        <v>642</v>
      </c>
      <c r="I148" s="715" t="s">
        <v>642</v>
      </c>
      <c r="J148" s="715" t="s">
        <v>642</v>
      </c>
      <c r="K148" s="716">
        <v>465000</v>
      </c>
      <c r="L148" s="715" t="s">
        <v>642</v>
      </c>
      <c r="M148" s="716">
        <v>-3769817.35</v>
      </c>
      <c r="N148" s="716">
        <v>-3381077.83</v>
      </c>
      <c r="O148" s="716">
        <v>-1386707.1</v>
      </c>
      <c r="P148" s="716">
        <v>1980935.24</v>
      </c>
      <c r="Q148" s="716">
        <v>5205087.42</v>
      </c>
      <c r="R148" s="716">
        <v>6151825.2400000002</v>
      </c>
      <c r="S148" s="716">
        <v>5557033.7199999997</v>
      </c>
      <c r="T148" s="716">
        <v>3538637.43</v>
      </c>
      <c r="U148" s="716">
        <v>4267098.47</v>
      </c>
    </row>
    <row r="149" spans="1:21" x14ac:dyDescent="0.3">
      <c r="A149" s="735" t="s">
        <v>1117</v>
      </c>
      <c r="B149" s="715" t="s">
        <v>642</v>
      </c>
      <c r="C149" s="715" t="s">
        <v>642</v>
      </c>
      <c r="D149" s="715" t="s">
        <v>642</v>
      </c>
      <c r="E149" s="715" t="s">
        <v>642</v>
      </c>
      <c r="F149" s="715" t="s">
        <v>642</v>
      </c>
      <c r="G149" s="715" t="s">
        <v>642</v>
      </c>
      <c r="H149" s="715" t="s">
        <v>642</v>
      </c>
      <c r="I149" s="715" t="s">
        <v>642</v>
      </c>
      <c r="J149" s="715" t="s">
        <v>642</v>
      </c>
      <c r="K149" s="715" t="s">
        <v>642</v>
      </c>
      <c r="L149" s="715" t="s">
        <v>642</v>
      </c>
      <c r="M149" s="715" t="s">
        <v>642</v>
      </c>
      <c r="N149" s="715" t="s">
        <v>642</v>
      </c>
      <c r="O149" s="715" t="s">
        <v>642</v>
      </c>
      <c r="P149" s="715" t="s">
        <v>642</v>
      </c>
      <c r="Q149" s="715" t="s">
        <v>642</v>
      </c>
      <c r="R149" s="715" t="s">
        <v>642</v>
      </c>
      <c r="S149" s="715" t="s">
        <v>642</v>
      </c>
      <c r="T149" s="715" t="s">
        <v>642</v>
      </c>
      <c r="U149" s="715" t="s">
        <v>642</v>
      </c>
    </row>
    <row r="150" spans="1:21" x14ac:dyDescent="0.3">
      <c r="A150" s="735" t="s">
        <v>1123</v>
      </c>
      <c r="B150" s="715" t="s">
        <v>642</v>
      </c>
      <c r="C150" s="715" t="s">
        <v>642</v>
      </c>
      <c r="D150" s="715" t="s">
        <v>642</v>
      </c>
      <c r="E150" s="715" t="s">
        <v>642</v>
      </c>
      <c r="F150" s="716">
        <v>770000</v>
      </c>
      <c r="G150" s="716">
        <v>1120000</v>
      </c>
      <c r="H150" s="716">
        <v>812000</v>
      </c>
      <c r="I150" s="716">
        <v>930000</v>
      </c>
      <c r="J150" s="716">
        <v>828461</v>
      </c>
      <c r="K150" s="716">
        <v>960034.96</v>
      </c>
      <c r="L150" s="716">
        <v>-464033.33</v>
      </c>
      <c r="M150" s="716">
        <v>-153145.94</v>
      </c>
      <c r="N150" s="716">
        <v>-326696.7</v>
      </c>
      <c r="O150" s="716">
        <v>-531923.39</v>
      </c>
      <c r="P150" s="716">
        <v>-768127.07</v>
      </c>
      <c r="Q150" s="716">
        <v>-549971.71</v>
      </c>
      <c r="R150" s="716">
        <v>-768627.43</v>
      </c>
      <c r="S150" s="716">
        <v>-1486932.92</v>
      </c>
      <c r="T150" s="716">
        <v>-2181943.36</v>
      </c>
      <c r="U150" s="716">
        <v>-1576055.1</v>
      </c>
    </row>
    <row r="151" spans="1:21" x14ac:dyDescent="0.3">
      <c r="A151" s="735" t="s">
        <v>1117</v>
      </c>
      <c r="B151" s="715" t="s">
        <v>642</v>
      </c>
      <c r="C151" s="715" t="s">
        <v>642</v>
      </c>
      <c r="D151" s="715" t="s">
        <v>642</v>
      </c>
      <c r="E151" s="715" t="s">
        <v>642</v>
      </c>
      <c r="F151" s="715" t="s">
        <v>642</v>
      </c>
      <c r="G151" s="715" t="s">
        <v>642</v>
      </c>
      <c r="H151" s="715" t="s">
        <v>642</v>
      </c>
      <c r="I151" s="715" t="s">
        <v>642</v>
      </c>
      <c r="J151" s="715" t="s">
        <v>642</v>
      </c>
      <c r="K151" s="715" t="s">
        <v>642</v>
      </c>
      <c r="L151" s="715" t="s">
        <v>642</v>
      </c>
      <c r="M151" s="715" t="s">
        <v>642</v>
      </c>
      <c r="N151" s="715" t="s">
        <v>642</v>
      </c>
      <c r="O151" s="715" t="s">
        <v>642</v>
      </c>
      <c r="P151" s="715" t="s">
        <v>642</v>
      </c>
      <c r="Q151" s="715" t="s">
        <v>642</v>
      </c>
      <c r="R151" s="715" t="s">
        <v>642</v>
      </c>
      <c r="S151" s="715" t="s">
        <v>642</v>
      </c>
      <c r="T151" s="715" t="s">
        <v>642</v>
      </c>
      <c r="U151" s="715" t="s">
        <v>642</v>
      </c>
    </row>
    <row r="152" spans="1:21" x14ac:dyDescent="0.3">
      <c r="A152" s="735" t="s">
        <v>1124</v>
      </c>
      <c r="B152" s="716">
        <v>472381</v>
      </c>
      <c r="C152" s="716">
        <v>1753036</v>
      </c>
      <c r="D152" s="716">
        <f>+'SAMSUNG SEG'!D46</f>
        <v>13927987.109999999</v>
      </c>
      <c r="E152" s="716">
        <v>1281864</v>
      </c>
      <c r="F152" s="716">
        <v>1491780</v>
      </c>
      <c r="G152" s="716">
        <v>1320000</v>
      </c>
      <c r="H152" s="716">
        <v>1090000</v>
      </c>
      <c r="I152" s="716">
        <v>1060000</v>
      </c>
      <c r="J152" s="716">
        <v>1980000</v>
      </c>
      <c r="K152" s="716">
        <v>1820000</v>
      </c>
      <c r="L152" s="716">
        <v>780000</v>
      </c>
      <c r="M152" s="716">
        <v>840000</v>
      </c>
      <c r="N152" s="716">
        <v>1940000</v>
      </c>
      <c r="O152" s="716">
        <v>2010000</v>
      </c>
      <c r="P152" s="716">
        <v>340000</v>
      </c>
      <c r="Q152" s="716">
        <v>1010000</v>
      </c>
      <c r="R152" s="716">
        <v>1510000</v>
      </c>
      <c r="S152" s="716">
        <v>840000</v>
      </c>
      <c r="T152" s="716">
        <v>408005.72</v>
      </c>
      <c r="U152" s="716">
        <v>780748.86</v>
      </c>
    </row>
    <row r="153" spans="1:21" x14ac:dyDescent="0.3">
      <c r="A153" s="735" t="s">
        <v>963</v>
      </c>
      <c r="B153" s="715" t="s">
        <v>642</v>
      </c>
      <c r="C153" s="715" t="s">
        <v>642</v>
      </c>
      <c r="D153" s="715" t="s">
        <v>642</v>
      </c>
      <c r="E153" s="715" t="s">
        <v>642</v>
      </c>
      <c r="F153" s="715" t="s">
        <v>642</v>
      </c>
      <c r="G153" s="715" t="s">
        <v>642</v>
      </c>
      <c r="H153" s="715" t="s">
        <v>642</v>
      </c>
      <c r="I153" s="715" t="s">
        <v>642</v>
      </c>
      <c r="J153" s="715" t="s">
        <v>642</v>
      </c>
      <c r="K153" s="715" t="s">
        <v>642</v>
      </c>
      <c r="L153" s="715" t="s">
        <v>642</v>
      </c>
      <c r="M153" s="715" t="s">
        <v>642</v>
      </c>
      <c r="N153" s="715" t="s">
        <v>642</v>
      </c>
      <c r="O153" s="715" t="s">
        <v>642</v>
      </c>
      <c r="P153" s="715" t="s">
        <v>642</v>
      </c>
      <c r="Q153" s="715" t="s">
        <v>642</v>
      </c>
      <c r="R153" s="715" t="s">
        <v>642</v>
      </c>
      <c r="S153" s="715" t="s">
        <v>642</v>
      </c>
      <c r="T153" s="715" t="s">
        <v>642</v>
      </c>
      <c r="U153" s="715" t="s">
        <v>642</v>
      </c>
    </row>
    <row r="154" spans="1:21" x14ac:dyDescent="0.3">
      <c r="A154" s="735" t="s">
        <v>1125</v>
      </c>
      <c r="B154" s="716">
        <v>151915</v>
      </c>
      <c r="C154" s="716">
        <v>184601</v>
      </c>
      <c r="D154" s="716">
        <v>113125</v>
      </c>
      <c r="E154" s="716">
        <v>106733</v>
      </c>
      <c r="F154" s="716">
        <v>154438</v>
      </c>
      <c r="G154" s="716">
        <v>220000</v>
      </c>
      <c r="H154" s="716">
        <v>100000</v>
      </c>
      <c r="I154" s="716">
        <v>100000</v>
      </c>
      <c r="J154" s="716">
        <v>310000</v>
      </c>
      <c r="K154" s="716">
        <v>370000</v>
      </c>
      <c r="L154" s="716">
        <v>130000</v>
      </c>
      <c r="M154" s="716">
        <v>250000</v>
      </c>
      <c r="N154" s="716">
        <v>450000</v>
      </c>
      <c r="O154" s="716">
        <v>340000</v>
      </c>
      <c r="P154" s="716">
        <v>240000</v>
      </c>
      <c r="Q154" s="716">
        <v>320000</v>
      </c>
      <c r="R154" s="716">
        <v>360000</v>
      </c>
      <c r="S154" s="716">
        <v>380000</v>
      </c>
      <c r="T154" s="716">
        <v>265832.71999999997</v>
      </c>
      <c r="U154" s="716">
        <v>338335.74</v>
      </c>
    </row>
    <row r="155" spans="1:21" x14ac:dyDescent="0.3">
      <c r="A155" s="735" t="s">
        <v>963</v>
      </c>
      <c r="B155" s="715" t="s">
        <v>642</v>
      </c>
      <c r="C155" s="715" t="s">
        <v>642</v>
      </c>
      <c r="D155" s="715" t="s">
        <v>642</v>
      </c>
      <c r="E155" s="715" t="s">
        <v>642</v>
      </c>
      <c r="F155" s="715" t="s">
        <v>642</v>
      </c>
      <c r="G155" s="715" t="s">
        <v>642</v>
      </c>
      <c r="H155" s="715" t="s">
        <v>642</v>
      </c>
      <c r="I155" s="715" t="s">
        <v>642</v>
      </c>
      <c r="J155" s="715" t="s">
        <v>642</v>
      </c>
      <c r="K155" s="715" t="s">
        <v>642</v>
      </c>
      <c r="L155" s="715" t="s">
        <v>642</v>
      </c>
      <c r="M155" s="715" t="s">
        <v>642</v>
      </c>
      <c r="N155" s="715" t="s">
        <v>642</v>
      </c>
      <c r="O155" s="715" t="s">
        <v>642</v>
      </c>
      <c r="P155" s="715" t="s">
        <v>642</v>
      </c>
      <c r="Q155" s="715" t="s">
        <v>642</v>
      </c>
      <c r="R155" s="715" t="s">
        <v>642</v>
      </c>
      <c r="S155" s="715" t="s">
        <v>642</v>
      </c>
      <c r="T155" s="715" t="s">
        <v>642</v>
      </c>
      <c r="U155" s="715" t="s">
        <v>642</v>
      </c>
    </row>
    <row r="156" spans="1:21" x14ac:dyDescent="0.3">
      <c r="A156" s="735" t="s">
        <v>971</v>
      </c>
      <c r="B156" s="715" t="s">
        <v>642</v>
      </c>
      <c r="C156" s="715" t="s">
        <v>642</v>
      </c>
      <c r="D156" s="715" t="s">
        <v>642</v>
      </c>
      <c r="E156" s="715" t="s">
        <v>642</v>
      </c>
      <c r="F156" s="715" t="s">
        <v>642</v>
      </c>
      <c r="G156" s="715" t="s">
        <v>642</v>
      </c>
      <c r="H156" s="715" t="s">
        <v>642</v>
      </c>
      <c r="I156" s="715" t="s">
        <v>642</v>
      </c>
      <c r="J156" s="715" t="s">
        <v>642</v>
      </c>
      <c r="K156" s="715" t="s">
        <v>642</v>
      </c>
      <c r="L156" s="715" t="s">
        <v>642</v>
      </c>
      <c r="M156" s="715" t="s">
        <v>642</v>
      </c>
      <c r="N156" s="715" t="s">
        <v>642</v>
      </c>
      <c r="O156" s="715" t="s">
        <v>642</v>
      </c>
      <c r="P156" s="715" t="s">
        <v>642</v>
      </c>
      <c r="Q156" s="715" t="s">
        <v>642</v>
      </c>
      <c r="R156" s="715" t="s">
        <v>642</v>
      </c>
      <c r="S156" s="715" t="s">
        <v>642</v>
      </c>
      <c r="T156" s="715" t="s">
        <v>642</v>
      </c>
      <c r="U156" s="715" t="s">
        <v>642</v>
      </c>
    </row>
    <row r="157" spans="1:21" x14ac:dyDescent="0.3">
      <c r="A157" s="735" t="s">
        <v>1130</v>
      </c>
      <c r="B157" s="716">
        <v>5536917</v>
      </c>
      <c r="C157" s="716">
        <v>3848290</v>
      </c>
      <c r="D157" s="716">
        <v>3366027</v>
      </c>
      <c r="E157" s="716">
        <v>6927787</v>
      </c>
      <c r="F157" s="716">
        <v>10061315</v>
      </c>
      <c r="G157" s="716">
        <v>8844163</v>
      </c>
      <c r="H157" s="715" t="s">
        <v>642</v>
      </c>
      <c r="I157" s="715" t="s">
        <v>642</v>
      </c>
      <c r="J157" s="715" t="s">
        <v>642</v>
      </c>
      <c r="K157" s="715" t="s">
        <v>642</v>
      </c>
      <c r="L157" s="715" t="s">
        <v>642</v>
      </c>
      <c r="M157" s="715" t="s">
        <v>642</v>
      </c>
      <c r="N157" s="715" t="s">
        <v>642</v>
      </c>
      <c r="O157" s="715" t="s">
        <v>642</v>
      </c>
      <c r="P157" s="715" t="s">
        <v>642</v>
      </c>
      <c r="Q157" s="715" t="s">
        <v>642</v>
      </c>
      <c r="R157" s="715" t="s">
        <v>642</v>
      </c>
      <c r="S157" s="715" t="s">
        <v>642</v>
      </c>
      <c r="T157" s="715" t="s">
        <v>642</v>
      </c>
      <c r="U157" s="715" t="s">
        <v>642</v>
      </c>
    </row>
    <row r="158" spans="1:21" x14ac:dyDescent="0.3">
      <c r="A158" s="735" t="s">
        <v>226</v>
      </c>
      <c r="B158" s="715" t="s">
        <v>642</v>
      </c>
      <c r="C158" s="715" t="s">
        <v>642</v>
      </c>
      <c r="D158" s="715" t="s">
        <v>642</v>
      </c>
      <c r="E158" s="715" t="s">
        <v>642</v>
      </c>
      <c r="F158" s="715" t="s">
        <v>642</v>
      </c>
      <c r="G158" s="715" t="s">
        <v>642</v>
      </c>
      <c r="H158" s="715" t="s">
        <v>642</v>
      </c>
      <c r="I158" s="715" t="s">
        <v>642</v>
      </c>
      <c r="J158" s="715" t="s">
        <v>642</v>
      </c>
      <c r="K158" s="715" t="s">
        <v>642</v>
      </c>
      <c r="L158" s="715" t="s">
        <v>642</v>
      </c>
      <c r="M158" s="715" t="s">
        <v>642</v>
      </c>
      <c r="N158" s="715" t="s">
        <v>642</v>
      </c>
      <c r="O158" s="715" t="s">
        <v>642</v>
      </c>
      <c r="P158" s="715" t="s">
        <v>642</v>
      </c>
      <c r="Q158" s="715" t="s">
        <v>642</v>
      </c>
      <c r="R158" s="715" t="s">
        <v>642</v>
      </c>
      <c r="S158" s="715" t="s">
        <v>642</v>
      </c>
      <c r="T158" s="715" t="s">
        <v>642</v>
      </c>
      <c r="U158" s="715" t="s">
        <v>642</v>
      </c>
    </row>
    <row r="159" spans="1:21" ht="25.5" x14ac:dyDescent="0.3">
      <c r="A159" s="735" t="s">
        <v>1148</v>
      </c>
      <c r="B159" s="715" t="s">
        <v>642</v>
      </c>
      <c r="C159" s="715" t="s">
        <v>642</v>
      </c>
      <c r="D159" s="715" t="s">
        <v>642</v>
      </c>
      <c r="E159" s="715" t="s">
        <v>642</v>
      </c>
      <c r="F159" s="715" t="s">
        <v>642</v>
      </c>
      <c r="G159" s="715" t="s">
        <v>642</v>
      </c>
      <c r="H159" s="715" t="s">
        <v>642</v>
      </c>
      <c r="I159" s="715" t="s">
        <v>642</v>
      </c>
      <c r="J159" s="715" t="s">
        <v>642</v>
      </c>
      <c r="K159" s="715" t="s">
        <v>642</v>
      </c>
      <c r="L159" s="715" t="s">
        <v>642</v>
      </c>
      <c r="M159" s="715" t="s">
        <v>642</v>
      </c>
      <c r="N159" s="715" t="s">
        <v>642</v>
      </c>
      <c r="O159" s="715" t="s">
        <v>642</v>
      </c>
      <c r="P159" s="715" t="s">
        <v>642</v>
      </c>
      <c r="Q159" s="715" t="s">
        <v>642</v>
      </c>
      <c r="R159" s="715" t="s">
        <v>642</v>
      </c>
      <c r="S159" s="715" t="s">
        <v>642</v>
      </c>
      <c r="T159" s="715" t="s">
        <v>642</v>
      </c>
      <c r="U159" s="715" t="s">
        <v>642</v>
      </c>
    </row>
    <row r="160" spans="1:21" x14ac:dyDescent="0.3">
      <c r="A160" s="735" t="s">
        <v>1115</v>
      </c>
      <c r="B160" s="715" t="s">
        <v>642</v>
      </c>
      <c r="C160" s="715" t="s">
        <v>642</v>
      </c>
      <c r="D160" s="715" t="s">
        <v>642</v>
      </c>
      <c r="E160" s="715" t="s">
        <v>642</v>
      </c>
      <c r="F160" s="715" t="s">
        <v>642</v>
      </c>
      <c r="G160" s="715" t="s">
        <v>642</v>
      </c>
      <c r="H160" s="715" t="s">
        <v>642</v>
      </c>
      <c r="I160" s="715" t="s">
        <v>642</v>
      </c>
      <c r="J160" s="715" t="s">
        <v>642</v>
      </c>
      <c r="K160" s="715" t="s">
        <v>642</v>
      </c>
      <c r="L160" s="716">
        <v>17742000</v>
      </c>
      <c r="M160" s="716">
        <v>14742600</v>
      </c>
      <c r="N160" s="716">
        <v>17238700</v>
      </c>
      <c r="O160" s="716">
        <v>15226000</v>
      </c>
      <c r="P160" s="716">
        <v>18673100</v>
      </c>
      <c r="Q160" s="716">
        <v>16554700</v>
      </c>
      <c r="R160" s="716">
        <v>17346500</v>
      </c>
      <c r="S160" s="715" t="s">
        <v>642</v>
      </c>
      <c r="T160" s="715" t="s">
        <v>642</v>
      </c>
      <c r="U160" s="715" t="s">
        <v>642</v>
      </c>
    </row>
    <row r="161" spans="1:21" x14ac:dyDescent="0.3">
      <c r="A161" s="735" t="s">
        <v>963</v>
      </c>
      <c r="B161" s="715" t="s">
        <v>642</v>
      </c>
      <c r="C161" s="715" t="s">
        <v>642</v>
      </c>
      <c r="D161" s="715" t="s">
        <v>642</v>
      </c>
      <c r="E161" s="715" t="s">
        <v>642</v>
      </c>
      <c r="F161" s="715" t="s">
        <v>642</v>
      </c>
      <c r="G161" s="715" t="s">
        <v>642</v>
      </c>
      <c r="H161" s="715" t="s">
        <v>642</v>
      </c>
      <c r="I161" s="715" t="s">
        <v>642</v>
      </c>
      <c r="J161" s="715" t="s">
        <v>642</v>
      </c>
      <c r="K161" s="715" t="s">
        <v>642</v>
      </c>
      <c r="L161" s="715" t="s">
        <v>642</v>
      </c>
      <c r="M161" s="715" t="s">
        <v>642</v>
      </c>
      <c r="N161" s="715" t="s">
        <v>642</v>
      </c>
      <c r="O161" s="715" t="s">
        <v>642</v>
      </c>
      <c r="P161" s="715" t="s">
        <v>642</v>
      </c>
      <c r="Q161" s="715" t="s">
        <v>642</v>
      </c>
      <c r="R161" s="715" t="s">
        <v>642</v>
      </c>
      <c r="S161" s="715" t="s">
        <v>642</v>
      </c>
      <c r="T161" s="715" t="s">
        <v>642</v>
      </c>
      <c r="U161" s="715" t="s">
        <v>642</v>
      </c>
    </row>
    <row r="162" spans="1:21" x14ac:dyDescent="0.3">
      <c r="A162" s="735" t="s">
        <v>1149</v>
      </c>
      <c r="B162" s="715" t="s">
        <v>642</v>
      </c>
      <c r="C162" s="715" t="s">
        <v>642</v>
      </c>
      <c r="D162" s="715" t="s">
        <v>642</v>
      </c>
      <c r="E162" s="715" t="s">
        <v>642</v>
      </c>
      <c r="F162" s="715" t="s">
        <v>642</v>
      </c>
      <c r="G162" s="715" t="s">
        <v>642</v>
      </c>
      <c r="H162" s="715" t="s">
        <v>642</v>
      </c>
      <c r="I162" s="715" t="s">
        <v>642</v>
      </c>
      <c r="J162" s="715" t="s">
        <v>642</v>
      </c>
      <c r="K162" s="715" t="s">
        <v>642</v>
      </c>
      <c r="L162" s="716">
        <v>2640200</v>
      </c>
      <c r="M162" s="716">
        <v>3105500</v>
      </c>
      <c r="N162" s="716">
        <v>3244100</v>
      </c>
      <c r="O162" s="716">
        <v>2742200</v>
      </c>
      <c r="P162" s="716">
        <v>3491500</v>
      </c>
      <c r="Q162" s="716">
        <v>2536000</v>
      </c>
      <c r="R162" s="716">
        <v>2677600</v>
      </c>
      <c r="S162" s="715" t="s">
        <v>642</v>
      </c>
      <c r="T162" s="715" t="s">
        <v>642</v>
      </c>
      <c r="U162" s="715" t="s">
        <v>642</v>
      </c>
    </row>
    <row r="163" spans="1:21" x14ac:dyDescent="0.3">
      <c r="A163" s="735" t="s">
        <v>1117</v>
      </c>
      <c r="B163" s="715" t="s">
        <v>642</v>
      </c>
      <c r="C163" s="715" t="s">
        <v>642</v>
      </c>
      <c r="D163" s="715" t="s">
        <v>642</v>
      </c>
      <c r="E163" s="715" t="s">
        <v>642</v>
      </c>
      <c r="F163" s="715" t="s">
        <v>642</v>
      </c>
      <c r="G163" s="715" t="s">
        <v>642</v>
      </c>
      <c r="H163" s="715" t="s">
        <v>642</v>
      </c>
      <c r="I163" s="715" t="s">
        <v>642</v>
      </c>
      <c r="J163" s="715" t="s">
        <v>642</v>
      </c>
      <c r="K163" s="715" t="s">
        <v>642</v>
      </c>
      <c r="L163" s="715" t="s">
        <v>642</v>
      </c>
      <c r="M163" s="715" t="s">
        <v>642</v>
      </c>
      <c r="N163" s="715" t="s">
        <v>642</v>
      </c>
      <c r="O163" s="715" t="s">
        <v>642</v>
      </c>
      <c r="P163" s="715" t="s">
        <v>642</v>
      </c>
      <c r="Q163" s="715" t="s">
        <v>642</v>
      </c>
      <c r="R163" s="715" t="s">
        <v>642</v>
      </c>
      <c r="S163" s="715" t="s">
        <v>642</v>
      </c>
      <c r="T163" s="715" t="s">
        <v>642</v>
      </c>
      <c r="U163" s="715" t="s">
        <v>642</v>
      </c>
    </row>
    <row r="164" spans="1:21" x14ac:dyDescent="0.3">
      <c r="A164" s="735" t="s">
        <v>1150</v>
      </c>
      <c r="B164" s="715" t="s">
        <v>642</v>
      </c>
      <c r="C164" s="715" t="s">
        <v>642</v>
      </c>
      <c r="D164" s="715" t="s">
        <v>642</v>
      </c>
      <c r="E164" s="715" t="s">
        <v>642</v>
      </c>
      <c r="F164" s="715" t="s">
        <v>642</v>
      </c>
      <c r="G164" s="715" t="s">
        <v>642</v>
      </c>
      <c r="H164" s="715" t="s">
        <v>642</v>
      </c>
      <c r="I164" s="715" t="s">
        <v>642</v>
      </c>
      <c r="J164" s="715" t="s">
        <v>642</v>
      </c>
      <c r="K164" s="715" t="s">
        <v>642</v>
      </c>
      <c r="L164" s="716">
        <v>1122400</v>
      </c>
      <c r="M164" s="716">
        <v>829700</v>
      </c>
      <c r="N164" s="716">
        <v>2424300</v>
      </c>
      <c r="O164" s="716">
        <v>1486000</v>
      </c>
      <c r="P164" s="716">
        <v>1909100</v>
      </c>
      <c r="Q164" s="716">
        <v>1921900</v>
      </c>
      <c r="R164" s="716">
        <v>2070900</v>
      </c>
      <c r="S164" s="715" t="s">
        <v>642</v>
      </c>
      <c r="T164" s="715" t="s">
        <v>642</v>
      </c>
      <c r="U164" s="715" t="s">
        <v>642</v>
      </c>
    </row>
    <row r="165" spans="1:21" x14ac:dyDescent="0.3">
      <c r="A165" s="735" t="s">
        <v>1117</v>
      </c>
      <c r="B165" s="715" t="s">
        <v>642</v>
      </c>
      <c r="C165" s="715" t="s">
        <v>642</v>
      </c>
      <c r="D165" s="715" t="s">
        <v>642</v>
      </c>
      <c r="E165" s="715" t="s">
        <v>642</v>
      </c>
      <c r="F165" s="715" t="s">
        <v>642</v>
      </c>
      <c r="G165" s="715" t="s">
        <v>642</v>
      </c>
      <c r="H165" s="715" t="s">
        <v>642</v>
      </c>
      <c r="I165" s="715" t="s">
        <v>642</v>
      </c>
      <c r="J165" s="715" t="s">
        <v>642</v>
      </c>
      <c r="K165" s="715" t="s">
        <v>642</v>
      </c>
      <c r="L165" s="715" t="s">
        <v>642</v>
      </c>
      <c r="M165" s="715" t="s">
        <v>642</v>
      </c>
      <c r="N165" s="715" t="s">
        <v>642</v>
      </c>
      <c r="O165" s="715" t="s">
        <v>642</v>
      </c>
      <c r="P165" s="715" t="s">
        <v>642</v>
      </c>
      <c r="Q165" s="715" t="s">
        <v>642</v>
      </c>
      <c r="R165" s="715" t="s">
        <v>642</v>
      </c>
      <c r="S165" s="715" t="s">
        <v>642</v>
      </c>
      <c r="T165" s="715" t="s">
        <v>642</v>
      </c>
      <c r="U165" s="715" t="s">
        <v>642</v>
      </c>
    </row>
    <row r="166" spans="1:21" x14ac:dyDescent="0.3">
      <c r="A166" s="735" t="s">
        <v>1151</v>
      </c>
      <c r="B166" s="715" t="s">
        <v>642</v>
      </c>
      <c r="C166" s="715" t="s">
        <v>642</v>
      </c>
      <c r="D166" s="715" t="s">
        <v>642</v>
      </c>
      <c r="E166" s="715" t="s">
        <v>642</v>
      </c>
      <c r="F166" s="715" t="s">
        <v>642</v>
      </c>
      <c r="G166" s="715" t="s">
        <v>642</v>
      </c>
      <c r="H166" s="715" t="s">
        <v>642</v>
      </c>
      <c r="I166" s="715" t="s">
        <v>642</v>
      </c>
      <c r="J166" s="715" t="s">
        <v>642</v>
      </c>
      <c r="K166" s="715" t="s">
        <v>642</v>
      </c>
      <c r="L166" s="716">
        <v>1666200</v>
      </c>
      <c r="M166" s="716">
        <v>1079800</v>
      </c>
      <c r="N166" s="716">
        <v>1188200</v>
      </c>
      <c r="O166" s="716">
        <v>1278200</v>
      </c>
      <c r="P166" s="716">
        <v>1715000</v>
      </c>
      <c r="Q166" s="716">
        <v>1264700</v>
      </c>
      <c r="R166" s="716">
        <v>1294400</v>
      </c>
      <c r="S166" s="715" t="s">
        <v>642</v>
      </c>
      <c r="T166" s="715" t="s">
        <v>642</v>
      </c>
      <c r="U166" s="715" t="s">
        <v>642</v>
      </c>
    </row>
    <row r="167" spans="1:21" x14ac:dyDescent="0.3">
      <c r="A167" s="735" t="s">
        <v>1117</v>
      </c>
      <c r="B167" s="715" t="s">
        <v>642</v>
      </c>
      <c r="C167" s="715" t="s">
        <v>642</v>
      </c>
      <c r="D167" s="715" t="s">
        <v>642</v>
      </c>
      <c r="E167" s="715" t="s">
        <v>642</v>
      </c>
      <c r="F167" s="715" t="s">
        <v>642</v>
      </c>
      <c r="G167" s="715" t="s">
        <v>642</v>
      </c>
      <c r="H167" s="715" t="s">
        <v>642</v>
      </c>
      <c r="I167" s="715" t="s">
        <v>642</v>
      </c>
      <c r="J167" s="715" t="s">
        <v>642</v>
      </c>
      <c r="K167" s="715" t="s">
        <v>642</v>
      </c>
      <c r="L167" s="715" t="s">
        <v>642</v>
      </c>
      <c r="M167" s="715" t="s">
        <v>642</v>
      </c>
      <c r="N167" s="715" t="s">
        <v>642</v>
      </c>
      <c r="O167" s="715" t="s">
        <v>642</v>
      </c>
      <c r="P167" s="715" t="s">
        <v>642</v>
      </c>
      <c r="Q167" s="715" t="s">
        <v>642</v>
      </c>
      <c r="R167" s="715" t="s">
        <v>642</v>
      </c>
      <c r="S167" s="715" t="s">
        <v>642</v>
      </c>
      <c r="T167" s="715" t="s">
        <v>642</v>
      </c>
      <c r="U167" s="715" t="s">
        <v>642</v>
      </c>
    </row>
    <row r="168" spans="1:21" x14ac:dyDescent="0.3">
      <c r="A168" s="735" t="s">
        <v>1152</v>
      </c>
      <c r="B168" s="715" t="s">
        <v>642</v>
      </c>
      <c r="C168" s="715" t="s">
        <v>642</v>
      </c>
      <c r="D168" s="715" t="s">
        <v>642</v>
      </c>
      <c r="E168" s="715" t="s">
        <v>642</v>
      </c>
      <c r="F168" s="715" t="s">
        <v>642</v>
      </c>
      <c r="G168" s="715" t="s">
        <v>642</v>
      </c>
      <c r="H168" s="715" t="s">
        <v>642</v>
      </c>
      <c r="I168" s="715" t="s">
        <v>642</v>
      </c>
      <c r="J168" s="715" t="s">
        <v>642</v>
      </c>
      <c r="K168" s="715" t="s">
        <v>642</v>
      </c>
      <c r="L168" s="716">
        <v>12313200</v>
      </c>
      <c r="M168" s="716">
        <v>9727600</v>
      </c>
      <c r="N168" s="716">
        <v>10382100</v>
      </c>
      <c r="O168" s="716">
        <v>9719600</v>
      </c>
      <c r="P168" s="716">
        <v>11557500</v>
      </c>
      <c r="Q168" s="716">
        <v>10832100</v>
      </c>
      <c r="R168" s="716">
        <v>11303600</v>
      </c>
      <c r="S168" s="715" t="s">
        <v>642</v>
      </c>
      <c r="T168" s="715" t="s">
        <v>642</v>
      </c>
      <c r="U168" s="715" t="s">
        <v>642</v>
      </c>
    </row>
    <row r="169" spans="1:21" x14ac:dyDescent="0.3">
      <c r="A169" s="735" t="s">
        <v>1117</v>
      </c>
      <c r="B169" s="715" t="s">
        <v>642</v>
      </c>
      <c r="C169" s="715" t="s">
        <v>642</v>
      </c>
      <c r="D169" s="715" t="s">
        <v>642</v>
      </c>
      <c r="E169" s="715" t="s">
        <v>642</v>
      </c>
      <c r="F169" s="715" t="s">
        <v>642</v>
      </c>
      <c r="G169" s="715" t="s">
        <v>642</v>
      </c>
      <c r="H169" s="715" t="s">
        <v>642</v>
      </c>
      <c r="I169" s="715" t="s">
        <v>642</v>
      </c>
      <c r="J169" s="715" t="s">
        <v>642</v>
      </c>
      <c r="K169" s="715" t="s">
        <v>642</v>
      </c>
      <c r="L169" s="715" t="s">
        <v>642</v>
      </c>
      <c r="M169" s="715" t="s">
        <v>642</v>
      </c>
      <c r="N169" s="715" t="s">
        <v>642</v>
      </c>
      <c r="O169" s="715" t="s">
        <v>642</v>
      </c>
      <c r="P169" s="715" t="s">
        <v>642</v>
      </c>
      <c r="Q169" s="715" t="s">
        <v>642</v>
      </c>
      <c r="R169" s="715" t="s">
        <v>642</v>
      </c>
      <c r="S169" s="715" t="s">
        <v>642</v>
      </c>
      <c r="T169" s="715" t="s">
        <v>642</v>
      </c>
      <c r="U169" s="715" t="s">
        <v>642</v>
      </c>
    </row>
    <row r="170" spans="1:21" x14ac:dyDescent="0.3">
      <c r="A170" s="735" t="s">
        <v>1122</v>
      </c>
      <c r="B170" s="715" t="s">
        <v>642</v>
      </c>
      <c r="C170" s="715" t="s">
        <v>642</v>
      </c>
      <c r="D170" s="715" t="s">
        <v>642</v>
      </c>
      <c r="E170" s="715" t="s">
        <v>642</v>
      </c>
      <c r="F170" s="715" t="s">
        <v>642</v>
      </c>
      <c r="G170" s="715" t="s">
        <v>642</v>
      </c>
      <c r="H170" s="715" t="s">
        <v>642</v>
      </c>
      <c r="I170" s="715" t="s">
        <v>642</v>
      </c>
      <c r="J170" s="715" t="s">
        <v>642</v>
      </c>
      <c r="K170" s="715" t="s">
        <v>642</v>
      </c>
      <c r="L170" s="716">
        <v>4309500</v>
      </c>
      <c r="M170" s="716">
        <v>4054300</v>
      </c>
      <c r="N170" s="716">
        <v>3748100</v>
      </c>
      <c r="O170" s="716">
        <v>4225700</v>
      </c>
      <c r="P170" s="716">
        <v>4099900</v>
      </c>
      <c r="Q170" s="716">
        <v>4140000</v>
      </c>
      <c r="R170" s="716">
        <v>4091100</v>
      </c>
      <c r="S170" s="715" t="s">
        <v>642</v>
      </c>
      <c r="T170" s="715" t="s">
        <v>642</v>
      </c>
      <c r="U170" s="715" t="s">
        <v>642</v>
      </c>
    </row>
    <row r="171" spans="1:21" x14ac:dyDescent="0.3">
      <c r="A171" s="735" t="s">
        <v>963</v>
      </c>
      <c r="B171" s="715" t="s">
        <v>642</v>
      </c>
      <c r="C171" s="715" t="s">
        <v>642</v>
      </c>
      <c r="D171" s="715" t="s">
        <v>642</v>
      </c>
      <c r="E171" s="715" t="s">
        <v>642</v>
      </c>
      <c r="F171" s="715" t="s">
        <v>642</v>
      </c>
      <c r="G171" s="715" t="s">
        <v>642</v>
      </c>
      <c r="H171" s="715" t="s">
        <v>642</v>
      </c>
      <c r="I171" s="715" t="s">
        <v>642</v>
      </c>
      <c r="J171" s="715" t="s">
        <v>642</v>
      </c>
      <c r="K171" s="715" t="s">
        <v>642</v>
      </c>
      <c r="L171" s="715" t="s">
        <v>642</v>
      </c>
      <c r="M171" s="715" t="s">
        <v>642</v>
      </c>
      <c r="N171" s="715" t="s">
        <v>642</v>
      </c>
      <c r="O171" s="715" t="s">
        <v>642</v>
      </c>
      <c r="P171" s="715" t="s">
        <v>642</v>
      </c>
      <c r="Q171" s="715" t="s">
        <v>642</v>
      </c>
      <c r="R171" s="715" t="s">
        <v>642</v>
      </c>
      <c r="S171" s="715" t="s">
        <v>642</v>
      </c>
      <c r="T171" s="715" t="s">
        <v>642</v>
      </c>
      <c r="U171" s="715" t="s">
        <v>642</v>
      </c>
    </row>
    <row r="172" spans="1:21" x14ac:dyDescent="0.3">
      <c r="A172" s="735" t="s">
        <v>1153</v>
      </c>
      <c r="B172" s="715" t="s">
        <v>642</v>
      </c>
      <c r="C172" s="715" t="s">
        <v>642</v>
      </c>
      <c r="D172" s="715" t="s">
        <v>642</v>
      </c>
      <c r="E172" s="715" t="s">
        <v>642</v>
      </c>
      <c r="F172" s="715" t="s">
        <v>642</v>
      </c>
      <c r="G172" s="715" t="s">
        <v>642</v>
      </c>
      <c r="H172" s="715" t="s">
        <v>642</v>
      </c>
      <c r="I172" s="715" t="s">
        <v>642</v>
      </c>
      <c r="J172" s="715" t="s">
        <v>642</v>
      </c>
      <c r="K172" s="715" t="s">
        <v>642</v>
      </c>
      <c r="L172" s="716">
        <v>710600</v>
      </c>
      <c r="M172" s="716">
        <v>655000</v>
      </c>
      <c r="N172" s="716">
        <v>591800</v>
      </c>
      <c r="O172" s="716">
        <v>612600</v>
      </c>
      <c r="P172" s="716">
        <v>640400</v>
      </c>
      <c r="Q172" s="716">
        <v>658700</v>
      </c>
      <c r="R172" s="716">
        <v>718800</v>
      </c>
      <c r="S172" s="715" t="s">
        <v>642</v>
      </c>
      <c r="T172" s="715" t="s">
        <v>642</v>
      </c>
      <c r="U172" s="715" t="s">
        <v>642</v>
      </c>
    </row>
    <row r="173" spans="1:21" x14ac:dyDescent="0.3">
      <c r="A173" s="735" t="s">
        <v>1117</v>
      </c>
      <c r="B173" s="715" t="s">
        <v>642</v>
      </c>
      <c r="C173" s="715" t="s">
        <v>642</v>
      </c>
      <c r="D173" s="715" t="s">
        <v>642</v>
      </c>
      <c r="E173" s="715" t="s">
        <v>642</v>
      </c>
      <c r="F173" s="715" t="s">
        <v>642</v>
      </c>
      <c r="G173" s="715" t="s">
        <v>642</v>
      </c>
      <c r="H173" s="715" t="s">
        <v>642</v>
      </c>
      <c r="I173" s="715" t="s">
        <v>642</v>
      </c>
      <c r="J173" s="715" t="s">
        <v>642</v>
      </c>
      <c r="K173" s="715" t="s">
        <v>642</v>
      </c>
      <c r="L173" s="715" t="s">
        <v>642</v>
      </c>
      <c r="M173" s="715" t="s">
        <v>642</v>
      </c>
      <c r="N173" s="715" t="s">
        <v>642</v>
      </c>
      <c r="O173" s="715" t="s">
        <v>642</v>
      </c>
      <c r="P173" s="715" t="s">
        <v>642</v>
      </c>
      <c r="Q173" s="715" t="s">
        <v>642</v>
      </c>
      <c r="R173" s="715" t="s">
        <v>642</v>
      </c>
      <c r="S173" s="715" t="s">
        <v>642</v>
      </c>
      <c r="T173" s="715" t="s">
        <v>642</v>
      </c>
      <c r="U173" s="715" t="s">
        <v>642</v>
      </c>
    </row>
    <row r="174" spans="1:21" x14ac:dyDescent="0.3">
      <c r="A174" s="735" t="s">
        <v>1154</v>
      </c>
      <c r="B174" s="715" t="s">
        <v>642</v>
      </c>
      <c r="C174" s="715" t="s">
        <v>642</v>
      </c>
      <c r="D174" s="715" t="s">
        <v>642</v>
      </c>
      <c r="E174" s="715" t="s">
        <v>642</v>
      </c>
      <c r="F174" s="715" t="s">
        <v>642</v>
      </c>
      <c r="G174" s="715" t="s">
        <v>642</v>
      </c>
      <c r="H174" s="715" t="s">
        <v>642</v>
      </c>
      <c r="I174" s="715" t="s">
        <v>642</v>
      </c>
      <c r="J174" s="715" t="s">
        <v>642</v>
      </c>
      <c r="K174" s="715" t="s">
        <v>642</v>
      </c>
      <c r="L174" s="716">
        <v>670500</v>
      </c>
      <c r="M174" s="716">
        <v>561900</v>
      </c>
      <c r="N174" s="716">
        <v>433100</v>
      </c>
      <c r="O174" s="716">
        <v>573800</v>
      </c>
      <c r="P174" s="716">
        <v>558300</v>
      </c>
      <c r="Q174" s="716">
        <v>551800</v>
      </c>
      <c r="R174" s="716">
        <v>508500</v>
      </c>
      <c r="S174" s="715" t="s">
        <v>642</v>
      </c>
      <c r="T174" s="715" t="s">
        <v>642</v>
      </c>
      <c r="U174" s="715" t="s">
        <v>642</v>
      </c>
    </row>
    <row r="175" spans="1:21" x14ac:dyDescent="0.3">
      <c r="A175" s="735" t="s">
        <v>1117</v>
      </c>
      <c r="B175" s="715" t="s">
        <v>642</v>
      </c>
      <c r="C175" s="715" t="s">
        <v>642</v>
      </c>
      <c r="D175" s="715" t="s">
        <v>642</v>
      </c>
      <c r="E175" s="715" t="s">
        <v>642</v>
      </c>
      <c r="F175" s="715" t="s">
        <v>642</v>
      </c>
      <c r="G175" s="715" t="s">
        <v>642</v>
      </c>
      <c r="H175" s="715" t="s">
        <v>642</v>
      </c>
      <c r="I175" s="715" t="s">
        <v>642</v>
      </c>
      <c r="J175" s="715" t="s">
        <v>642</v>
      </c>
      <c r="K175" s="715" t="s">
        <v>642</v>
      </c>
      <c r="L175" s="715" t="s">
        <v>642</v>
      </c>
      <c r="M175" s="715" t="s">
        <v>642</v>
      </c>
      <c r="N175" s="715" t="s">
        <v>642</v>
      </c>
      <c r="O175" s="715" t="s">
        <v>642</v>
      </c>
      <c r="P175" s="715" t="s">
        <v>642</v>
      </c>
      <c r="Q175" s="715" t="s">
        <v>642</v>
      </c>
      <c r="R175" s="715" t="s">
        <v>642</v>
      </c>
      <c r="S175" s="715" t="s">
        <v>642</v>
      </c>
      <c r="T175" s="715" t="s">
        <v>642</v>
      </c>
      <c r="U175" s="715" t="s">
        <v>642</v>
      </c>
    </row>
    <row r="176" spans="1:21" x14ac:dyDescent="0.3">
      <c r="A176" s="735" t="s">
        <v>1152</v>
      </c>
      <c r="B176" s="715" t="s">
        <v>642</v>
      </c>
      <c r="C176" s="715" t="s">
        <v>642</v>
      </c>
      <c r="D176" s="715" t="s">
        <v>642</v>
      </c>
      <c r="E176" s="715" t="s">
        <v>642</v>
      </c>
      <c r="F176" s="715" t="s">
        <v>642</v>
      </c>
      <c r="G176" s="715" t="s">
        <v>642</v>
      </c>
      <c r="H176" s="715" t="s">
        <v>642</v>
      </c>
      <c r="I176" s="715" t="s">
        <v>642</v>
      </c>
      <c r="J176" s="715" t="s">
        <v>642</v>
      </c>
      <c r="K176" s="715" t="s">
        <v>642</v>
      </c>
      <c r="L176" s="716">
        <v>2928400</v>
      </c>
      <c r="M176" s="716">
        <v>2837400</v>
      </c>
      <c r="N176" s="716">
        <v>2723200</v>
      </c>
      <c r="O176" s="716">
        <v>3039300</v>
      </c>
      <c r="P176" s="716">
        <v>2901200</v>
      </c>
      <c r="Q176" s="716">
        <v>2929500</v>
      </c>
      <c r="R176" s="716">
        <v>2863800</v>
      </c>
      <c r="S176" s="715" t="s">
        <v>642</v>
      </c>
      <c r="T176" s="715" t="s">
        <v>642</v>
      </c>
      <c r="U176" s="715" t="s">
        <v>642</v>
      </c>
    </row>
    <row r="177" spans="1:21" x14ac:dyDescent="0.3">
      <c r="A177" s="735" t="s">
        <v>1117</v>
      </c>
      <c r="B177" s="715" t="s">
        <v>642</v>
      </c>
      <c r="C177" s="715" t="s">
        <v>642</v>
      </c>
      <c r="D177" s="715" t="s">
        <v>642</v>
      </c>
      <c r="E177" s="715" t="s">
        <v>642</v>
      </c>
      <c r="F177" s="715" t="s">
        <v>642</v>
      </c>
      <c r="G177" s="715" t="s">
        <v>642</v>
      </c>
      <c r="H177" s="715" t="s">
        <v>642</v>
      </c>
      <c r="I177" s="715" t="s">
        <v>642</v>
      </c>
      <c r="J177" s="715" t="s">
        <v>642</v>
      </c>
      <c r="K177" s="715" t="s">
        <v>642</v>
      </c>
      <c r="L177" s="715" t="s">
        <v>642</v>
      </c>
      <c r="M177" s="715" t="s">
        <v>642</v>
      </c>
      <c r="N177" s="715" t="s">
        <v>642</v>
      </c>
      <c r="O177" s="715" t="s">
        <v>642</v>
      </c>
      <c r="P177" s="715" t="s">
        <v>642</v>
      </c>
      <c r="Q177" s="715" t="s">
        <v>642</v>
      </c>
      <c r="R177" s="715" t="s">
        <v>642</v>
      </c>
      <c r="S177" s="715" t="s">
        <v>642</v>
      </c>
      <c r="T177" s="715" t="s">
        <v>642</v>
      </c>
      <c r="U177" s="715" t="s">
        <v>642</v>
      </c>
    </row>
    <row r="178" spans="1:21" x14ac:dyDescent="0.3">
      <c r="A178" s="735" t="s">
        <v>1124</v>
      </c>
      <c r="B178" s="715" t="s">
        <v>642</v>
      </c>
      <c r="C178" s="715" t="s">
        <v>642</v>
      </c>
      <c r="D178" s="715" t="s">
        <v>642</v>
      </c>
      <c r="E178" s="715" t="s">
        <v>642</v>
      </c>
      <c r="F178" s="715" t="s">
        <v>642</v>
      </c>
      <c r="G178" s="715" t="s">
        <v>642</v>
      </c>
      <c r="H178" s="715" t="s">
        <v>642</v>
      </c>
      <c r="I178" s="715" t="s">
        <v>642</v>
      </c>
      <c r="J178" s="715" t="s">
        <v>642</v>
      </c>
      <c r="K178" s="715" t="s">
        <v>642</v>
      </c>
      <c r="L178" s="716">
        <v>2084900</v>
      </c>
      <c r="M178" s="716">
        <v>2405200</v>
      </c>
      <c r="N178" s="716">
        <v>3268900</v>
      </c>
      <c r="O178" s="716">
        <v>3169400</v>
      </c>
      <c r="P178" s="716">
        <v>2449800</v>
      </c>
      <c r="Q178" s="716">
        <v>3369900</v>
      </c>
      <c r="R178" s="716">
        <v>3492900</v>
      </c>
      <c r="S178" s="715" t="s">
        <v>642</v>
      </c>
      <c r="T178" s="715" t="s">
        <v>642</v>
      </c>
      <c r="U178" s="715" t="s">
        <v>642</v>
      </c>
    </row>
    <row r="179" spans="1:21" x14ac:dyDescent="0.3">
      <c r="A179" s="735" t="s">
        <v>963</v>
      </c>
      <c r="B179" s="715" t="s">
        <v>642</v>
      </c>
      <c r="C179" s="715" t="s">
        <v>642</v>
      </c>
      <c r="D179" s="715" t="s">
        <v>642</v>
      </c>
      <c r="E179" s="715" t="s">
        <v>642</v>
      </c>
      <c r="F179" s="715" t="s">
        <v>642</v>
      </c>
      <c r="G179" s="715" t="s">
        <v>642</v>
      </c>
      <c r="H179" s="715" t="s">
        <v>642</v>
      </c>
      <c r="I179" s="715" t="s">
        <v>642</v>
      </c>
      <c r="J179" s="715" t="s">
        <v>642</v>
      </c>
      <c r="K179" s="715" t="s">
        <v>642</v>
      </c>
      <c r="L179" s="715" t="s">
        <v>642</v>
      </c>
      <c r="M179" s="715" t="s">
        <v>642</v>
      </c>
      <c r="N179" s="715" t="s">
        <v>642</v>
      </c>
      <c r="O179" s="715" t="s">
        <v>642</v>
      </c>
      <c r="P179" s="715" t="s">
        <v>642</v>
      </c>
      <c r="Q179" s="715" t="s">
        <v>642</v>
      </c>
      <c r="R179" s="715" t="s">
        <v>642</v>
      </c>
      <c r="S179" s="715" t="s">
        <v>642</v>
      </c>
      <c r="T179" s="715" t="s">
        <v>642</v>
      </c>
      <c r="U179" s="715" t="s">
        <v>642</v>
      </c>
    </row>
    <row r="180" spans="1:21" x14ac:dyDescent="0.3">
      <c r="A180" s="735" t="s">
        <v>1155</v>
      </c>
      <c r="B180" s="715" t="s">
        <v>642</v>
      </c>
      <c r="C180" s="715" t="s">
        <v>642</v>
      </c>
      <c r="D180" s="715" t="s">
        <v>642</v>
      </c>
      <c r="E180" s="715" t="s">
        <v>642</v>
      </c>
      <c r="F180" s="715" t="s">
        <v>642</v>
      </c>
      <c r="G180" s="715" t="s">
        <v>642</v>
      </c>
      <c r="H180" s="715" t="s">
        <v>642</v>
      </c>
      <c r="I180" s="715" t="s">
        <v>642</v>
      </c>
      <c r="J180" s="715" t="s">
        <v>642</v>
      </c>
      <c r="K180" s="715" t="s">
        <v>642</v>
      </c>
      <c r="L180" s="716">
        <v>432300</v>
      </c>
      <c r="M180" s="716">
        <v>497200</v>
      </c>
      <c r="N180" s="716">
        <v>770800</v>
      </c>
      <c r="O180" s="716">
        <v>730400</v>
      </c>
      <c r="P180" s="716">
        <v>433000</v>
      </c>
      <c r="Q180" s="716">
        <v>672800</v>
      </c>
      <c r="R180" s="716">
        <v>757300</v>
      </c>
      <c r="S180" s="715" t="s">
        <v>642</v>
      </c>
      <c r="T180" s="715" t="s">
        <v>642</v>
      </c>
      <c r="U180" s="715" t="s">
        <v>642</v>
      </c>
    </row>
    <row r="181" spans="1:21" x14ac:dyDescent="0.3">
      <c r="A181" s="735" t="s">
        <v>1117</v>
      </c>
      <c r="B181" s="715" t="s">
        <v>642</v>
      </c>
      <c r="C181" s="715" t="s">
        <v>642</v>
      </c>
      <c r="D181" s="715" t="s">
        <v>642</v>
      </c>
      <c r="E181" s="715" t="s">
        <v>642</v>
      </c>
      <c r="F181" s="715" t="s">
        <v>642</v>
      </c>
      <c r="G181" s="715" t="s">
        <v>642</v>
      </c>
      <c r="H181" s="715" t="s">
        <v>642</v>
      </c>
      <c r="I181" s="715" t="s">
        <v>642</v>
      </c>
      <c r="J181" s="715" t="s">
        <v>642</v>
      </c>
      <c r="K181" s="715" t="s">
        <v>642</v>
      </c>
      <c r="L181" s="715" t="s">
        <v>642</v>
      </c>
      <c r="M181" s="715" t="s">
        <v>642</v>
      </c>
      <c r="N181" s="715" t="s">
        <v>642</v>
      </c>
      <c r="O181" s="715" t="s">
        <v>642</v>
      </c>
      <c r="P181" s="715" t="s">
        <v>642</v>
      </c>
      <c r="Q181" s="715" t="s">
        <v>642</v>
      </c>
      <c r="R181" s="715" t="s">
        <v>642</v>
      </c>
      <c r="S181" s="715" t="s">
        <v>642</v>
      </c>
      <c r="T181" s="715" t="s">
        <v>642</v>
      </c>
      <c r="U181" s="715" t="s">
        <v>642</v>
      </c>
    </row>
    <row r="182" spans="1:21" x14ac:dyDescent="0.3">
      <c r="A182" s="735" t="s">
        <v>1156</v>
      </c>
      <c r="B182" s="715" t="s">
        <v>642</v>
      </c>
      <c r="C182" s="715" t="s">
        <v>642</v>
      </c>
      <c r="D182" s="715" t="s">
        <v>642</v>
      </c>
      <c r="E182" s="715" t="s">
        <v>642</v>
      </c>
      <c r="F182" s="715" t="s">
        <v>642</v>
      </c>
      <c r="G182" s="715" t="s">
        <v>642</v>
      </c>
      <c r="H182" s="715" t="s">
        <v>642</v>
      </c>
      <c r="I182" s="715" t="s">
        <v>642</v>
      </c>
      <c r="J182" s="715" t="s">
        <v>642</v>
      </c>
      <c r="K182" s="715" t="s">
        <v>642</v>
      </c>
      <c r="L182" s="716">
        <v>303600</v>
      </c>
      <c r="M182" s="716">
        <v>364400</v>
      </c>
      <c r="N182" s="716">
        <v>609000</v>
      </c>
      <c r="O182" s="716">
        <v>408600</v>
      </c>
      <c r="P182" s="716">
        <v>250600</v>
      </c>
      <c r="Q182" s="716">
        <v>449000</v>
      </c>
      <c r="R182" s="716">
        <v>513500</v>
      </c>
      <c r="S182" s="715" t="s">
        <v>642</v>
      </c>
      <c r="T182" s="715" t="s">
        <v>642</v>
      </c>
      <c r="U182" s="715" t="s">
        <v>642</v>
      </c>
    </row>
    <row r="183" spans="1:21" x14ac:dyDescent="0.3">
      <c r="A183" s="735" t="s">
        <v>1117</v>
      </c>
      <c r="B183" s="715" t="s">
        <v>642</v>
      </c>
      <c r="C183" s="715" t="s">
        <v>642</v>
      </c>
      <c r="D183" s="715" t="s">
        <v>642</v>
      </c>
      <c r="E183" s="715" t="s">
        <v>642</v>
      </c>
      <c r="F183" s="715" t="s">
        <v>642</v>
      </c>
      <c r="G183" s="715" t="s">
        <v>642</v>
      </c>
      <c r="H183" s="715" t="s">
        <v>642</v>
      </c>
      <c r="I183" s="715" t="s">
        <v>642</v>
      </c>
      <c r="J183" s="715" t="s">
        <v>642</v>
      </c>
      <c r="K183" s="715" t="s">
        <v>642</v>
      </c>
      <c r="L183" s="715" t="s">
        <v>642</v>
      </c>
      <c r="M183" s="715" t="s">
        <v>642</v>
      </c>
      <c r="N183" s="715" t="s">
        <v>642</v>
      </c>
      <c r="O183" s="715" t="s">
        <v>642</v>
      </c>
      <c r="P183" s="715" t="s">
        <v>642</v>
      </c>
      <c r="Q183" s="715" t="s">
        <v>642</v>
      </c>
      <c r="R183" s="715" t="s">
        <v>642</v>
      </c>
      <c r="S183" s="715" t="s">
        <v>642</v>
      </c>
      <c r="T183" s="715" t="s">
        <v>642</v>
      </c>
      <c r="U183" s="715" t="s">
        <v>642</v>
      </c>
    </row>
    <row r="184" spans="1:21" x14ac:dyDescent="0.3">
      <c r="A184" s="735" t="s">
        <v>1152</v>
      </c>
      <c r="B184" s="715" t="s">
        <v>642</v>
      </c>
      <c r="C184" s="715" t="s">
        <v>642</v>
      </c>
      <c r="D184" s="715" t="s">
        <v>642</v>
      </c>
      <c r="E184" s="715" t="s">
        <v>642</v>
      </c>
      <c r="F184" s="715" t="s">
        <v>642</v>
      </c>
      <c r="G184" s="715" t="s">
        <v>642</v>
      </c>
      <c r="H184" s="715" t="s">
        <v>642</v>
      </c>
      <c r="I184" s="715" t="s">
        <v>642</v>
      </c>
      <c r="J184" s="715" t="s">
        <v>642</v>
      </c>
      <c r="K184" s="715" t="s">
        <v>642</v>
      </c>
      <c r="L184" s="716">
        <v>1349000</v>
      </c>
      <c r="M184" s="716">
        <v>1543600</v>
      </c>
      <c r="N184" s="716">
        <v>1889100</v>
      </c>
      <c r="O184" s="716">
        <v>2030400</v>
      </c>
      <c r="P184" s="716">
        <v>1766200</v>
      </c>
      <c r="Q184" s="716">
        <v>2248100</v>
      </c>
      <c r="R184" s="716">
        <v>2222100</v>
      </c>
      <c r="S184" s="715" t="s">
        <v>642</v>
      </c>
      <c r="T184" s="715" t="s">
        <v>642</v>
      </c>
      <c r="U184" s="715" t="s">
        <v>642</v>
      </c>
    </row>
    <row r="185" spans="1:21" x14ac:dyDescent="0.3">
      <c r="A185" s="735" t="s">
        <v>1117</v>
      </c>
      <c r="B185" s="715" t="s">
        <v>642</v>
      </c>
      <c r="C185" s="715" t="s">
        <v>642</v>
      </c>
      <c r="D185" s="715" t="s">
        <v>642</v>
      </c>
      <c r="E185" s="715" t="s">
        <v>642</v>
      </c>
      <c r="F185" s="715" t="s">
        <v>642</v>
      </c>
      <c r="G185" s="715" t="s">
        <v>642</v>
      </c>
      <c r="H185" s="715" t="s">
        <v>642</v>
      </c>
      <c r="I185" s="715" t="s">
        <v>642</v>
      </c>
      <c r="J185" s="715" t="s">
        <v>642</v>
      </c>
      <c r="K185" s="715" t="s">
        <v>642</v>
      </c>
      <c r="L185" s="715" t="s">
        <v>642</v>
      </c>
      <c r="M185" s="715" t="s">
        <v>642</v>
      </c>
      <c r="N185" s="715" t="s">
        <v>642</v>
      </c>
      <c r="O185" s="715" t="s">
        <v>642</v>
      </c>
      <c r="P185" s="715" t="s">
        <v>642</v>
      </c>
      <c r="Q185" s="715" t="s">
        <v>642</v>
      </c>
      <c r="R185" s="715" t="s">
        <v>642</v>
      </c>
      <c r="S185" s="715" t="s">
        <v>642</v>
      </c>
      <c r="T185" s="715" t="s">
        <v>642</v>
      </c>
      <c r="U185" s="715" t="s">
        <v>642</v>
      </c>
    </row>
    <row r="186" spans="1:21" x14ac:dyDescent="0.3">
      <c r="A186" s="735" t="s">
        <v>1125</v>
      </c>
      <c r="B186" s="715" t="s">
        <v>642</v>
      </c>
      <c r="C186" s="715" t="s">
        <v>642</v>
      </c>
      <c r="D186" s="715" t="s">
        <v>642</v>
      </c>
      <c r="E186" s="715" t="s">
        <v>642</v>
      </c>
      <c r="F186" s="715" t="s">
        <v>642</v>
      </c>
      <c r="G186" s="715" t="s">
        <v>642</v>
      </c>
      <c r="H186" s="715" t="s">
        <v>642</v>
      </c>
      <c r="I186" s="715" t="s">
        <v>642</v>
      </c>
      <c r="J186" s="715" t="s">
        <v>642</v>
      </c>
      <c r="K186" s="715" t="s">
        <v>642</v>
      </c>
      <c r="L186" s="716">
        <v>1240200</v>
      </c>
      <c r="M186" s="716">
        <v>1234500</v>
      </c>
      <c r="N186" s="716">
        <v>1147200</v>
      </c>
      <c r="O186" s="716">
        <v>4171400</v>
      </c>
      <c r="P186" s="716">
        <v>1126800</v>
      </c>
      <c r="Q186" s="716">
        <v>1093800</v>
      </c>
      <c r="R186" s="716">
        <v>3425500</v>
      </c>
      <c r="S186" s="715" t="s">
        <v>642</v>
      </c>
      <c r="T186" s="715" t="s">
        <v>642</v>
      </c>
      <c r="U186" s="715" t="s">
        <v>642</v>
      </c>
    </row>
    <row r="187" spans="1:21" x14ac:dyDescent="0.3">
      <c r="A187" s="735" t="s">
        <v>963</v>
      </c>
      <c r="B187" s="715" t="s">
        <v>642</v>
      </c>
      <c r="C187" s="715" t="s">
        <v>642</v>
      </c>
      <c r="D187" s="715" t="s">
        <v>642</v>
      </c>
      <c r="E187" s="715" t="s">
        <v>642</v>
      </c>
      <c r="F187" s="715" t="s">
        <v>642</v>
      </c>
      <c r="G187" s="715" t="s">
        <v>642</v>
      </c>
      <c r="H187" s="715" t="s">
        <v>642</v>
      </c>
      <c r="I187" s="715" t="s">
        <v>642</v>
      </c>
      <c r="J187" s="715" t="s">
        <v>642</v>
      </c>
      <c r="K187" s="715" t="s">
        <v>642</v>
      </c>
      <c r="L187" s="715" t="s">
        <v>642</v>
      </c>
      <c r="M187" s="715" t="s">
        <v>642</v>
      </c>
      <c r="N187" s="715" t="s">
        <v>642</v>
      </c>
      <c r="O187" s="715" t="s">
        <v>642</v>
      </c>
      <c r="P187" s="715" t="s">
        <v>642</v>
      </c>
      <c r="Q187" s="715" t="s">
        <v>642</v>
      </c>
      <c r="R187" s="715" t="s">
        <v>642</v>
      </c>
      <c r="S187" s="715" t="s">
        <v>642</v>
      </c>
      <c r="T187" s="715" t="s">
        <v>642</v>
      </c>
      <c r="U187" s="715" t="s">
        <v>642</v>
      </c>
    </row>
    <row r="188" spans="1:21" x14ac:dyDescent="0.3">
      <c r="A188" s="735" t="s">
        <v>1157</v>
      </c>
      <c r="B188" s="715" t="s">
        <v>642</v>
      </c>
      <c r="C188" s="715" t="s">
        <v>642</v>
      </c>
      <c r="D188" s="715" t="s">
        <v>642</v>
      </c>
      <c r="E188" s="715" t="s">
        <v>642</v>
      </c>
      <c r="F188" s="715" t="s">
        <v>642</v>
      </c>
      <c r="G188" s="715" t="s">
        <v>642</v>
      </c>
      <c r="H188" s="715" t="s">
        <v>642</v>
      </c>
      <c r="I188" s="715" t="s">
        <v>642</v>
      </c>
      <c r="J188" s="715" t="s">
        <v>642</v>
      </c>
      <c r="K188" s="715" t="s">
        <v>642</v>
      </c>
      <c r="L188" s="716">
        <v>197200</v>
      </c>
      <c r="M188" s="716">
        <v>193100</v>
      </c>
      <c r="N188" s="716">
        <v>191700</v>
      </c>
      <c r="O188" s="716">
        <v>185800</v>
      </c>
      <c r="P188" s="716">
        <v>204600</v>
      </c>
      <c r="Q188" s="716">
        <v>198500</v>
      </c>
      <c r="R188" s="716">
        <v>159700</v>
      </c>
      <c r="S188" s="715" t="s">
        <v>642</v>
      </c>
      <c r="T188" s="715" t="s">
        <v>642</v>
      </c>
      <c r="U188" s="715" t="s">
        <v>642</v>
      </c>
    </row>
    <row r="189" spans="1:21" x14ac:dyDescent="0.3">
      <c r="A189" s="735" t="s">
        <v>1117</v>
      </c>
      <c r="B189" s="715" t="s">
        <v>642</v>
      </c>
      <c r="C189" s="715" t="s">
        <v>642</v>
      </c>
      <c r="D189" s="715" t="s">
        <v>642</v>
      </c>
      <c r="E189" s="715" t="s">
        <v>642</v>
      </c>
      <c r="F189" s="715" t="s">
        <v>642</v>
      </c>
      <c r="G189" s="715" t="s">
        <v>642</v>
      </c>
      <c r="H189" s="715" t="s">
        <v>642</v>
      </c>
      <c r="I189" s="715" t="s">
        <v>642</v>
      </c>
      <c r="J189" s="715" t="s">
        <v>642</v>
      </c>
      <c r="K189" s="715" t="s">
        <v>642</v>
      </c>
      <c r="L189" s="715" t="s">
        <v>642</v>
      </c>
      <c r="M189" s="715" t="s">
        <v>642</v>
      </c>
      <c r="N189" s="715" t="s">
        <v>642</v>
      </c>
      <c r="O189" s="715" t="s">
        <v>642</v>
      </c>
      <c r="P189" s="715" t="s">
        <v>642</v>
      </c>
      <c r="Q189" s="715" t="s">
        <v>642</v>
      </c>
      <c r="R189" s="715" t="s">
        <v>642</v>
      </c>
      <c r="S189" s="715" t="s">
        <v>642</v>
      </c>
      <c r="T189" s="715" t="s">
        <v>642</v>
      </c>
      <c r="U189" s="715" t="s">
        <v>642</v>
      </c>
    </row>
    <row r="190" spans="1:21" x14ac:dyDescent="0.3">
      <c r="A190" s="735" t="s">
        <v>1158</v>
      </c>
      <c r="B190" s="715" t="s">
        <v>642</v>
      </c>
      <c r="C190" s="715" t="s">
        <v>642</v>
      </c>
      <c r="D190" s="715" t="s">
        <v>642</v>
      </c>
      <c r="E190" s="715" t="s">
        <v>642</v>
      </c>
      <c r="F190" s="715" t="s">
        <v>642</v>
      </c>
      <c r="G190" s="715" t="s">
        <v>642</v>
      </c>
      <c r="H190" s="715" t="s">
        <v>642</v>
      </c>
      <c r="I190" s="715" t="s">
        <v>642</v>
      </c>
      <c r="J190" s="715" t="s">
        <v>642</v>
      </c>
      <c r="K190" s="715" t="s">
        <v>642</v>
      </c>
      <c r="L190" s="715" t="s">
        <v>642</v>
      </c>
      <c r="M190" s="715" t="s">
        <v>642</v>
      </c>
      <c r="N190" s="716">
        <v>380800</v>
      </c>
      <c r="O190" s="716">
        <v>94400</v>
      </c>
      <c r="P190" s="716">
        <v>101700</v>
      </c>
      <c r="Q190" s="716">
        <v>140800</v>
      </c>
      <c r="R190" s="716">
        <v>90500</v>
      </c>
      <c r="S190" s="715" t="s">
        <v>642</v>
      </c>
      <c r="T190" s="715" t="s">
        <v>642</v>
      </c>
      <c r="U190" s="715" t="s">
        <v>642</v>
      </c>
    </row>
    <row r="191" spans="1:21" x14ac:dyDescent="0.3">
      <c r="A191" s="735" t="s">
        <v>1117</v>
      </c>
      <c r="B191" s="715" t="s">
        <v>642</v>
      </c>
      <c r="C191" s="715" t="s">
        <v>642</v>
      </c>
      <c r="D191" s="715" t="s">
        <v>642</v>
      </c>
      <c r="E191" s="715" t="s">
        <v>642</v>
      </c>
      <c r="F191" s="715" t="s">
        <v>642</v>
      </c>
      <c r="G191" s="715" t="s">
        <v>642</v>
      </c>
      <c r="H191" s="715" t="s">
        <v>642</v>
      </c>
      <c r="I191" s="715" t="s">
        <v>642</v>
      </c>
      <c r="J191" s="715" t="s">
        <v>642</v>
      </c>
      <c r="K191" s="715" t="s">
        <v>642</v>
      </c>
      <c r="L191" s="715" t="s">
        <v>642</v>
      </c>
      <c r="M191" s="715" t="s">
        <v>642</v>
      </c>
      <c r="N191" s="715" t="s">
        <v>642</v>
      </c>
      <c r="O191" s="715" t="s">
        <v>642</v>
      </c>
      <c r="P191" s="715" t="s">
        <v>642</v>
      </c>
      <c r="Q191" s="715" t="s">
        <v>642</v>
      </c>
      <c r="R191" s="715" t="s">
        <v>642</v>
      </c>
      <c r="S191" s="715" t="s">
        <v>642</v>
      </c>
      <c r="T191" s="715" t="s">
        <v>642</v>
      </c>
      <c r="U191" s="715" t="s">
        <v>642</v>
      </c>
    </row>
    <row r="192" spans="1:21" x14ac:dyDescent="0.3">
      <c r="A192" s="735" t="s">
        <v>1152</v>
      </c>
      <c r="B192" s="715" t="s">
        <v>642</v>
      </c>
      <c r="C192" s="715" t="s">
        <v>642</v>
      </c>
      <c r="D192" s="715" t="s">
        <v>642</v>
      </c>
      <c r="E192" s="715" t="s">
        <v>642</v>
      </c>
      <c r="F192" s="715" t="s">
        <v>642</v>
      </c>
      <c r="G192" s="715" t="s">
        <v>642</v>
      </c>
      <c r="H192" s="715" t="s">
        <v>642</v>
      </c>
      <c r="I192" s="715" t="s">
        <v>642</v>
      </c>
      <c r="J192" s="715" t="s">
        <v>642</v>
      </c>
      <c r="K192" s="715" t="s">
        <v>642</v>
      </c>
      <c r="L192" s="716">
        <v>1043000</v>
      </c>
      <c r="M192" s="716">
        <v>1041400</v>
      </c>
      <c r="N192" s="716">
        <v>574700</v>
      </c>
      <c r="O192" s="716">
        <v>3891200</v>
      </c>
      <c r="P192" s="716">
        <v>820500</v>
      </c>
      <c r="Q192" s="716">
        <v>754500</v>
      </c>
      <c r="R192" s="716">
        <v>3175300</v>
      </c>
      <c r="S192" s="715" t="s">
        <v>642</v>
      </c>
      <c r="T192" s="715" t="s">
        <v>642</v>
      </c>
      <c r="U192" s="715" t="s">
        <v>642</v>
      </c>
    </row>
    <row r="193" spans="1:21" x14ac:dyDescent="0.3">
      <c r="A193" s="735" t="s">
        <v>1117</v>
      </c>
      <c r="B193" s="715" t="s">
        <v>642</v>
      </c>
      <c r="C193" s="715" t="s">
        <v>642</v>
      </c>
      <c r="D193" s="715" t="s">
        <v>642</v>
      </c>
      <c r="E193" s="715" t="s">
        <v>642</v>
      </c>
      <c r="F193" s="715" t="s">
        <v>642</v>
      </c>
      <c r="G193" s="715" t="s">
        <v>642</v>
      </c>
      <c r="H193" s="715" t="s">
        <v>642</v>
      </c>
      <c r="I193" s="715" t="s">
        <v>642</v>
      </c>
      <c r="J193" s="715" t="s">
        <v>642</v>
      </c>
      <c r="K193" s="715" t="s">
        <v>642</v>
      </c>
      <c r="L193" s="715" t="s">
        <v>642</v>
      </c>
      <c r="M193" s="715" t="s">
        <v>642</v>
      </c>
      <c r="N193" s="715" t="s">
        <v>642</v>
      </c>
      <c r="O193" s="715" t="s">
        <v>642</v>
      </c>
      <c r="P193" s="715" t="s">
        <v>642</v>
      </c>
      <c r="Q193" s="715" t="s">
        <v>642</v>
      </c>
      <c r="R193" s="715" t="s">
        <v>642</v>
      </c>
      <c r="S193" s="715" t="s">
        <v>642</v>
      </c>
      <c r="T193" s="715" t="s">
        <v>642</v>
      </c>
      <c r="U193" s="715" t="s">
        <v>642</v>
      </c>
    </row>
    <row r="194" spans="1:21" x14ac:dyDescent="0.3">
      <c r="A194" s="735" t="s">
        <v>1112</v>
      </c>
      <c r="B194" s="715" t="s">
        <v>642</v>
      </c>
      <c r="C194" s="715" t="s">
        <v>642</v>
      </c>
      <c r="D194" s="715" t="s">
        <v>642</v>
      </c>
      <c r="E194" s="715" t="s">
        <v>642</v>
      </c>
      <c r="F194" s="715" t="s">
        <v>642</v>
      </c>
      <c r="G194" s="715" t="s">
        <v>642</v>
      </c>
      <c r="H194" s="715" t="s">
        <v>642</v>
      </c>
      <c r="I194" s="715" t="s">
        <v>642</v>
      </c>
      <c r="J194" s="715" t="s">
        <v>642</v>
      </c>
      <c r="K194" s="715" t="s">
        <v>642</v>
      </c>
      <c r="L194" s="716">
        <v>10300</v>
      </c>
      <c r="M194" s="716">
        <v>9100</v>
      </c>
      <c r="N194" s="716">
        <v>10300</v>
      </c>
      <c r="O194" s="716">
        <v>16500</v>
      </c>
      <c r="P194" s="716">
        <v>9200</v>
      </c>
      <c r="Q194" s="716">
        <v>10200</v>
      </c>
      <c r="R194" s="716">
        <v>10300</v>
      </c>
      <c r="S194" s="715" t="s">
        <v>642</v>
      </c>
      <c r="T194" s="715" t="s">
        <v>642</v>
      </c>
      <c r="U194" s="715" t="s">
        <v>642</v>
      </c>
    </row>
    <row r="195" spans="1:21" x14ac:dyDescent="0.3">
      <c r="A195" s="735" t="s">
        <v>963</v>
      </c>
      <c r="B195" s="715" t="s">
        <v>642</v>
      </c>
      <c r="C195" s="715" t="s">
        <v>642</v>
      </c>
      <c r="D195" s="715" t="s">
        <v>642</v>
      </c>
      <c r="E195" s="715" t="s">
        <v>642</v>
      </c>
      <c r="F195" s="715" t="s">
        <v>642</v>
      </c>
      <c r="G195" s="715" t="s">
        <v>642</v>
      </c>
      <c r="H195" s="715" t="s">
        <v>642</v>
      </c>
      <c r="I195" s="715" t="s">
        <v>642</v>
      </c>
      <c r="J195" s="715" t="s">
        <v>642</v>
      </c>
      <c r="K195" s="715" t="s">
        <v>642</v>
      </c>
      <c r="L195" s="715" t="s">
        <v>642</v>
      </c>
      <c r="M195" s="715" t="s">
        <v>642</v>
      </c>
      <c r="N195" s="715" t="s">
        <v>642</v>
      </c>
      <c r="O195" s="715" t="s">
        <v>642</v>
      </c>
      <c r="P195" s="715" t="s">
        <v>642</v>
      </c>
      <c r="Q195" s="715" t="s">
        <v>642</v>
      </c>
      <c r="R195" s="715" t="s">
        <v>642</v>
      </c>
      <c r="S195" s="715" t="s">
        <v>642</v>
      </c>
      <c r="T195" s="715" t="s">
        <v>642</v>
      </c>
      <c r="U195" s="715" t="s">
        <v>642</v>
      </c>
    </row>
    <row r="196" spans="1:21" x14ac:dyDescent="0.3">
      <c r="A196" s="735" t="s">
        <v>226</v>
      </c>
      <c r="B196" s="715" t="s">
        <v>642</v>
      </c>
      <c r="C196" s="715" t="s">
        <v>642</v>
      </c>
      <c r="D196" s="715" t="s">
        <v>642</v>
      </c>
      <c r="E196" s="715" t="s">
        <v>642</v>
      </c>
      <c r="F196" s="715" t="s">
        <v>642</v>
      </c>
      <c r="G196" s="715" t="s">
        <v>642</v>
      </c>
      <c r="H196" s="715" t="s">
        <v>642</v>
      </c>
      <c r="I196" s="715" t="s">
        <v>642</v>
      </c>
      <c r="J196" s="715" t="s">
        <v>642</v>
      </c>
      <c r="K196" s="715" t="s">
        <v>642</v>
      </c>
      <c r="L196" s="715" t="s">
        <v>642</v>
      </c>
      <c r="M196" s="715" t="s">
        <v>642</v>
      </c>
      <c r="N196" s="715" t="s">
        <v>642</v>
      </c>
      <c r="O196" s="715" t="s">
        <v>642</v>
      </c>
      <c r="P196" s="715" t="s">
        <v>642</v>
      </c>
      <c r="Q196" s="715" t="s">
        <v>642</v>
      </c>
      <c r="R196" s="715" t="s">
        <v>642</v>
      </c>
      <c r="S196" s="715" t="s">
        <v>642</v>
      </c>
      <c r="T196" s="715" t="s">
        <v>642</v>
      </c>
      <c r="U196" s="715" t="s">
        <v>642</v>
      </c>
    </row>
    <row r="197" spans="1:21" x14ac:dyDescent="0.3">
      <c r="A197" s="735" t="s">
        <v>1159</v>
      </c>
      <c r="B197" s="716">
        <v>6835367</v>
      </c>
      <c r="C197" s="716">
        <v>7080813</v>
      </c>
      <c r="D197" s="716">
        <v>7147736</v>
      </c>
      <c r="E197" s="716">
        <v>7213089</v>
      </c>
      <c r="F197" s="716">
        <v>8059814</v>
      </c>
      <c r="G197" s="716">
        <v>8864570</v>
      </c>
      <c r="H197" s="716">
        <v>9009031</v>
      </c>
      <c r="I197" s="716">
        <v>9068814</v>
      </c>
      <c r="J197" s="716">
        <v>9031116</v>
      </c>
      <c r="K197" s="716">
        <v>8843137</v>
      </c>
      <c r="L197" s="716">
        <v>8800895</v>
      </c>
      <c r="M197" s="716">
        <v>8767744</v>
      </c>
      <c r="N197" s="716">
        <v>8900426</v>
      </c>
      <c r="O197" s="716">
        <v>9063346</v>
      </c>
      <c r="P197" s="716">
        <v>9231310</v>
      </c>
      <c r="Q197" s="716">
        <v>9375848</v>
      </c>
      <c r="R197" s="716">
        <v>10308425</v>
      </c>
      <c r="S197" s="716">
        <v>10734399</v>
      </c>
      <c r="T197" s="716">
        <v>10314314.83</v>
      </c>
      <c r="U197" s="716">
        <v>10536142.66</v>
      </c>
    </row>
    <row r="198" spans="1:21" x14ac:dyDescent="0.3">
      <c r="A198" s="735" t="s">
        <v>1115</v>
      </c>
      <c r="B198" s="716">
        <v>339709</v>
      </c>
      <c r="C198" s="716">
        <v>328624</v>
      </c>
      <c r="D198" s="716">
        <v>341977</v>
      </c>
      <c r="E198" s="716">
        <v>346556</v>
      </c>
      <c r="F198" s="716">
        <v>356242</v>
      </c>
      <c r="G198" s="716">
        <v>1328301</v>
      </c>
      <c r="H198" s="716">
        <v>604849</v>
      </c>
      <c r="I198" s="716">
        <v>610308</v>
      </c>
      <c r="J198" s="716">
        <v>651419</v>
      </c>
      <c r="K198" s="716">
        <v>654132</v>
      </c>
      <c r="L198" s="716">
        <v>615404</v>
      </c>
      <c r="M198" s="716">
        <v>640513</v>
      </c>
      <c r="N198" s="716">
        <v>630205</v>
      </c>
      <c r="O198" s="716">
        <v>638077</v>
      </c>
      <c r="P198" s="716">
        <v>639747</v>
      </c>
      <c r="Q198" s="716">
        <v>642611</v>
      </c>
      <c r="R198" s="716">
        <v>645059</v>
      </c>
      <c r="S198" s="716">
        <v>648934</v>
      </c>
      <c r="T198" s="715" t="s">
        <v>642</v>
      </c>
      <c r="U198" s="715" t="s">
        <v>642</v>
      </c>
    </row>
    <row r="199" spans="1:21" x14ac:dyDescent="0.3">
      <c r="A199" s="735" t="s">
        <v>963</v>
      </c>
      <c r="B199" s="715">
        <v>4.97</v>
      </c>
      <c r="C199" s="715">
        <v>4.6399999999999997</v>
      </c>
      <c r="D199" s="715">
        <v>4.78</v>
      </c>
      <c r="E199" s="715">
        <v>4.8</v>
      </c>
      <c r="F199" s="715">
        <v>4.42</v>
      </c>
      <c r="G199" s="715">
        <v>14.98</v>
      </c>
      <c r="H199" s="715">
        <v>6.71</v>
      </c>
      <c r="I199" s="715">
        <v>6.73</v>
      </c>
      <c r="J199" s="715">
        <v>7.21</v>
      </c>
      <c r="K199" s="715">
        <v>7.4</v>
      </c>
      <c r="L199" s="715">
        <v>6.99</v>
      </c>
      <c r="M199" s="715">
        <v>7.31</v>
      </c>
      <c r="N199" s="715">
        <v>7.08</v>
      </c>
      <c r="O199" s="715">
        <v>7.04</v>
      </c>
      <c r="P199" s="715">
        <v>6.93</v>
      </c>
      <c r="Q199" s="715">
        <v>6.85</v>
      </c>
      <c r="R199" s="715">
        <v>6.26</v>
      </c>
      <c r="S199" s="715">
        <v>6.05</v>
      </c>
      <c r="T199" s="715" t="s">
        <v>642</v>
      </c>
      <c r="U199" s="715" t="s">
        <v>642</v>
      </c>
    </row>
    <row r="200" spans="1:21" x14ac:dyDescent="0.3">
      <c r="A200" s="735" t="s">
        <v>1116</v>
      </c>
      <c r="B200" s="716">
        <v>194330</v>
      </c>
      <c r="C200" s="716">
        <v>178608</v>
      </c>
      <c r="D200" s="716">
        <v>181653</v>
      </c>
      <c r="E200" s="716">
        <v>181723</v>
      </c>
      <c r="F200" s="716">
        <v>184670</v>
      </c>
      <c r="G200" s="716">
        <v>191728</v>
      </c>
      <c r="H200" s="715" t="s">
        <v>642</v>
      </c>
      <c r="I200" s="715" t="s">
        <v>642</v>
      </c>
      <c r="J200" s="715" t="s">
        <v>642</v>
      </c>
      <c r="K200" s="715" t="s">
        <v>642</v>
      </c>
      <c r="L200" s="715" t="s">
        <v>642</v>
      </c>
      <c r="M200" s="715" t="s">
        <v>642</v>
      </c>
      <c r="N200" s="715" t="s">
        <v>642</v>
      </c>
      <c r="O200" s="715" t="s">
        <v>642</v>
      </c>
      <c r="P200" s="715" t="s">
        <v>642</v>
      </c>
      <c r="Q200" s="715" t="s">
        <v>642</v>
      </c>
      <c r="R200" s="715" t="s">
        <v>642</v>
      </c>
      <c r="S200" s="715" t="s">
        <v>642</v>
      </c>
      <c r="T200" s="715" t="s">
        <v>642</v>
      </c>
      <c r="U200" s="715" t="s">
        <v>642</v>
      </c>
    </row>
    <row r="201" spans="1:21" x14ac:dyDescent="0.3">
      <c r="A201" s="735" t="s">
        <v>1117</v>
      </c>
      <c r="B201" s="715">
        <v>2.84</v>
      </c>
      <c r="C201" s="715">
        <v>2.52</v>
      </c>
      <c r="D201" s="715">
        <v>2.54</v>
      </c>
      <c r="E201" s="715">
        <v>2.52</v>
      </c>
      <c r="F201" s="715">
        <v>2.29</v>
      </c>
      <c r="G201" s="715">
        <v>2.16</v>
      </c>
      <c r="H201" s="715" t="s">
        <v>642</v>
      </c>
      <c r="I201" s="715" t="s">
        <v>642</v>
      </c>
      <c r="J201" s="715" t="s">
        <v>642</v>
      </c>
      <c r="K201" s="715" t="s">
        <v>642</v>
      </c>
      <c r="L201" s="715" t="s">
        <v>642</v>
      </c>
      <c r="M201" s="715" t="s">
        <v>642</v>
      </c>
      <c r="N201" s="715" t="s">
        <v>642</v>
      </c>
      <c r="O201" s="715" t="s">
        <v>642</v>
      </c>
      <c r="P201" s="715" t="s">
        <v>642</v>
      </c>
      <c r="Q201" s="715" t="s">
        <v>642</v>
      </c>
      <c r="R201" s="715" t="s">
        <v>642</v>
      </c>
      <c r="S201" s="715" t="s">
        <v>642</v>
      </c>
      <c r="T201" s="715" t="s">
        <v>642</v>
      </c>
      <c r="U201" s="715" t="s">
        <v>642</v>
      </c>
    </row>
    <row r="202" spans="1:21" x14ac:dyDescent="0.3">
      <c r="A202" s="735" t="s">
        <v>1120</v>
      </c>
      <c r="B202" s="716">
        <v>145379</v>
      </c>
      <c r="C202" s="716">
        <v>150016</v>
      </c>
      <c r="D202" s="716">
        <v>160324</v>
      </c>
      <c r="E202" s="716">
        <v>164833</v>
      </c>
      <c r="F202" s="716">
        <v>171572</v>
      </c>
      <c r="G202" s="716">
        <v>171627</v>
      </c>
      <c r="H202" s="715" t="s">
        <v>642</v>
      </c>
      <c r="I202" s="715" t="s">
        <v>642</v>
      </c>
      <c r="J202" s="715" t="s">
        <v>642</v>
      </c>
      <c r="K202" s="715" t="s">
        <v>642</v>
      </c>
      <c r="L202" s="715" t="s">
        <v>642</v>
      </c>
      <c r="M202" s="715" t="s">
        <v>642</v>
      </c>
      <c r="N202" s="715" t="s">
        <v>642</v>
      </c>
      <c r="O202" s="715" t="s">
        <v>642</v>
      </c>
      <c r="P202" s="715" t="s">
        <v>642</v>
      </c>
      <c r="Q202" s="715" t="s">
        <v>642</v>
      </c>
      <c r="R202" s="715" t="s">
        <v>642</v>
      </c>
      <c r="S202" s="715" t="s">
        <v>642</v>
      </c>
      <c r="T202" s="715" t="s">
        <v>642</v>
      </c>
      <c r="U202" s="715" t="s">
        <v>642</v>
      </c>
    </row>
    <row r="203" spans="1:21" x14ac:dyDescent="0.3">
      <c r="A203" s="735" t="s">
        <v>1117</v>
      </c>
      <c r="B203" s="715">
        <v>2.13</v>
      </c>
      <c r="C203" s="715">
        <v>2.12</v>
      </c>
      <c r="D203" s="715">
        <v>2.2400000000000002</v>
      </c>
      <c r="E203" s="715">
        <v>2.29</v>
      </c>
      <c r="F203" s="715">
        <v>2.13</v>
      </c>
      <c r="G203" s="715">
        <v>1.94</v>
      </c>
      <c r="H203" s="715" t="s">
        <v>642</v>
      </c>
      <c r="I203" s="715" t="s">
        <v>642</v>
      </c>
      <c r="J203" s="715" t="s">
        <v>642</v>
      </c>
      <c r="K203" s="715" t="s">
        <v>642</v>
      </c>
      <c r="L203" s="715" t="s">
        <v>642</v>
      </c>
      <c r="M203" s="715" t="s">
        <v>642</v>
      </c>
      <c r="N203" s="715" t="s">
        <v>642</v>
      </c>
      <c r="O203" s="715" t="s">
        <v>642</v>
      </c>
      <c r="P203" s="715" t="s">
        <v>642</v>
      </c>
      <c r="Q203" s="715" t="s">
        <v>642</v>
      </c>
      <c r="R203" s="715" t="s">
        <v>642</v>
      </c>
      <c r="S203" s="715" t="s">
        <v>642</v>
      </c>
      <c r="T203" s="715" t="s">
        <v>642</v>
      </c>
      <c r="U203" s="715" t="s">
        <v>642</v>
      </c>
    </row>
    <row r="204" spans="1:21" x14ac:dyDescent="0.3">
      <c r="A204" s="735" t="s">
        <v>1122</v>
      </c>
      <c r="B204" s="716">
        <v>6162359</v>
      </c>
      <c r="C204" s="716">
        <v>6425840</v>
      </c>
      <c r="D204" s="716">
        <v>6448661</v>
      </c>
      <c r="E204" s="716">
        <v>6506162</v>
      </c>
      <c r="F204" s="716">
        <v>7264834</v>
      </c>
      <c r="G204" s="716">
        <v>2629255</v>
      </c>
      <c r="H204" s="716">
        <v>6884322</v>
      </c>
      <c r="I204" s="716">
        <v>7051507</v>
      </c>
      <c r="J204" s="716">
        <v>7152030</v>
      </c>
      <c r="K204" s="716">
        <v>7109100</v>
      </c>
      <c r="L204" s="716">
        <v>7222761</v>
      </c>
      <c r="M204" s="716">
        <v>7188749</v>
      </c>
      <c r="N204" s="716">
        <v>7348081</v>
      </c>
      <c r="O204" s="716">
        <v>7611465</v>
      </c>
      <c r="P204" s="716">
        <v>7849063</v>
      </c>
      <c r="Q204" s="716">
        <v>7997543</v>
      </c>
      <c r="R204" s="716">
        <v>8922648</v>
      </c>
      <c r="S204" s="716">
        <v>9328314</v>
      </c>
      <c r="T204" s="715" t="s">
        <v>642</v>
      </c>
      <c r="U204" s="715" t="s">
        <v>642</v>
      </c>
    </row>
    <row r="205" spans="1:21" x14ac:dyDescent="0.3">
      <c r="A205" s="735" t="s">
        <v>963</v>
      </c>
      <c r="B205" s="715">
        <v>90.15</v>
      </c>
      <c r="C205" s="715">
        <v>90.75</v>
      </c>
      <c r="D205" s="715">
        <v>90.22</v>
      </c>
      <c r="E205" s="715">
        <v>90.2</v>
      </c>
      <c r="F205" s="715">
        <v>90.14</v>
      </c>
      <c r="G205" s="715">
        <v>29.66</v>
      </c>
      <c r="H205" s="715">
        <v>76.42</v>
      </c>
      <c r="I205" s="715">
        <v>77.760000000000005</v>
      </c>
      <c r="J205" s="715">
        <v>79.19</v>
      </c>
      <c r="K205" s="715">
        <v>80.39</v>
      </c>
      <c r="L205" s="715">
        <v>82.07</v>
      </c>
      <c r="M205" s="715">
        <v>81.99</v>
      </c>
      <c r="N205" s="715">
        <v>82.56</v>
      </c>
      <c r="O205" s="715">
        <v>83.98</v>
      </c>
      <c r="P205" s="715">
        <v>85.03</v>
      </c>
      <c r="Q205" s="715">
        <v>85.3</v>
      </c>
      <c r="R205" s="715">
        <v>86.56</v>
      </c>
      <c r="S205" s="715">
        <v>86.9</v>
      </c>
      <c r="T205" s="715" t="s">
        <v>642</v>
      </c>
      <c r="U205" s="715" t="s">
        <v>642</v>
      </c>
    </row>
    <row r="206" spans="1:21" x14ac:dyDescent="0.3">
      <c r="A206" s="735" t="s">
        <v>1124</v>
      </c>
      <c r="B206" s="716">
        <v>1538368</v>
      </c>
      <c r="C206" s="716">
        <v>1492918</v>
      </c>
      <c r="D206" s="716">
        <v>1446138</v>
      </c>
      <c r="E206" s="716">
        <v>1348389</v>
      </c>
      <c r="F206" s="716">
        <v>1283944</v>
      </c>
      <c r="G206" s="716">
        <v>1425745</v>
      </c>
      <c r="H206" s="716">
        <v>1399564</v>
      </c>
      <c r="I206" s="716">
        <v>1284450</v>
      </c>
      <c r="J206" s="716">
        <v>1129338</v>
      </c>
      <c r="K206" s="716">
        <v>955146</v>
      </c>
      <c r="L206" s="716">
        <v>832834</v>
      </c>
      <c r="M206" s="716">
        <v>804766</v>
      </c>
      <c r="N206" s="716">
        <v>789196</v>
      </c>
      <c r="O206" s="716">
        <v>682139</v>
      </c>
      <c r="P206" s="716">
        <v>607414</v>
      </c>
      <c r="Q206" s="716">
        <v>600870</v>
      </c>
      <c r="R206" s="716">
        <v>606882</v>
      </c>
      <c r="S206" s="716">
        <v>617172</v>
      </c>
      <c r="T206" s="715" t="s">
        <v>642</v>
      </c>
      <c r="U206" s="715" t="s">
        <v>642</v>
      </c>
    </row>
    <row r="207" spans="1:21" x14ac:dyDescent="0.3">
      <c r="A207" s="735" t="s">
        <v>963</v>
      </c>
      <c r="B207" s="715">
        <v>22.51</v>
      </c>
      <c r="C207" s="715">
        <v>21.08</v>
      </c>
      <c r="D207" s="715">
        <v>20.23</v>
      </c>
      <c r="E207" s="715">
        <v>18.690000000000001</v>
      </c>
      <c r="F207" s="715">
        <v>15.93</v>
      </c>
      <c r="G207" s="715">
        <v>16.079999999999998</v>
      </c>
      <c r="H207" s="715">
        <v>15.54</v>
      </c>
      <c r="I207" s="715">
        <v>14.16</v>
      </c>
      <c r="J207" s="715">
        <v>12.5</v>
      </c>
      <c r="K207" s="715">
        <v>10.8</v>
      </c>
      <c r="L207" s="715">
        <v>9.4600000000000009</v>
      </c>
      <c r="M207" s="715">
        <v>9.18</v>
      </c>
      <c r="N207" s="715">
        <v>8.8699999999999992</v>
      </c>
      <c r="O207" s="715">
        <v>7.53</v>
      </c>
      <c r="P207" s="715">
        <v>6.58</v>
      </c>
      <c r="Q207" s="715">
        <v>6.41</v>
      </c>
      <c r="R207" s="715">
        <v>5.89</v>
      </c>
      <c r="S207" s="715">
        <v>5.75</v>
      </c>
      <c r="T207" s="715" t="s">
        <v>642</v>
      </c>
      <c r="U207" s="715" t="s">
        <v>642</v>
      </c>
    </row>
    <row r="208" spans="1:21" x14ac:dyDescent="0.3">
      <c r="A208" s="735" t="s">
        <v>1125</v>
      </c>
      <c r="B208" s="716">
        <v>57505</v>
      </c>
      <c r="C208" s="716">
        <v>33801</v>
      </c>
      <c r="D208" s="716">
        <v>76462</v>
      </c>
      <c r="E208" s="716">
        <v>76676</v>
      </c>
      <c r="F208" s="716">
        <v>78176</v>
      </c>
      <c r="G208" s="716">
        <v>79923</v>
      </c>
      <c r="H208" s="716">
        <v>78371</v>
      </c>
      <c r="I208" s="716">
        <v>80322</v>
      </c>
      <c r="J208" s="716">
        <v>86312</v>
      </c>
      <c r="K208" s="716">
        <v>86337</v>
      </c>
      <c r="L208" s="716">
        <v>80028</v>
      </c>
      <c r="M208" s="716">
        <v>83040</v>
      </c>
      <c r="N208" s="716">
        <v>84909</v>
      </c>
      <c r="O208" s="716">
        <v>79595</v>
      </c>
      <c r="P208" s="716">
        <v>85397</v>
      </c>
      <c r="Q208" s="716">
        <v>88150</v>
      </c>
      <c r="R208" s="716">
        <v>81078</v>
      </c>
      <c r="S208" s="716">
        <v>88002</v>
      </c>
      <c r="T208" s="715" t="s">
        <v>642</v>
      </c>
      <c r="U208" s="715" t="s">
        <v>642</v>
      </c>
    </row>
    <row r="209" spans="1:21" x14ac:dyDescent="0.3">
      <c r="A209" s="735" t="s">
        <v>963</v>
      </c>
      <c r="B209" s="715">
        <v>0.84</v>
      </c>
      <c r="C209" s="715">
        <v>0.48</v>
      </c>
      <c r="D209" s="715">
        <v>1.07</v>
      </c>
      <c r="E209" s="715">
        <v>1.06</v>
      </c>
      <c r="F209" s="715">
        <v>0.97</v>
      </c>
      <c r="G209" s="715">
        <v>0.9</v>
      </c>
      <c r="H209" s="715">
        <v>0.87</v>
      </c>
      <c r="I209" s="715">
        <v>0.89</v>
      </c>
      <c r="J209" s="715">
        <v>0.96</v>
      </c>
      <c r="K209" s="715">
        <v>0.98</v>
      </c>
      <c r="L209" s="715">
        <v>0.91</v>
      </c>
      <c r="M209" s="715">
        <v>0.95</v>
      </c>
      <c r="N209" s="715">
        <v>0.95</v>
      </c>
      <c r="O209" s="715">
        <v>0.88</v>
      </c>
      <c r="P209" s="715">
        <v>0.93</v>
      </c>
      <c r="Q209" s="715">
        <v>0.94</v>
      </c>
      <c r="R209" s="715">
        <v>0.79</v>
      </c>
      <c r="S209" s="715">
        <v>0.82</v>
      </c>
      <c r="T209" s="715" t="s">
        <v>642</v>
      </c>
      <c r="U209" s="715" t="s">
        <v>642</v>
      </c>
    </row>
    <row r="210" spans="1:21" x14ac:dyDescent="0.3">
      <c r="A210" s="735" t="s">
        <v>971</v>
      </c>
      <c r="B210" s="715" t="s">
        <v>642</v>
      </c>
      <c r="C210" s="715" t="s">
        <v>642</v>
      </c>
      <c r="D210" s="715" t="s">
        <v>642</v>
      </c>
      <c r="E210" s="715" t="s">
        <v>642</v>
      </c>
      <c r="F210" s="715" t="s">
        <v>642</v>
      </c>
      <c r="G210" s="715" t="s">
        <v>642</v>
      </c>
      <c r="H210" s="715" t="s">
        <v>642</v>
      </c>
      <c r="I210" s="715" t="s">
        <v>642</v>
      </c>
      <c r="J210" s="715" t="s">
        <v>642</v>
      </c>
      <c r="K210" s="715" t="s">
        <v>642</v>
      </c>
      <c r="L210" s="715" t="s">
        <v>642</v>
      </c>
      <c r="M210" s="715" t="s">
        <v>642</v>
      </c>
      <c r="N210" s="715" t="s">
        <v>642</v>
      </c>
      <c r="O210" s="715" t="s">
        <v>642</v>
      </c>
      <c r="P210" s="715" t="s">
        <v>642</v>
      </c>
      <c r="Q210" s="715" t="s">
        <v>642</v>
      </c>
      <c r="R210" s="715" t="s">
        <v>642</v>
      </c>
      <c r="S210" s="715" t="s">
        <v>642</v>
      </c>
      <c r="T210" s="715" t="s">
        <v>642</v>
      </c>
      <c r="U210" s="715" t="s">
        <v>642</v>
      </c>
    </row>
    <row r="211" spans="1:21" x14ac:dyDescent="0.3">
      <c r="A211" s="735" t="s">
        <v>1130</v>
      </c>
      <c r="B211" s="716">
        <v>4618313</v>
      </c>
      <c r="C211" s="716">
        <v>4927833</v>
      </c>
      <c r="D211" s="716">
        <v>4997076</v>
      </c>
      <c r="E211" s="716">
        <v>5152089</v>
      </c>
      <c r="F211" s="716">
        <v>5975268</v>
      </c>
      <c r="G211" s="716">
        <v>6701896</v>
      </c>
      <c r="H211" s="715" t="s">
        <v>642</v>
      </c>
      <c r="I211" s="715" t="s">
        <v>642</v>
      </c>
      <c r="J211" s="715" t="s">
        <v>642</v>
      </c>
      <c r="K211" s="715" t="s">
        <v>642</v>
      </c>
      <c r="L211" s="715" t="s">
        <v>642</v>
      </c>
      <c r="M211" s="715" t="s">
        <v>642</v>
      </c>
      <c r="N211" s="715" t="s">
        <v>642</v>
      </c>
      <c r="O211" s="715" t="s">
        <v>642</v>
      </c>
      <c r="P211" s="715" t="s">
        <v>642</v>
      </c>
      <c r="Q211" s="715" t="s">
        <v>642</v>
      </c>
      <c r="R211" s="715" t="s">
        <v>642</v>
      </c>
      <c r="S211" s="715" t="s">
        <v>642</v>
      </c>
      <c r="T211" s="715" t="s">
        <v>642</v>
      </c>
      <c r="U211" s="715" t="s">
        <v>642</v>
      </c>
    </row>
    <row r="212" spans="1:21" x14ac:dyDescent="0.3">
      <c r="A212" s="735" t="s">
        <v>226</v>
      </c>
      <c r="B212" s="715" t="s">
        <v>642</v>
      </c>
      <c r="C212" s="715" t="s">
        <v>642</v>
      </c>
      <c r="D212" s="715" t="s">
        <v>642</v>
      </c>
      <c r="E212" s="715" t="s">
        <v>642</v>
      </c>
      <c r="F212" s="715" t="s">
        <v>642</v>
      </c>
      <c r="G212" s="715" t="s">
        <v>642</v>
      </c>
      <c r="H212" s="715" t="s">
        <v>642</v>
      </c>
      <c r="I212" s="715" t="s">
        <v>642</v>
      </c>
      <c r="J212" s="715" t="s">
        <v>642</v>
      </c>
      <c r="K212" s="715" t="s">
        <v>642</v>
      </c>
      <c r="L212" s="715" t="s">
        <v>642</v>
      </c>
      <c r="M212" s="715" t="s">
        <v>642</v>
      </c>
      <c r="N212" s="715" t="s">
        <v>642</v>
      </c>
      <c r="O212" s="715" t="s">
        <v>642</v>
      </c>
      <c r="P212" s="715" t="s">
        <v>642</v>
      </c>
      <c r="Q212" s="715" t="s">
        <v>642</v>
      </c>
      <c r="R212" s="715" t="s">
        <v>642</v>
      </c>
      <c r="S212" s="715" t="s">
        <v>642</v>
      </c>
      <c r="T212" s="715" t="s">
        <v>642</v>
      </c>
      <c r="U212" s="715" t="s">
        <v>642</v>
      </c>
    </row>
    <row r="213" spans="1:21" x14ac:dyDescent="0.3">
      <c r="A213" s="735" t="s">
        <v>1160</v>
      </c>
      <c r="B213" s="716">
        <v>148683</v>
      </c>
      <c r="C213" s="716">
        <v>50239</v>
      </c>
      <c r="D213" s="716">
        <v>135583</v>
      </c>
      <c r="E213" s="716">
        <v>134888</v>
      </c>
      <c r="F213" s="716">
        <v>135876</v>
      </c>
      <c r="G213" s="716">
        <v>137197</v>
      </c>
      <c r="H213" s="716">
        <v>168494</v>
      </c>
      <c r="I213" s="716">
        <v>163203</v>
      </c>
      <c r="J213" s="716">
        <v>164713</v>
      </c>
      <c r="K213" s="716">
        <v>167936</v>
      </c>
      <c r="L213" s="716">
        <v>168939</v>
      </c>
      <c r="M213" s="716">
        <v>172647</v>
      </c>
      <c r="N213" s="716">
        <v>173252</v>
      </c>
      <c r="O213" s="716">
        <v>173948</v>
      </c>
      <c r="P213" s="716">
        <v>175047</v>
      </c>
      <c r="Q213" s="716">
        <v>176923</v>
      </c>
      <c r="R213" s="716">
        <v>180620</v>
      </c>
      <c r="S213" s="716">
        <v>184056</v>
      </c>
      <c r="T213" s="715" t="s">
        <v>642</v>
      </c>
      <c r="U213" s="715" t="s">
        <v>642</v>
      </c>
    </row>
    <row r="214" spans="1:21" x14ac:dyDescent="0.3">
      <c r="A214" s="735" t="s">
        <v>1115</v>
      </c>
      <c r="B214" s="716">
        <v>365842</v>
      </c>
      <c r="C214" s="716">
        <v>366823</v>
      </c>
      <c r="D214" s="716">
        <v>270548</v>
      </c>
      <c r="E214" s="716">
        <v>333220</v>
      </c>
      <c r="F214" s="716">
        <v>366250</v>
      </c>
      <c r="G214" s="716">
        <v>465202</v>
      </c>
      <c r="H214" s="716">
        <v>393762</v>
      </c>
      <c r="I214" s="716">
        <v>403013</v>
      </c>
      <c r="J214" s="716">
        <v>440257</v>
      </c>
      <c r="K214" s="716">
        <v>441540</v>
      </c>
      <c r="L214" s="716">
        <v>417358</v>
      </c>
      <c r="M214" s="716">
        <v>403013</v>
      </c>
      <c r="N214" s="716">
        <v>434536</v>
      </c>
      <c r="O214" s="716">
        <v>436906</v>
      </c>
      <c r="P214" s="716">
        <v>402536</v>
      </c>
      <c r="Q214" s="716">
        <v>406325</v>
      </c>
      <c r="R214" s="716">
        <v>405108</v>
      </c>
      <c r="S214" s="716">
        <v>420077</v>
      </c>
      <c r="T214" s="715" t="s">
        <v>642</v>
      </c>
      <c r="U214" s="715" t="s">
        <v>642</v>
      </c>
    </row>
    <row r="215" spans="1:21" x14ac:dyDescent="0.3">
      <c r="A215" s="735" t="s">
        <v>963</v>
      </c>
      <c r="B215" s="715">
        <v>246.06</v>
      </c>
      <c r="C215" s="715">
        <v>730.16</v>
      </c>
      <c r="D215" s="715">
        <v>199.54</v>
      </c>
      <c r="E215" s="715">
        <v>247.03</v>
      </c>
      <c r="F215" s="715">
        <v>269.55</v>
      </c>
      <c r="G215" s="715">
        <v>339.08</v>
      </c>
      <c r="H215" s="715">
        <v>233.69</v>
      </c>
      <c r="I215" s="715">
        <v>246.94</v>
      </c>
      <c r="J215" s="715">
        <v>267.29000000000002</v>
      </c>
      <c r="K215" s="715">
        <v>262.92</v>
      </c>
      <c r="L215" s="715">
        <v>247.05</v>
      </c>
      <c r="M215" s="715">
        <v>233.43</v>
      </c>
      <c r="N215" s="715">
        <v>250.81</v>
      </c>
      <c r="O215" s="715">
        <v>251.17</v>
      </c>
      <c r="P215" s="715">
        <v>229.96</v>
      </c>
      <c r="Q215" s="715">
        <v>229.66</v>
      </c>
      <c r="R215" s="715">
        <v>224.29</v>
      </c>
      <c r="S215" s="715">
        <v>228.23</v>
      </c>
      <c r="T215" s="715" t="s">
        <v>642</v>
      </c>
      <c r="U215" s="715" t="s">
        <v>642</v>
      </c>
    </row>
    <row r="216" spans="1:21" x14ac:dyDescent="0.3">
      <c r="A216" s="735" t="s">
        <v>1116</v>
      </c>
      <c r="B216" s="716">
        <v>346275</v>
      </c>
      <c r="C216" s="716">
        <v>347139</v>
      </c>
      <c r="D216" s="716">
        <v>250321</v>
      </c>
      <c r="E216" s="716">
        <v>315050</v>
      </c>
      <c r="F216" s="716">
        <v>349020</v>
      </c>
      <c r="G216" s="716">
        <v>349761</v>
      </c>
      <c r="H216" s="715" t="s">
        <v>642</v>
      </c>
      <c r="I216" s="715" t="s">
        <v>642</v>
      </c>
      <c r="J216" s="715" t="s">
        <v>642</v>
      </c>
      <c r="K216" s="715" t="s">
        <v>642</v>
      </c>
      <c r="L216" s="715" t="s">
        <v>642</v>
      </c>
      <c r="M216" s="715" t="s">
        <v>642</v>
      </c>
      <c r="N216" s="715" t="s">
        <v>642</v>
      </c>
      <c r="O216" s="715" t="s">
        <v>642</v>
      </c>
      <c r="P216" s="715" t="s">
        <v>642</v>
      </c>
      <c r="Q216" s="715" t="s">
        <v>642</v>
      </c>
      <c r="R216" s="715" t="s">
        <v>642</v>
      </c>
      <c r="S216" s="715" t="s">
        <v>642</v>
      </c>
      <c r="T216" s="715" t="s">
        <v>642</v>
      </c>
      <c r="U216" s="715" t="s">
        <v>642</v>
      </c>
    </row>
    <row r="217" spans="1:21" x14ac:dyDescent="0.3">
      <c r="A217" s="735" t="s">
        <v>1117</v>
      </c>
      <c r="B217" s="715">
        <v>232.89</v>
      </c>
      <c r="C217" s="715">
        <v>690.98</v>
      </c>
      <c r="D217" s="715">
        <v>184.63</v>
      </c>
      <c r="E217" s="715">
        <v>233.56</v>
      </c>
      <c r="F217" s="715">
        <v>256.87</v>
      </c>
      <c r="G217" s="715">
        <v>254.93</v>
      </c>
      <c r="H217" s="715" t="s">
        <v>642</v>
      </c>
      <c r="I217" s="715" t="s">
        <v>642</v>
      </c>
      <c r="J217" s="715" t="s">
        <v>642</v>
      </c>
      <c r="K217" s="715" t="s">
        <v>642</v>
      </c>
      <c r="L217" s="715" t="s">
        <v>642</v>
      </c>
      <c r="M217" s="715" t="s">
        <v>642</v>
      </c>
      <c r="N217" s="715" t="s">
        <v>642</v>
      </c>
      <c r="O217" s="715" t="s">
        <v>642</v>
      </c>
      <c r="P217" s="715" t="s">
        <v>642</v>
      </c>
      <c r="Q217" s="715" t="s">
        <v>642</v>
      </c>
      <c r="R217" s="715" t="s">
        <v>642</v>
      </c>
      <c r="S217" s="715" t="s">
        <v>642</v>
      </c>
      <c r="T217" s="715" t="s">
        <v>642</v>
      </c>
      <c r="U217" s="715" t="s">
        <v>642</v>
      </c>
    </row>
    <row r="218" spans="1:21" x14ac:dyDescent="0.3">
      <c r="A218" s="735" t="s">
        <v>1120</v>
      </c>
      <c r="B218" s="716">
        <v>19567</v>
      </c>
      <c r="C218" s="716">
        <v>19684</v>
      </c>
      <c r="D218" s="716">
        <v>20227</v>
      </c>
      <c r="E218" s="716">
        <v>18170</v>
      </c>
      <c r="F218" s="716">
        <v>17230</v>
      </c>
      <c r="G218" s="716">
        <v>18555</v>
      </c>
      <c r="H218" s="715" t="s">
        <v>642</v>
      </c>
      <c r="I218" s="715" t="s">
        <v>642</v>
      </c>
      <c r="J218" s="715" t="s">
        <v>642</v>
      </c>
      <c r="K218" s="715" t="s">
        <v>642</v>
      </c>
      <c r="L218" s="715" t="s">
        <v>642</v>
      </c>
      <c r="M218" s="715" t="s">
        <v>642</v>
      </c>
      <c r="N218" s="715" t="s">
        <v>642</v>
      </c>
      <c r="O218" s="715" t="s">
        <v>642</v>
      </c>
      <c r="P218" s="715" t="s">
        <v>642</v>
      </c>
      <c r="Q218" s="715" t="s">
        <v>642</v>
      </c>
      <c r="R218" s="715" t="s">
        <v>642</v>
      </c>
      <c r="S218" s="715" t="s">
        <v>642</v>
      </c>
      <c r="T218" s="715" t="s">
        <v>642</v>
      </c>
      <c r="U218" s="715" t="s">
        <v>642</v>
      </c>
    </row>
    <row r="219" spans="1:21" x14ac:dyDescent="0.3">
      <c r="A219" s="735" t="s">
        <v>1117</v>
      </c>
      <c r="B219" s="715">
        <v>13.16</v>
      </c>
      <c r="C219" s="715">
        <v>39.18</v>
      </c>
      <c r="D219" s="715">
        <v>14.92</v>
      </c>
      <c r="E219" s="715">
        <v>13.47</v>
      </c>
      <c r="F219" s="715">
        <v>12.68</v>
      </c>
      <c r="G219" s="715">
        <v>13.52</v>
      </c>
      <c r="H219" s="715" t="s">
        <v>642</v>
      </c>
      <c r="I219" s="715" t="s">
        <v>642</v>
      </c>
      <c r="J219" s="715" t="s">
        <v>642</v>
      </c>
      <c r="K219" s="715" t="s">
        <v>642</v>
      </c>
      <c r="L219" s="715" t="s">
        <v>642</v>
      </c>
      <c r="M219" s="715" t="s">
        <v>642</v>
      </c>
      <c r="N219" s="715" t="s">
        <v>642</v>
      </c>
      <c r="O219" s="715" t="s">
        <v>642</v>
      </c>
      <c r="P219" s="715" t="s">
        <v>642</v>
      </c>
      <c r="Q219" s="715" t="s">
        <v>642</v>
      </c>
      <c r="R219" s="715" t="s">
        <v>642</v>
      </c>
      <c r="S219" s="715" t="s">
        <v>642</v>
      </c>
      <c r="T219" s="715" t="s">
        <v>642</v>
      </c>
      <c r="U219" s="715" t="s">
        <v>642</v>
      </c>
    </row>
    <row r="220" spans="1:21" x14ac:dyDescent="0.3">
      <c r="A220" s="735" t="s">
        <v>1122</v>
      </c>
      <c r="B220" s="716">
        <v>326886</v>
      </c>
      <c r="C220" s="716">
        <v>321268</v>
      </c>
      <c r="D220" s="716">
        <v>317019</v>
      </c>
      <c r="E220" s="716">
        <v>333022</v>
      </c>
      <c r="F220" s="716">
        <v>274363</v>
      </c>
      <c r="G220" s="716">
        <v>15518</v>
      </c>
      <c r="H220" s="716">
        <v>207287</v>
      </c>
      <c r="I220" s="716">
        <v>204895</v>
      </c>
      <c r="J220" s="716">
        <v>199632</v>
      </c>
      <c r="K220" s="716">
        <v>197456</v>
      </c>
      <c r="L220" s="716">
        <v>206609</v>
      </c>
      <c r="M220" s="716">
        <v>204895</v>
      </c>
      <c r="N220" s="716">
        <v>186394</v>
      </c>
      <c r="O220" s="716">
        <v>169323</v>
      </c>
      <c r="P220" s="716">
        <v>152446</v>
      </c>
      <c r="Q220" s="716">
        <v>172900</v>
      </c>
      <c r="R220" s="716">
        <v>173843</v>
      </c>
      <c r="S220" s="716">
        <v>175756</v>
      </c>
      <c r="T220" s="715" t="s">
        <v>642</v>
      </c>
      <c r="U220" s="715" t="s">
        <v>642</v>
      </c>
    </row>
    <row r="221" spans="1:21" x14ac:dyDescent="0.3">
      <c r="A221" s="735" t="s">
        <v>963</v>
      </c>
      <c r="B221" s="715">
        <v>219.85</v>
      </c>
      <c r="C221" s="715">
        <v>639.48</v>
      </c>
      <c r="D221" s="715">
        <v>233.82</v>
      </c>
      <c r="E221" s="715">
        <v>246.89</v>
      </c>
      <c r="F221" s="715">
        <v>201.92</v>
      </c>
      <c r="G221" s="715">
        <v>11.31</v>
      </c>
      <c r="H221" s="715">
        <v>123.02</v>
      </c>
      <c r="I221" s="715">
        <v>125.55</v>
      </c>
      <c r="J221" s="715">
        <v>121.2</v>
      </c>
      <c r="K221" s="715">
        <v>117.58</v>
      </c>
      <c r="L221" s="715">
        <v>122.3</v>
      </c>
      <c r="M221" s="715">
        <v>118.68</v>
      </c>
      <c r="N221" s="715">
        <v>107.59</v>
      </c>
      <c r="O221" s="715">
        <v>97.34</v>
      </c>
      <c r="P221" s="715">
        <v>87.09</v>
      </c>
      <c r="Q221" s="715">
        <v>97.73</v>
      </c>
      <c r="R221" s="715">
        <v>96.25</v>
      </c>
      <c r="S221" s="715">
        <v>95.49</v>
      </c>
      <c r="T221" s="715" t="s">
        <v>642</v>
      </c>
      <c r="U221" s="715" t="s">
        <v>642</v>
      </c>
    </row>
    <row r="222" spans="1:21" x14ac:dyDescent="0.3">
      <c r="A222" s="735" t="s">
        <v>1124</v>
      </c>
      <c r="B222" s="716">
        <v>64264</v>
      </c>
      <c r="C222" s="716">
        <v>61808</v>
      </c>
      <c r="D222" s="716">
        <v>59463</v>
      </c>
      <c r="E222" s="716">
        <v>60122</v>
      </c>
      <c r="F222" s="716">
        <v>60145</v>
      </c>
      <c r="G222" s="716">
        <v>60091</v>
      </c>
      <c r="H222" s="716">
        <v>59388</v>
      </c>
      <c r="I222" s="716">
        <v>59793</v>
      </c>
      <c r="J222" s="716">
        <v>59732</v>
      </c>
      <c r="K222" s="716">
        <v>58269</v>
      </c>
      <c r="L222" s="716">
        <v>55023</v>
      </c>
      <c r="M222" s="716">
        <v>59793</v>
      </c>
      <c r="N222" s="716">
        <v>55773</v>
      </c>
      <c r="O222" s="716">
        <v>55625</v>
      </c>
      <c r="P222" s="716">
        <v>56385</v>
      </c>
      <c r="Q222" s="716">
        <v>58090</v>
      </c>
      <c r="R222" s="716">
        <v>59290</v>
      </c>
      <c r="S222" s="716">
        <v>59839</v>
      </c>
      <c r="T222" s="715" t="s">
        <v>642</v>
      </c>
      <c r="U222" s="715" t="s">
        <v>642</v>
      </c>
    </row>
    <row r="223" spans="1:21" x14ac:dyDescent="0.3">
      <c r="A223" s="735" t="s">
        <v>963</v>
      </c>
      <c r="B223" s="715">
        <v>43.22</v>
      </c>
      <c r="C223" s="715">
        <v>123.03</v>
      </c>
      <c r="D223" s="715">
        <v>43.86</v>
      </c>
      <c r="E223" s="715">
        <v>44.57</v>
      </c>
      <c r="F223" s="715">
        <v>44.26</v>
      </c>
      <c r="G223" s="715">
        <v>43.8</v>
      </c>
      <c r="H223" s="715">
        <v>35.25</v>
      </c>
      <c r="I223" s="715">
        <v>36.64</v>
      </c>
      <c r="J223" s="715">
        <v>36.26</v>
      </c>
      <c r="K223" s="715">
        <v>34.700000000000003</v>
      </c>
      <c r="L223" s="715">
        <v>32.57</v>
      </c>
      <c r="M223" s="715">
        <v>34.630000000000003</v>
      </c>
      <c r="N223" s="715">
        <v>32.19</v>
      </c>
      <c r="O223" s="715">
        <v>31.98</v>
      </c>
      <c r="P223" s="715">
        <v>32.21</v>
      </c>
      <c r="Q223" s="715">
        <v>32.83</v>
      </c>
      <c r="R223" s="715">
        <v>32.83</v>
      </c>
      <c r="S223" s="715">
        <v>32.51</v>
      </c>
      <c r="T223" s="715" t="s">
        <v>642</v>
      </c>
      <c r="U223" s="715" t="s">
        <v>642</v>
      </c>
    </row>
    <row r="224" spans="1:21" x14ac:dyDescent="0.3">
      <c r="A224" s="735" t="s">
        <v>1125</v>
      </c>
      <c r="B224" s="716">
        <v>58426</v>
      </c>
      <c r="C224" s="716">
        <v>56285</v>
      </c>
      <c r="D224" s="716">
        <v>56022</v>
      </c>
      <c r="E224" s="716">
        <v>56758</v>
      </c>
      <c r="F224" s="716">
        <v>58207</v>
      </c>
      <c r="G224" s="716">
        <v>58785</v>
      </c>
      <c r="H224" s="716">
        <v>57526</v>
      </c>
      <c r="I224" s="716">
        <v>50151</v>
      </c>
      <c r="J224" s="716">
        <v>51549</v>
      </c>
      <c r="K224" s="716">
        <v>52323</v>
      </c>
      <c r="L224" s="716">
        <v>49103</v>
      </c>
      <c r="M224" s="716">
        <v>50151</v>
      </c>
      <c r="N224" s="716">
        <v>52523</v>
      </c>
      <c r="O224" s="716">
        <v>48692</v>
      </c>
      <c r="P224" s="716">
        <v>53252</v>
      </c>
      <c r="Q224" s="716">
        <v>55240</v>
      </c>
      <c r="R224" s="716">
        <v>47837</v>
      </c>
      <c r="S224" s="716">
        <v>51278</v>
      </c>
      <c r="T224" s="715" t="s">
        <v>642</v>
      </c>
      <c r="U224" s="715" t="s">
        <v>642</v>
      </c>
    </row>
    <row r="225" spans="1:21" x14ac:dyDescent="0.3">
      <c r="A225" s="735" t="s">
        <v>963</v>
      </c>
      <c r="B225" s="715">
        <v>39.299999999999997</v>
      </c>
      <c r="C225" s="715">
        <v>112.03</v>
      </c>
      <c r="D225" s="715">
        <v>41.32</v>
      </c>
      <c r="E225" s="715">
        <v>42.08</v>
      </c>
      <c r="F225" s="715">
        <v>42.84</v>
      </c>
      <c r="G225" s="715">
        <v>42.85</v>
      </c>
      <c r="H225" s="715">
        <v>34.14</v>
      </c>
      <c r="I225" s="715">
        <v>30.73</v>
      </c>
      <c r="J225" s="715">
        <v>31.3</v>
      </c>
      <c r="K225" s="715">
        <v>31.16</v>
      </c>
      <c r="L225" s="715">
        <v>29.07</v>
      </c>
      <c r="M225" s="715">
        <v>29.05</v>
      </c>
      <c r="N225" s="715">
        <v>30.32</v>
      </c>
      <c r="O225" s="715">
        <v>27.99</v>
      </c>
      <c r="P225" s="715">
        <v>30.42</v>
      </c>
      <c r="Q225" s="715">
        <v>31.22</v>
      </c>
      <c r="R225" s="715">
        <v>26.48</v>
      </c>
      <c r="S225" s="715">
        <v>27.86</v>
      </c>
      <c r="T225" s="715" t="s">
        <v>642</v>
      </c>
      <c r="U225" s="715" t="s">
        <v>642</v>
      </c>
    </row>
    <row r="226" spans="1:21" x14ac:dyDescent="0.3">
      <c r="A226" s="735" t="s">
        <v>971</v>
      </c>
      <c r="B226" s="715" t="s">
        <v>642</v>
      </c>
      <c r="C226" s="715" t="s">
        <v>642</v>
      </c>
      <c r="D226" s="715" t="s">
        <v>642</v>
      </c>
      <c r="E226" s="715" t="s">
        <v>642</v>
      </c>
      <c r="F226" s="715" t="s">
        <v>642</v>
      </c>
      <c r="G226" s="715" t="s">
        <v>642</v>
      </c>
      <c r="H226" s="715" t="s">
        <v>642</v>
      </c>
      <c r="I226" s="715" t="s">
        <v>642</v>
      </c>
      <c r="J226" s="715" t="s">
        <v>642</v>
      </c>
      <c r="K226" s="715" t="s">
        <v>642</v>
      </c>
      <c r="L226" s="715" t="s">
        <v>642</v>
      </c>
      <c r="M226" s="715" t="s">
        <v>642</v>
      </c>
      <c r="N226" s="715" t="s">
        <v>642</v>
      </c>
      <c r="O226" s="715" t="s">
        <v>642</v>
      </c>
      <c r="P226" s="715" t="s">
        <v>642</v>
      </c>
      <c r="Q226" s="715" t="s">
        <v>642</v>
      </c>
      <c r="R226" s="715" t="s">
        <v>642</v>
      </c>
      <c r="S226" s="715" t="s">
        <v>642</v>
      </c>
      <c r="T226" s="715" t="s">
        <v>642</v>
      </c>
      <c r="U226" s="715" t="s">
        <v>642</v>
      </c>
    </row>
    <row r="227" spans="1:21" x14ac:dyDescent="0.3">
      <c r="A227" s="735" t="s">
        <v>1130</v>
      </c>
      <c r="B227" s="716">
        <v>260120</v>
      </c>
      <c r="C227" s="716">
        <v>256958</v>
      </c>
      <c r="D227" s="716">
        <v>255059</v>
      </c>
      <c r="E227" s="716">
        <v>270404</v>
      </c>
      <c r="F227" s="716">
        <v>211716</v>
      </c>
      <c r="G227" s="716">
        <v>192823</v>
      </c>
      <c r="H227" s="715" t="s">
        <v>642</v>
      </c>
      <c r="I227" s="715" t="s">
        <v>642</v>
      </c>
      <c r="J227" s="715" t="s">
        <v>642</v>
      </c>
      <c r="K227" s="715" t="s">
        <v>642</v>
      </c>
      <c r="L227" s="715" t="s">
        <v>642</v>
      </c>
      <c r="M227" s="715" t="s">
        <v>642</v>
      </c>
      <c r="N227" s="715" t="s">
        <v>642</v>
      </c>
      <c r="O227" s="715" t="s">
        <v>642</v>
      </c>
      <c r="P227" s="715" t="s">
        <v>642</v>
      </c>
      <c r="Q227" s="715" t="s">
        <v>642</v>
      </c>
      <c r="R227" s="715" t="s">
        <v>642</v>
      </c>
      <c r="S227" s="715" t="s">
        <v>642</v>
      </c>
      <c r="T227" s="715" t="s">
        <v>642</v>
      </c>
      <c r="U227" s="715" t="s">
        <v>642</v>
      </c>
    </row>
    <row r="228" spans="1:21" x14ac:dyDescent="0.3">
      <c r="A228" s="735" t="s">
        <v>226</v>
      </c>
      <c r="B228" s="715" t="s">
        <v>642</v>
      </c>
      <c r="C228" s="715" t="s">
        <v>642</v>
      </c>
      <c r="D228" s="715" t="s">
        <v>642</v>
      </c>
      <c r="E228" s="715" t="s">
        <v>642</v>
      </c>
      <c r="F228" s="715" t="s">
        <v>642</v>
      </c>
      <c r="G228" s="715" t="s">
        <v>642</v>
      </c>
      <c r="H228" s="715" t="s">
        <v>642</v>
      </c>
      <c r="I228" s="715" t="s">
        <v>642</v>
      </c>
      <c r="J228" s="715" t="s">
        <v>642</v>
      </c>
      <c r="K228" s="715" t="s">
        <v>642</v>
      </c>
      <c r="L228" s="715" t="s">
        <v>642</v>
      </c>
      <c r="M228" s="715" t="s">
        <v>642</v>
      </c>
      <c r="N228" s="715" t="s">
        <v>642</v>
      </c>
      <c r="O228" s="715" t="s">
        <v>642</v>
      </c>
      <c r="P228" s="715" t="s">
        <v>642</v>
      </c>
      <c r="Q228" s="715" t="s">
        <v>642</v>
      </c>
      <c r="R228" s="715" t="s">
        <v>642</v>
      </c>
      <c r="S228" s="715" t="s">
        <v>642</v>
      </c>
      <c r="T228" s="715" t="s">
        <v>642</v>
      </c>
      <c r="U228" s="715" t="s">
        <v>642</v>
      </c>
    </row>
    <row r="229" spans="1:21" x14ac:dyDescent="0.3">
      <c r="A229" s="735" t="s">
        <v>1161</v>
      </c>
      <c r="B229" s="715" t="s">
        <v>642</v>
      </c>
      <c r="C229" s="715" t="s">
        <v>642</v>
      </c>
      <c r="D229" s="715" t="s">
        <v>642</v>
      </c>
      <c r="E229" s="715" t="s">
        <v>642</v>
      </c>
      <c r="F229" s="715" t="s">
        <v>642</v>
      </c>
      <c r="G229" s="715" t="s">
        <v>642</v>
      </c>
      <c r="H229" s="715" t="s">
        <v>642</v>
      </c>
      <c r="I229" s="715" t="s">
        <v>642</v>
      </c>
      <c r="J229" s="715" t="s">
        <v>642</v>
      </c>
      <c r="K229" s="715" t="s">
        <v>642</v>
      </c>
      <c r="L229" s="715" t="s">
        <v>642</v>
      </c>
      <c r="M229" s="715" t="s">
        <v>642</v>
      </c>
      <c r="N229" s="715" t="s">
        <v>642</v>
      </c>
      <c r="O229" s="715" t="s">
        <v>642</v>
      </c>
      <c r="P229" s="715" t="s">
        <v>642</v>
      </c>
      <c r="Q229" s="715" t="s">
        <v>642</v>
      </c>
      <c r="R229" s="715" t="s">
        <v>642</v>
      </c>
      <c r="S229" s="715" t="s">
        <v>642</v>
      </c>
      <c r="T229" s="715" t="s">
        <v>642</v>
      </c>
      <c r="U229" s="715" t="s">
        <v>642</v>
      </c>
    </row>
    <row r="230" spans="1:21" x14ac:dyDescent="0.3">
      <c r="A230" s="735" t="s">
        <v>1122</v>
      </c>
      <c r="B230" s="715" t="s">
        <v>642</v>
      </c>
      <c r="C230" s="715" t="s">
        <v>642</v>
      </c>
      <c r="D230" s="715" t="s">
        <v>642</v>
      </c>
      <c r="E230" s="715" t="s">
        <v>642</v>
      </c>
      <c r="F230" s="715" t="s">
        <v>642</v>
      </c>
      <c r="G230" s="715" t="s">
        <v>642</v>
      </c>
      <c r="H230" s="716">
        <v>6659900</v>
      </c>
      <c r="I230" s="716">
        <v>10899900</v>
      </c>
      <c r="J230" s="716">
        <v>11542300</v>
      </c>
      <c r="K230" s="716">
        <v>18769600</v>
      </c>
      <c r="L230" s="716">
        <v>9787700</v>
      </c>
      <c r="M230" s="716">
        <v>13459600</v>
      </c>
      <c r="N230" s="716">
        <v>10193500</v>
      </c>
      <c r="O230" s="716">
        <v>14931500</v>
      </c>
      <c r="P230" s="716">
        <v>9666300</v>
      </c>
      <c r="Q230" s="716">
        <v>9904300</v>
      </c>
      <c r="R230" s="716">
        <v>10740500</v>
      </c>
      <c r="S230" s="715" t="s">
        <v>642</v>
      </c>
      <c r="T230" s="715" t="s">
        <v>642</v>
      </c>
      <c r="U230" s="715" t="s">
        <v>642</v>
      </c>
    </row>
    <row r="231" spans="1:21" x14ac:dyDescent="0.3">
      <c r="A231" s="735" t="s">
        <v>963</v>
      </c>
      <c r="B231" s="715" t="s">
        <v>642</v>
      </c>
      <c r="C231" s="715" t="s">
        <v>642</v>
      </c>
      <c r="D231" s="715" t="s">
        <v>642</v>
      </c>
      <c r="E231" s="715" t="s">
        <v>642</v>
      </c>
      <c r="F231" s="715" t="s">
        <v>642</v>
      </c>
      <c r="G231" s="715" t="s">
        <v>642</v>
      </c>
      <c r="H231" s="715" t="s">
        <v>642</v>
      </c>
      <c r="I231" s="715" t="s">
        <v>642</v>
      </c>
      <c r="J231" s="715" t="s">
        <v>642</v>
      </c>
      <c r="K231" s="715" t="s">
        <v>642</v>
      </c>
      <c r="L231" s="715" t="s">
        <v>642</v>
      </c>
      <c r="M231" s="715" t="s">
        <v>642</v>
      </c>
      <c r="N231" s="715" t="s">
        <v>642</v>
      </c>
      <c r="O231" s="715" t="s">
        <v>642</v>
      </c>
      <c r="P231" s="715" t="s">
        <v>642</v>
      </c>
      <c r="Q231" s="715" t="s">
        <v>642</v>
      </c>
      <c r="R231" s="715" t="s">
        <v>642</v>
      </c>
      <c r="S231" s="715" t="s">
        <v>642</v>
      </c>
      <c r="T231" s="715" t="s">
        <v>642</v>
      </c>
      <c r="U231" s="715" t="s">
        <v>642</v>
      </c>
    </row>
    <row r="232" spans="1:21" x14ac:dyDescent="0.3">
      <c r="A232" s="735" t="s">
        <v>1124</v>
      </c>
      <c r="B232" s="716">
        <v>1482600</v>
      </c>
      <c r="C232" s="716">
        <v>777100</v>
      </c>
      <c r="D232" s="716">
        <v>739500</v>
      </c>
      <c r="E232" s="716">
        <v>636800</v>
      </c>
      <c r="F232" s="716">
        <v>696100</v>
      </c>
      <c r="G232" s="716">
        <v>540900</v>
      </c>
      <c r="H232" s="716">
        <v>707400</v>
      </c>
      <c r="I232" s="716">
        <v>834400</v>
      </c>
      <c r="J232" s="716">
        <v>532000</v>
      </c>
      <c r="K232" s="716">
        <v>422000</v>
      </c>
      <c r="L232" s="716">
        <v>332800</v>
      </c>
      <c r="M232" s="716">
        <v>555400</v>
      </c>
      <c r="N232" s="716">
        <v>698000</v>
      </c>
      <c r="O232" s="716">
        <v>799400</v>
      </c>
      <c r="P232" s="716">
        <v>1141000</v>
      </c>
      <c r="Q232" s="716">
        <v>1771500</v>
      </c>
      <c r="R232" s="716">
        <v>952900</v>
      </c>
      <c r="S232" s="716">
        <v>969700</v>
      </c>
      <c r="T232" s="716">
        <v>957144.83</v>
      </c>
      <c r="U232" s="716">
        <v>1121200.74</v>
      </c>
    </row>
    <row r="233" spans="1:21" x14ac:dyDescent="0.3">
      <c r="A233" s="735" t="s">
        <v>963</v>
      </c>
      <c r="B233" s="715" t="s">
        <v>642</v>
      </c>
      <c r="C233" s="715" t="s">
        <v>642</v>
      </c>
      <c r="D233" s="715" t="s">
        <v>642</v>
      </c>
      <c r="E233" s="715" t="s">
        <v>642</v>
      </c>
      <c r="F233" s="715" t="s">
        <v>642</v>
      </c>
      <c r="G233" s="715" t="s">
        <v>642</v>
      </c>
      <c r="H233" s="715" t="s">
        <v>642</v>
      </c>
      <c r="I233" s="715" t="s">
        <v>642</v>
      </c>
      <c r="J233" s="715" t="s">
        <v>642</v>
      </c>
      <c r="K233" s="715" t="s">
        <v>642</v>
      </c>
      <c r="L233" s="715" t="s">
        <v>642</v>
      </c>
      <c r="M233" s="715" t="s">
        <v>642</v>
      </c>
      <c r="N233" s="715" t="s">
        <v>642</v>
      </c>
      <c r="O233" s="715" t="s">
        <v>642</v>
      </c>
      <c r="P233" s="715" t="s">
        <v>642</v>
      </c>
      <c r="Q233" s="715" t="s">
        <v>642</v>
      </c>
      <c r="R233" s="715" t="s">
        <v>642</v>
      </c>
      <c r="S233" s="715" t="s">
        <v>642</v>
      </c>
      <c r="T233" s="715" t="s">
        <v>642</v>
      </c>
      <c r="U233" s="715" t="s">
        <v>642</v>
      </c>
    </row>
    <row r="234" spans="1:21" x14ac:dyDescent="0.3">
      <c r="A234" s="735" t="s">
        <v>1112</v>
      </c>
      <c r="B234" s="716">
        <v>335600</v>
      </c>
      <c r="C234" s="716">
        <v>622400</v>
      </c>
      <c r="D234" s="716">
        <v>491500</v>
      </c>
      <c r="E234" s="716">
        <v>504400</v>
      </c>
      <c r="F234" s="716">
        <v>434300</v>
      </c>
      <c r="G234" s="716">
        <v>611700</v>
      </c>
      <c r="H234" s="716">
        <v>555400</v>
      </c>
      <c r="I234" s="716">
        <v>594900</v>
      </c>
      <c r="J234" s="716">
        <v>637000</v>
      </c>
      <c r="K234" s="716">
        <v>960500</v>
      </c>
      <c r="L234" s="716">
        <v>618300</v>
      </c>
      <c r="M234" s="716">
        <v>505500</v>
      </c>
      <c r="N234" s="716">
        <v>548900</v>
      </c>
      <c r="O234" s="716">
        <v>683300</v>
      </c>
      <c r="P234" s="716">
        <v>501400</v>
      </c>
      <c r="Q234" s="716">
        <v>423900</v>
      </c>
      <c r="R234" s="716">
        <v>739100</v>
      </c>
      <c r="S234" s="716">
        <v>867400</v>
      </c>
      <c r="T234" s="716">
        <v>499217.08</v>
      </c>
      <c r="U234" s="716">
        <v>520156.77</v>
      </c>
    </row>
    <row r="235" spans="1:21" x14ac:dyDescent="0.3">
      <c r="A235" s="735" t="s">
        <v>963</v>
      </c>
      <c r="B235" s="715" t="s">
        <v>642</v>
      </c>
      <c r="C235" s="715" t="s">
        <v>642</v>
      </c>
      <c r="D235" s="715" t="s">
        <v>642</v>
      </c>
      <c r="E235" s="715" t="s">
        <v>642</v>
      </c>
      <c r="F235" s="715" t="s">
        <v>642</v>
      </c>
      <c r="G235" s="715" t="s">
        <v>642</v>
      </c>
      <c r="H235" s="715" t="s">
        <v>642</v>
      </c>
      <c r="I235" s="715" t="s">
        <v>642</v>
      </c>
      <c r="J235" s="715" t="s">
        <v>642</v>
      </c>
      <c r="K235" s="715" t="s">
        <v>642</v>
      </c>
      <c r="L235" s="715" t="s">
        <v>642</v>
      </c>
      <c r="M235" s="715" t="s">
        <v>642</v>
      </c>
      <c r="N235" s="715" t="s">
        <v>642</v>
      </c>
      <c r="O235" s="715" t="s">
        <v>642</v>
      </c>
      <c r="P235" s="715" t="s">
        <v>642</v>
      </c>
      <c r="Q235" s="715" t="s">
        <v>642</v>
      </c>
      <c r="R235" s="715" t="s">
        <v>642</v>
      </c>
      <c r="S235" s="715" t="s">
        <v>642</v>
      </c>
      <c r="T235" s="715" t="s">
        <v>642</v>
      </c>
      <c r="U235" s="715" t="s">
        <v>642</v>
      </c>
    </row>
    <row r="236" spans="1:21" x14ac:dyDescent="0.3">
      <c r="A236" s="735" t="s">
        <v>971</v>
      </c>
      <c r="B236" s="715" t="s">
        <v>642</v>
      </c>
      <c r="C236" s="715" t="s">
        <v>642</v>
      </c>
      <c r="D236" s="715" t="s">
        <v>642</v>
      </c>
      <c r="E236" s="715" t="s">
        <v>642</v>
      </c>
      <c r="F236" s="715" t="s">
        <v>642</v>
      </c>
      <c r="G236" s="715" t="s">
        <v>642</v>
      </c>
      <c r="H236" s="715" t="s">
        <v>642</v>
      </c>
      <c r="I236" s="715" t="s">
        <v>642</v>
      </c>
      <c r="J236" s="715" t="s">
        <v>642</v>
      </c>
      <c r="K236" s="715" t="s">
        <v>642</v>
      </c>
      <c r="L236" s="715" t="s">
        <v>642</v>
      </c>
      <c r="M236" s="715" t="s">
        <v>642</v>
      </c>
      <c r="N236" s="715" t="s">
        <v>642</v>
      </c>
      <c r="O236" s="715" t="s">
        <v>642</v>
      </c>
      <c r="P236" s="715" t="s">
        <v>642</v>
      </c>
      <c r="Q236" s="715" t="s">
        <v>642</v>
      </c>
      <c r="R236" s="715" t="s">
        <v>642</v>
      </c>
      <c r="S236" s="715" t="s">
        <v>642</v>
      </c>
      <c r="T236" s="715" t="s">
        <v>642</v>
      </c>
      <c r="U236" s="715" t="s">
        <v>642</v>
      </c>
    </row>
    <row r="237" spans="1:21" x14ac:dyDescent="0.3">
      <c r="A237" s="735" t="s">
        <v>1130</v>
      </c>
      <c r="B237" s="716">
        <v>6580500</v>
      </c>
      <c r="C237" s="716">
        <v>11620900</v>
      </c>
      <c r="D237" s="716">
        <v>8482800</v>
      </c>
      <c r="E237" s="716">
        <v>12451000</v>
      </c>
      <c r="F237" s="716">
        <v>9056200</v>
      </c>
      <c r="G237" s="716">
        <v>13577000</v>
      </c>
      <c r="H237" s="715" t="s">
        <v>642</v>
      </c>
      <c r="I237" s="715" t="s">
        <v>642</v>
      </c>
      <c r="J237" s="715" t="s">
        <v>642</v>
      </c>
      <c r="K237" s="715" t="s">
        <v>642</v>
      </c>
      <c r="L237" s="715" t="s">
        <v>642</v>
      </c>
      <c r="M237" s="715" t="s">
        <v>642</v>
      </c>
      <c r="N237" s="715" t="s">
        <v>642</v>
      </c>
      <c r="O237" s="715" t="s">
        <v>642</v>
      </c>
      <c r="P237" s="715" t="s">
        <v>642</v>
      </c>
      <c r="Q237" s="715" t="s">
        <v>642</v>
      </c>
      <c r="R237" s="715" t="s">
        <v>642</v>
      </c>
      <c r="S237" s="715" t="s">
        <v>642</v>
      </c>
      <c r="T237" s="715" t="s">
        <v>642</v>
      </c>
      <c r="U237" s="715" t="s">
        <v>642</v>
      </c>
    </row>
    <row r="238" spans="1:21" x14ac:dyDescent="0.3">
      <c r="A238" s="735" t="s">
        <v>226</v>
      </c>
      <c r="B238" s="715" t="s">
        <v>642</v>
      </c>
      <c r="C238" s="715" t="s">
        <v>642</v>
      </c>
      <c r="D238" s="715" t="s">
        <v>642</v>
      </c>
      <c r="E238" s="715" t="s">
        <v>642</v>
      </c>
      <c r="F238" s="715" t="s">
        <v>642</v>
      </c>
      <c r="G238" s="715" t="s">
        <v>642</v>
      </c>
      <c r="H238" s="715" t="s">
        <v>642</v>
      </c>
      <c r="I238" s="715" t="s">
        <v>642</v>
      </c>
      <c r="J238" s="715" t="s">
        <v>642</v>
      </c>
      <c r="K238" s="715" t="s">
        <v>642</v>
      </c>
      <c r="L238" s="715" t="s">
        <v>642</v>
      </c>
      <c r="M238" s="715" t="s">
        <v>642</v>
      </c>
      <c r="N238" s="715" t="s">
        <v>642</v>
      </c>
      <c r="O238" s="715" t="s">
        <v>642</v>
      </c>
      <c r="P238" s="715" t="s">
        <v>642</v>
      </c>
      <c r="Q238" s="715" t="s">
        <v>642</v>
      </c>
      <c r="R238" s="715" t="s">
        <v>642</v>
      </c>
      <c r="S238" s="715" t="s">
        <v>642</v>
      </c>
      <c r="T238" s="715" t="s">
        <v>642</v>
      </c>
      <c r="U238" s="715" t="s">
        <v>642</v>
      </c>
    </row>
    <row r="239" spans="1:21" x14ac:dyDescent="0.3">
      <c r="A239" s="735" t="s">
        <v>1162</v>
      </c>
      <c r="B239" s="716">
        <v>32442857</v>
      </c>
      <c r="C239" s="716">
        <v>32043145</v>
      </c>
      <c r="D239" s="716">
        <v>30619976</v>
      </c>
      <c r="E239" s="716">
        <v>33592385</v>
      </c>
      <c r="F239" s="716">
        <v>37801695</v>
      </c>
      <c r="G239" s="716">
        <v>41384404</v>
      </c>
      <c r="H239" s="716">
        <v>47590731</v>
      </c>
      <c r="I239" s="716">
        <v>52092241</v>
      </c>
      <c r="J239" s="716">
        <v>57319848</v>
      </c>
      <c r="K239" s="716">
        <v>52187866</v>
      </c>
      <c r="L239" s="716">
        <v>54419586</v>
      </c>
      <c r="M239" s="716">
        <v>55504798</v>
      </c>
      <c r="N239" s="716">
        <v>55255957</v>
      </c>
      <c r="O239" s="716">
        <v>51625874</v>
      </c>
      <c r="P239" s="716">
        <v>53347700</v>
      </c>
      <c r="Q239" s="716">
        <v>55566613</v>
      </c>
      <c r="R239" s="716">
        <v>53356759</v>
      </c>
      <c r="S239" s="716">
        <v>51754865</v>
      </c>
      <c r="T239" s="716">
        <v>47798164.729999997</v>
      </c>
      <c r="U239" s="716">
        <v>46224447</v>
      </c>
    </row>
    <row r="240" spans="1:21" x14ac:dyDescent="0.3">
      <c r="A240" s="735" t="s">
        <v>1115</v>
      </c>
      <c r="B240" s="716">
        <v>16849673</v>
      </c>
      <c r="C240" s="716">
        <v>16304322</v>
      </c>
      <c r="D240" s="716">
        <v>15748963</v>
      </c>
      <c r="E240" s="716">
        <v>18582638</v>
      </c>
      <c r="F240" s="716">
        <v>21448997</v>
      </c>
      <c r="G240" s="716">
        <v>929498</v>
      </c>
      <c r="H240" s="716">
        <v>25829735</v>
      </c>
      <c r="I240" s="716">
        <v>27149046</v>
      </c>
      <c r="J240" s="716">
        <v>27097433</v>
      </c>
      <c r="K240" s="716">
        <v>20190106</v>
      </c>
      <c r="L240" s="716">
        <v>19820888</v>
      </c>
      <c r="M240" s="716">
        <v>19180009</v>
      </c>
      <c r="N240" s="716">
        <v>18446791</v>
      </c>
      <c r="O240" s="716">
        <v>18820450</v>
      </c>
      <c r="P240" s="716">
        <v>19047851</v>
      </c>
      <c r="Q240" s="716">
        <v>20944911</v>
      </c>
      <c r="R240" s="716">
        <v>19067318</v>
      </c>
      <c r="S240" s="715" t="s">
        <v>642</v>
      </c>
      <c r="T240" s="715" t="s">
        <v>642</v>
      </c>
      <c r="U240" s="715" t="s">
        <v>642</v>
      </c>
    </row>
    <row r="241" spans="1:21" x14ac:dyDescent="0.3">
      <c r="A241" s="735" t="s">
        <v>963</v>
      </c>
      <c r="B241" s="715">
        <v>51.94</v>
      </c>
      <c r="C241" s="715">
        <v>50.88</v>
      </c>
      <c r="D241" s="715">
        <v>51.43</v>
      </c>
      <c r="E241" s="715">
        <v>55.32</v>
      </c>
      <c r="F241" s="715">
        <v>56.74</v>
      </c>
      <c r="G241" s="715">
        <v>2.25</v>
      </c>
      <c r="H241" s="715">
        <v>54.27</v>
      </c>
      <c r="I241" s="715">
        <v>52.12</v>
      </c>
      <c r="J241" s="715">
        <v>47.27</v>
      </c>
      <c r="K241" s="715">
        <v>38.69</v>
      </c>
      <c r="L241" s="715">
        <v>36.42</v>
      </c>
      <c r="M241" s="715">
        <v>34.56</v>
      </c>
      <c r="N241" s="715">
        <v>33.380000000000003</v>
      </c>
      <c r="O241" s="715">
        <v>36.46</v>
      </c>
      <c r="P241" s="715">
        <v>35.71</v>
      </c>
      <c r="Q241" s="715">
        <v>37.69</v>
      </c>
      <c r="R241" s="715">
        <v>35.74</v>
      </c>
      <c r="S241" s="715" t="s">
        <v>642</v>
      </c>
      <c r="T241" s="715" t="s">
        <v>642</v>
      </c>
      <c r="U241" s="715" t="s">
        <v>642</v>
      </c>
    </row>
    <row r="242" spans="1:21" x14ac:dyDescent="0.3">
      <c r="A242" s="735" t="s">
        <v>1116</v>
      </c>
      <c r="B242" s="716">
        <v>9014813</v>
      </c>
      <c r="C242" s="716">
        <v>8978016</v>
      </c>
      <c r="D242" s="716">
        <v>7746866</v>
      </c>
      <c r="E242" s="716">
        <v>8849528</v>
      </c>
      <c r="F242" s="716">
        <v>9780158</v>
      </c>
      <c r="G242" s="716">
        <v>11741062</v>
      </c>
      <c r="H242" s="715" t="s">
        <v>642</v>
      </c>
      <c r="I242" s="715" t="s">
        <v>642</v>
      </c>
      <c r="J242" s="715" t="s">
        <v>642</v>
      </c>
      <c r="K242" s="715" t="s">
        <v>642</v>
      </c>
      <c r="L242" s="715" t="s">
        <v>642</v>
      </c>
      <c r="M242" s="715" t="s">
        <v>642</v>
      </c>
      <c r="N242" s="715" t="s">
        <v>642</v>
      </c>
      <c r="O242" s="715" t="s">
        <v>642</v>
      </c>
      <c r="P242" s="715" t="s">
        <v>642</v>
      </c>
      <c r="Q242" s="715" t="s">
        <v>642</v>
      </c>
      <c r="R242" s="715" t="s">
        <v>642</v>
      </c>
      <c r="S242" s="715" t="s">
        <v>642</v>
      </c>
      <c r="T242" s="715" t="s">
        <v>642</v>
      </c>
      <c r="U242" s="715" t="s">
        <v>642</v>
      </c>
    </row>
    <row r="243" spans="1:21" x14ac:dyDescent="0.3">
      <c r="A243" s="735" t="s">
        <v>1117</v>
      </c>
      <c r="B243" s="715">
        <v>27.79</v>
      </c>
      <c r="C243" s="715">
        <v>28.02</v>
      </c>
      <c r="D243" s="715">
        <v>25.3</v>
      </c>
      <c r="E243" s="715">
        <v>26.34</v>
      </c>
      <c r="F243" s="715">
        <v>25.87</v>
      </c>
      <c r="G243" s="715">
        <v>28.37</v>
      </c>
      <c r="H243" s="715" t="s">
        <v>642</v>
      </c>
      <c r="I243" s="715" t="s">
        <v>642</v>
      </c>
      <c r="J243" s="715" t="s">
        <v>642</v>
      </c>
      <c r="K243" s="715" t="s">
        <v>642</v>
      </c>
      <c r="L243" s="715" t="s">
        <v>642</v>
      </c>
      <c r="M243" s="715" t="s">
        <v>642</v>
      </c>
      <c r="N243" s="715" t="s">
        <v>642</v>
      </c>
      <c r="O243" s="715" t="s">
        <v>642</v>
      </c>
      <c r="P243" s="715" t="s">
        <v>642</v>
      </c>
      <c r="Q243" s="715" t="s">
        <v>642</v>
      </c>
      <c r="R243" s="715" t="s">
        <v>642</v>
      </c>
      <c r="S243" s="715" t="s">
        <v>642</v>
      </c>
      <c r="T243" s="715" t="s">
        <v>642</v>
      </c>
      <c r="U243" s="715" t="s">
        <v>642</v>
      </c>
    </row>
    <row r="244" spans="1:21" x14ac:dyDescent="0.3">
      <c r="A244" s="735" t="s">
        <v>1120</v>
      </c>
      <c r="B244" s="716">
        <v>7834860</v>
      </c>
      <c r="C244" s="716">
        <v>7326306</v>
      </c>
      <c r="D244" s="716">
        <v>8002097</v>
      </c>
      <c r="E244" s="716">
        <v>9733110</v>
      </c>
      <c r="F244" s="716">
        <v>11668839</v>
      </c>
      <c r="G244" s="716">
        <v>10514939</v>
      </c>
      <c r="H244" s="715" t="s">
        <v>642</v>
      </c>
      <c r="I244" s="715" t="s">
        <v>642</v>
      </c>
      <c r="J244" s="715" t="s">
        <v>642</v>
      </c>
      <c r="K244" s="715" t="s">
        <v>642</v>
      </c>
      <c r="L244" s="715" t="s">
        <v>642</v>
      </c>
      <c r="M244" s="715" t="s">
        <v>642</v>
      </c>
      <c r="N244" s="715" t="s">
        <v>642</v>
      </c>
      <c r="O244" s="715" t="s">
        <v>642</v>
      </c>
      <c r="P244" s="715" t="s">
        <v>642</v>
      </c>
      <c r="Q244" s="715" t="s">
        <v>642</v>
      </c>
      <c r="R244" s="715" t="s">
        <v>642</v>
      </c>
      <c r="S244" s="715" t="s">
        <v>642</v>
      </c>
      <c r="T244" s="715" t="s">
        <v>642</v>
      </c>
      <c r="U244" s="715" t="s">
        <v>642</v>
      </c>
    </row>
    <row r="245" spans="1:21" x14ac:dyDescent="0.3">
      <c r="A245" s="735" t="s">
        <v>1117</v>
      </c>
      <c r="B245" s="715">
        <v>24.15</v>
      </c>
      <c r="C245" s="715">
        <v>22.86</v>
      </c>
      <c r="D245" s="715">
        <v>26.13</v>
      </c>
      <c r="E245" s="715">
        <v>28.97</v>
      </c>
      <c r="F245" s="715">
        <v>30.87</v>
      </c>
      <c r="G245" s="715">
        <v>25.41</v>
      </c>
      <c r="H245" s="715" t="s">
        <v>642</v>
      </c>
      <c r="I245" s="715" t="s">
        <v>642</v>
      </c>
      <c r="J245" s="715" t="s">
        <v>642</v>
      </c>
      <c r="K245" s="715" t="s">
        <v>642</v>
      </c>
      <c r="L245" s="715" t="s">
        <v>642</v>
      </c>
      <c r="M245" s="715" t="s">
        <v>642</v>
      </c>
      <c r="N245" s="715" t="s">
        <v>642</v>
      </c>
      <c r="O245" s="715" t="s">
        <v>642</v>
      </c>
      <c r="P245" s="715" t="s">
        <v>642</v>
      </c>
      <c r="Q245" s="715" t="s">
        <v>642</v>
      </c>
      <c r="R245" s="715" t="s">
        <v>642</v>
      </c>
      <c r="S245" s="715" t="s">
        <v>642</v>
      </c>
      <c r="T245" s="715" t="s">
        <v>642</v>
      </c>
      <c r="U245" s="715" t="s">
        <v>642</v>
      </c>
    </row>
    <row r="246" spans="1:21" x14ac:dyDescent="0.3">
      <c r="A246" s="735" t="s">
        <v>1122</v>
      </c>
      <c r="B246" s="716">
        <v>15102551</v>
      </c>
      <c r="C246" s="716">
        <v>15488192</v>
      </c>
      <c r="D246" s="716">
        <v>14444893</v>
      </c>
      <c r="E246" s="716">
        <v>14602562</v>
      </c>
      <c r="F246" s="716">
        <v>15746972</v>
      </c>
      <c r="G246" s="716">
        <v>708145</v>
      </c>
      <c r="H246" s="716">
        <v>18795283</v>
      </c>
      <c r="I246" s="716">
        <v>21507990</v>
      </c>
      <c r="J246" s="716">
        <v>26365177</v>
      </c>
      <c r="K246" s="716">
        <v>29057604</v>
      </c>
      <c r="L246" s="716">
        <v>31948136</v>
      </c>
      <c r="M246" s="716">
        <v>33689632</v>
      </c>
      <c r="N246" s="716">
        <v>33730696</v>
      </c>
      <c r="O246" s="716">
        <v>30998770</v>
      </c>
      <c r="P246" s="716">
        <v>32031858</v>
      </c>
      <c r="Q246" s="716">
        <v>32330843</v>
      </c>
      <c r="R246" s="716">
        <v>31596306</v>
      </c>
      <c r="S246" s="715" t="s">
        <v>642</v>
      </c>
      <c r="T246" s="715" t="s">
        <v>642</v>
      </c>
      <c r="U246" s="715" t="s">
        <v>642</v>
      </c>
    </row>
    <row r="247" spans="1:21" x14ac:dyDescent="0.3">
      <c r="A247" s="735" t="s">
        <v>963</v>
      </c>
      <c r="B247" s="715">
        <v>46.55</v>
      </c>
      <c r="C247" s="715">
        <v>48.34</v>
      </c>
      <c r="D247" s="715">
        <v>47.17</v>
      </c>
      <c r="E247" s="715">
        <v>43.47</v>
      </c>
      <c r="F247" s="715">
        <v>41.66</v>
      </c>
      <c r="G247" s="715">
        <v>1.71</v>
      </c>
      <c r="H247" s="715">
        <v>39.49</v>
      </c>
      <c r="I247" s="715">
        <v>41.29</v>
      </c>
      <c r="J247" s="715">
        <v>46</v>
      </c>
      <c r="K247" s="715">
        <v>55.68</v>
      </c>
      <c r="L247" s="715">
        <v>58.71</v>
      </c>
      <c r="M247" s="715">
        <v>60.7</v>
      </c>
      <c r="N247" s="715">
        <v>61.04</v>
      </c>
      <c r="O247" s="715">
        <v>60.05</v>
      </c>
      <c r="P247" s="715">
        <v>60.04</v>
      </c>
      <c r="Q247" s="715">
        <v>58.18</v>
      </c>
      <c r="R247" s="715">
        <v>59.22</v>
      </c>
      <c r="S247" s="715" t="s">
        <v>642</v>
      </c>
      <c r="T247" s="715" t="s">
        <v>642</v>
      </c>
      <c r="U247" s="715" t="s">
        <v>642</v>
      </c>
    </row>
    <row r="248" spans="1:21" x14ac:dyDescent="0.3">
      <c r="A248" s="735" t="s">
        <v>1124</v>
      </c>
      <c r="B248" s="716">
        <v>1765866</v>
      </c>
      <c r="C248" s="716">
        <v>1422775</v>
      </c>
      <c r="D248" s="716">
        <v>1220336</v>
      </c>
      <c r="E248" s="716">
        <v>1819034</v>
      </c>
      <c r="F248" s="716">
        <v>1889966</v>
      </c>
      <c r="G248" s="716">
        <v>137618</v>
      </c>
      <c r="H248" s="716">
        <v>2254883</v>
      </c>
      <c r="I248" s="716">
        <v>2469865</v>
      </c>
      <c r="J248" s="716">
        <v>2553725</v>
      </c>
      <c r="K248" s="716">
        <v>2166138</v>
      </c>
      <c r="L248" s="716">
        <v>1701495</v>
      </c>
      <c r="M248" s="716">
        <v>1649950</v>
      </c>
      <c r="N248" s="716">
        <v>1921536</v>
      </c>
      <c r="O248" s="716">
        <v>1152264</v>
      </c>
      <c r="P248" s="716">
        <v>1436212</v>
      </c>
      <c r="Q248" s="716">
        <v>1394102</v>
      </c>
      <c r="R248" s="716">
        <v>1512799</v>
      </c>
      <c r="S248" s="715" t="s">
        <v>642</v>
      </c>
      <c r="T248" s="715" t="s">
        <v>642</v>
      </c>
      <c r="U248" s="715" t="s">
        <v>642</v>
      </c>
    </row>
    <row r="249" spans="1:21" x14ac:dyDescent="0.3">
      <c r="A249" s="735" t="s">
        <v>963</v>
      </c>
      <c r="B249" s="715">
        <v>5.44</v>
      </c>
      <c r="C249" s="715">
        <v>4.4400000000000004</v>
      </c>
      <c r="D249" s="715">
        <v>3.99</v>
      </c>
      <c r="E249" s="715">
        <v>5.42</v>
      </c>
      <c r="F249" s="715">
        <v>5</v>
      </c>
      <c r="G249" s="715">
        <v>0.33</v>
      </c>
      <c r="H249" s="715">
        <v>4.74</v>
      </c>
      <c r="I249" s="715">
        <v>4.74</v>
      </c>
      <c r="J249" s="715">
        <v>4.46</v>
      </c>
      <c r="K249" s="715">
        <v>4.1500000000000004</v>
      </c>
      <c r="L249" s="715">
        <v>3.13</v>
      </c>
      <c r="M249" s="715">
        <v>2.97</v>
      </c>
      <c r="N249" s="715">
        <v>3.48</v>
      </c>
      <c r="O249" s="715">
        <v>2.23</v>
      </c>
      <c r="P249" s="715">
        <v>2.69</v>
      </c>
      <c r="Q249" s="715">
        <v>2.5099999999999998</v>
      </c>
      <c r="R249" s="715">
        <v>2.84</v>
      </c>
      <c r="S249" s="715" t="s">
        <v>642</v>
      </c>
      <c r="T249" s="715" t="s">
        <v>642</v>
      </c>
      <c r="U249" s="715" t="s">
        <v>642</v>
      </c>
    </row>
    <row r="250" spans="1:21" x14ac:dyDescent="0.3">
      <c r="A250" s="735" t="s">
        <v>1125</v>
      </c>
      <c r="B250" s="716">
        <v>1320984</v>
      </c>
      <c r="C250" s="716">
        <v>1144701</v>
      </c>
      <c r="D250" s="716">
        <v>1304356</v>
      </c>
      <c r="E250" s="716">
        <v>1401752</v>
      </c>
      <c r="F250" s="716">
        <v>1700532</v>
      </c>
      <c r="G250" s="716">
        <v>-5016</v>
      </c>
      <c r="H250" s="716">
        <v>1989657</v>
      </c>
      <c r="I250" s="716">
        <v>2328125</v>
      </c>
      <c r="J250" s="716">
        <v>2773901</v>
      </c>
      <c r="K250" s="716">
        <v>2102609</v>
      </c>
      <c r="L250" s="716">
        <v>2208309</v>
      </c>
      <c r="M250" s="716">
        <v>2164608</v>
      </c>
      <c r="N250" s="716">
        <v>2307916</v>
      </c>
      <c r="O250" s="716">
        <v>1849794</v>
      </c>
      <c r="P250" s="716">
        <v>2020114</v>
      </c>
      <c r="Q250" s="716">
        <v>2152080</v>
      </c>
      <c r="R250" s="716">
        <v>2373121</v>
      </c>
      <c r="S250" s="715" t="s">
        <v>642</v>
      </c>
      <c r="T250" s="715" t="s">
        <v>642</v>
      </c>
      <c r="U250" s="715" t="s">
        <v>642</v>
      </c>
    </row>
    <row r="251" spans="1:21" x14ac:dyDescent="0.3">
      <c r="A251" s="735" t="s">
        <v>963</v>
      </c>
      <c r="B251" s="715">
        <v>4.07</v>
      </c>
      <c r="C251" s="715">
        <v>3.57</v>
      </c>
      <c r="D251" s="715">
        <v>4.26</v>
      </c>
      <c r="E251" s="715">
        <v>4.17</v>
      </c>
      <c r="F251" s="715">
        <v>4.5</v>
      </c>
      <c r="G251" s="715">
        <v>-0.01</v>
      </c>
      <c r="H251" s="715">
        <v>4.18</v>
      </c>
      <c r="I251" s="715">
        <v>4.47</v>
      </c>
      <c r="J251" s="715">
        <v>4.84</v>
      </c>
      <c r="K251" s="715">
        <v>4.03</v>
      </c>
      <c r="L251" s="715">
        <v>4.0599999999999996</v>
      </c>
      <c r="M251" s="715">
        <v>3.9</v>
      </c>
      <c r="N251" s="715">
        <v>4.18</v>
      </c>
      <c r="O251" s="715">
        <v>3.58</v>
      </c>
      <c r="P251" s="715">
        <v>3.79</v>
      </c>
      <c r="Q251" s="715">
        <v>3.87</v>
      </c>
      <c r="R251" s="715">
        <v>4.45</v>
      </c>
      <c r="S251" s="715" t="s">
        <v>642</v>
      </c>
      <c r="T251" s="715" t="s">
        <v>642</v>
      </c>
      <c r="U251" s="715" t="s">
        <v>642</v>
      </c>
    </row>
    <row r="252" spans="1:21" x14ac:dyDescent="0.3">
      <c r="A252" s="735" t="s">
        <v>971</v>
      </c>
      <c r="B252" s="715" t="s">
        <v>642</v>
      </c>
      <c r="C252" s="715" t="s">
        <v>642</v>
      </c>
      <c r="D252" s="715" t="s">
        <v>642</v>
      </c>
      <c r="E252" s="715" t="s">
        <v>642</v>
      </c>
      <c r="F252" s="715" t="s">
        <v>642</v>
      </c>
      <c r="G252" s="715" t="s">
        <v>642</v>
      </c>
      <c r="H252" s="715" t="s">
        <v>642</v>
      </c>
      <c r="I252" s="715" t="s">
        <v>642</v>
      </c>
      <c r="J252" s="715" t="s">
        <v>642</v>
      </c>
      <c r="K252" s="715" t="s">
        <v>642</v>
      </c>
      <c r="L252" s="715" t="s">
        <v>642</v>
      </c>
      <c r="M252" s="715" t="s">
        <v>642</v>
      </c>
      <c r="N252" s="715" t="s">
        <v>642</v>
      </c>
      <c r="O252" s="715" t="s">
        <v>642</v>
      </c>
      <c r="P252" s="715" t="s">
        <v>642</v>
      </c>
      <c r="Q252" s="715" t="s">
        <v>642</v>
      </c>
      <c r="R252" s="715" t="s">
        <v>642</v>
      </c>
      <c r="S252" s="715" t="s">
        <v>642</v>
      </c>
      <c r="T252" s="715" t="s">
        <v>642</v>
      </c>
      <c r="U252" s="715" t="s">
        <v>642</v>
      </c>
    </row>
    <row r="253" spans="1:21" x14ac:dyDescent="0.3">
      <c r="A253" s="735" t="s">
        <v>1130</v>
      </c>
      <c r="B253" s="716">
        <v>13186274</v>
      </c>
      <c r="C253" s="716">
        <v>13906811</v>
      </c>
      <c r="D253" s="716">
        <v>13057544</v>
      </c>
      <c r="E253" s="716">
        <v>12617490</v>
      </c>
      <c r="F253" s="716">
        <v>13689710</v>
      </c>
      <c r="G253" s="716">
        <v>16274418</v>
      </c>
      <c r="H253" s="715" t="s">
        <v>642</v>
      </c>
      <c r="I253" s="715" t="s">
        <v>642</v>
      </c>
      <c r="J253" s="715" t="s">
        <v>642</v>
      </c>
      <c r="K253" s="715" t="s">
        <v>642</v>
      </c>
      <c r="L253" s="715" t="s">
        <v>642</v>
      </c>
      <c r="M253" s="715" t="s">
        <v>642</v>
      </c>
      <c r="N253" s="715" t="s">
        <v>642</v>
      </c>
      <c r="O253" s="715" t="s">
        <v>642</v>
      </c>
      <c r="P253" s="715" t="s">
        <v>642</v>
      </c>
      <c r="Q253" s="715" t="s">
        <v>642</v>
      </c>
      <c r="R253" s="715" t="s">
        <v>642</v>
      </c>
      <c r="S253" s="715" t="s">
        <v>642</v>
      </c>
      <c r="T253" s="715" t="s">
        <v>642</v>
      </c>
      <c r="U253" s="715" t="s">
        <v>642</v>
      </c>
    </row>
    <row r="254" spans="1:21" x14ac:dyDescent="0.3">
      <c r="A254" s="735" t="s">
        <v>226</v>
      </c>
      <c r="B254" s="715" t="s">
        <v>642</v>
      </c>
      <c r="C254" s="715" t="s">
        <v>642</v>
      </c>
      <c r="D254" s="715" t="s">
        <v>642</v>
      </c>
      <c r="E254" s="715" t="s">
        <v>642</v>
      </c>
      <c r="F254" s="715" t="s">
        <v>642</v>
      </c>
      <c r="G254" s="715" t="s">
        <v>642</v>
      </c>
      <c r="H254" s="715" t="s">
        <v>642</v>
      </c>
      <c r="I254" s="715" t="s">
        <v>642</v>
      </c>
      <c r="J254" s="715" t="s">
        <v>642</v>
      </c>
      <c r="K254" s="715" t="s">
        <v>642</v>
      </c>
      <c r="L254" s="715" t="s">
        <v>642</v>
      </c>
      <c r="M254" s="715" t="s">
        <v>642</v>
      </c>
      <c r="N254" s="715" t="s">
        <v>642</v>
      </c>
      <c r="O254" s="715" t="s">
        <v>642</v>
      </c>
      <c r="P254" s="715" t="s">
        <v>642</v>
      </c>
      <c r="Q254" s="715" t="s">
        <v>642</v>
      </c>
      <c r="R254" s="715" t="s">
        <v>642</v>
      </c>
      <c r="S254" s="715" t="s">
        <v>642</v>
      </c>
      <c r="T254" s="715" t="s">
        <v>642</v>
      </c>
      <c r="U254" s="715" t="s">
        <v>642</v>
      </c>
    </row>
    <row r="255" spans="1:21" x14ac:dyDescent="0.3">
      <c r="A255" s="735" t="s">
        <v>1163</v>
      </c>
      <c r="B255" s="716">
        <v>375788742</v>
      </c>
      <c r="C255" s="716">
        <v>378235718</v>
      </c>
      <c r="D255" s="716">
        <v>392826274</v>
      </c>
      <c r="E255" s="716">
        <v>384777669</v>
      </c>
      <c r="F255" s="716">
        <v>410420718</v>
      </c>
      <c r="G255" s="716">
        <v>426621158</v>
      </c>
      <c r="H255" s="716">
        <v>439326959</v>
      </c>
      <c r="I255" s="716">
        <v>448040650</v>
      </c>
      <c r="J255" s="716">
        <v>470278409</v>
      </c>
      <c r="K255" s="716">
        <v>448424507</v>
      </c>
      <c r="L255" s="716">
        <v>454091777</v>
      </c>
      <c r="M255" s="716">
        <v>448000552</v>
      </c>
      <c r="N255" s="716">
        <v>454466447</v>
      </c>
      <c r="O255" s="716">
        <v>455905980</v>
      </c>
      <c r="P255" s="716">
        <v>470899812</v>
      </c>
      <c r="Q255" s="716">
        <v>485757698</v>
      </c>
      <c r="R255" s="716">
        <v>491307317</v>
      </c>
      <c r="S255" s="716">
        <v>514531948</v>
      </c>
      <c r="T255" s="716">
        <v>508829818.73000002</v>
      </c>
      <c r="U255" s="716">
        <v>511406448.81999999</v>
      </c>
    </row>
    <row r="256" spans="1:21" x14ac:dyDescent="0.3">
      <c r="A256" s="735" t="s">
        <v>1115</v>
      </c>
      <c r="B256" s="716">
        <v>248192100</v>
      </c>
      <c r="C256" s="716">
        <v>228517900</v>
      </c>
      <c r="D256" s="716">
        <v>243479200</v>
      </c>
      <c r="E256" s="716">
        <v>220504600</v>
      </c>
      <c r="F256" s="716">
        <v>253088600</v>
      </c>
      <c r="G256" s="716">
        <v>245796100</v>
      </c>
      <c r="H256" s="716">
        <v>261759600</v>
      </c>
      <c r="I256" s="716">
        <v>255576000</v>
      </c>
      <c r="J256" s="716">
        <v>272707400</v>
      </c>
      <c r="K256" s="716">
        <v>227966900</v>
      </c>
      <c r="L256" s="716">
        <v>244114900</v>
      </c>
      <c r="M256" s="716">
        <v>232338500</v>
      </c>
      <c r="N256" s="716">
        <v>238190600</v>
      </c>
      <c r="O256" s="716">
        <v>234253400</v>
      </c>
      <c r="P256" s="716">
        <v>251043100</v>
      </c>
      <c r="Q256" s="716">
        <v>252095500</v>
      </c>
      <c r="R256" s="716">
        <v>247739700</v>
      </c>
      <c r="S256" s="715" t="s">
        <v>642</v>
      </c>
      <c r="T256" s="715" t="s">
        <v>642</v>
      </c>
      <c r="U256" s="715" t="s">
        <v>642</v>
      </c>
    </row>
    <row r="257" spans="1:21" x14ac:dyDescent="0.3">
      <c r="A257" s="735" t="s">
        <v>963</v>
      </c>
      <c r="B257" s="715">
        <v>66.05</v>
      </c>
      <c r="C257" s="715">
        <v>60.42</v>
      </c>
      <c r="D257" s="715">
        <v>61.98</v>
      </c>
      <c r="E257" s="715">
        <v>57.31</v>
      </c>
      <c r="F257" s="715">
        <v>61.67</v>
      </c>
      <c r="G257" s="715">
        <v>57.61</v>
      </c>
      <c r="H257" s="715">
        <v>59.58</v>
      </c>
      <c r="I257" s="715">
        <v>57.04</v>
      </c>
      <c r="J257" s="715">
        <v>57.99</v>
      </c>
      <c r="K257" s="715">
        <v>50.84</v>
      </c>
      <c r="L257" s="715">
        <v>53.76</v>
      </c>
      <c r="M257" s="715">
        <v>51.86</v>
      </c>
      <c r="N257" s="715">
        <v>52.41</v>
      </c>
      <c r="O257" s="715">
        <v>51.38</v>
      </c>
      <c r="P257" s="715">
        <v>53.31</v>
      </c>
      <c r="Q257" s="715">
        <v>51.9</v>
      </c>
      <c r="R257" s="715">
        <v>50.42</v>
      </c>
      <c r="S257" s="715" t="s">
        <v>642</v>
      </c>
      <c r="T257" s="715" t="s">
        <v>642</v>
      </c>
      <c r="U257" s="715" t="s">
        <v>642</v>
      </c>
    </row>
    <row r="258" spans="1:21" x14ac:dyDescent="0.3">
      <c r="A258" s="735" t="s">
        <v>1116</v>
      </c>
      <c r="B258" s="716">
        <v>174258200</v>
      </c>
      <c r="C258" s="716">
        <v>168269200</v>
      </c>
      <c r="D258" s="716">
        <v>168841700</v>
      </c>
      <c r="E258" s="716">
        <v>148127500</v>
      </c>
      <c r="F258" s="716">
        <v>165472800</v>
      </c>
      <c r="G258" s="716">
        <v>159084300</v>
      </c>
      <c r="H258" s="715" t="s">
        <v>642</v>
      </c>
      <c r="I258" s="715" t="s">
        <v>642</v>
      </c>
      <c r="J258" s="715" t="s">
        <v>642</v>
      </c>
      <c r="K258" s="715" t="s">
        <v>642</v>
      </c>
      <c r="L258" s="715" t="s">
        <v>642</v>
      </c>
      <c r="M258" s="715" t="s">
        <v>642</v>
      </c>
      <c r="N258" s="715" t="s">
        <v>642</v>
      </c>
      <c r="O258" s="715" t="s">
        <v>642</v>
      </c>
      <c r="P258" s="715" t="s">
        <v>642</v>
      </c>
      <c r="Q258" s="715" t="s">
        <v>642</v>
      </c>
      <c r="R258" s="715" t="s">
        <v>642</v>
      </c>
      <c r="S258" s="715" t="s">
        <v>642</v>
      </c>
      <c r="T258" s="715" t="s">
        <v>642</v>
      </c>
      <c r="U258" s="715" t="s">
        <v>642</v>
      </c>
    </row>
    <row r="259" spans="1:21" x14ac:dyDescent="0.3">
      <c r="A259" s="735" t="s">
        <v>1117</v>
      </c>
      <c r="B259" s="715">
        <v>46.37</v>
      </c>
      <c r="C259" s="715">
        <v>44.49</v>
      </c>
      <c r="D259" s="715">
        <v>42.98</v>
      </c>
      <c r="E259" s="715">
        <v>38.5</v>
      </c>
      <c r="F259" s="715">
        <v>40.32</v>
      </c>
      <c r="G259" s="715">
        <v>37.29</v>
      </c>
      <c r="H259" s="715" t="s">
        <v>642</v>
      </c>
      <c r="I259" s="715" t="s">
        <v>642</v>
      </c>
      <c r="J259" s="715" t="s">
        <v>642</v>
      </c>
      <c r="K259" s="715" t="s">
        <v>642</v>
      </c>
      <c r="L259" s="715" t="s">
        <v>642</v>
      </c>
      <c r="M259" s="715" t="s">
        <v>642</v>
      </c>
      <c r="N259" s="715" t="s">
        <v>642</v>
      </c>
      <c r="O259" s="715" t="s">
        <v>642</v>
      </c>
      <c r="P259" s="715" t="s">
        <v>642</v>
      </c>
      <c r="Q259" s="715" t="s">
        <v>642</v>
      </c>
      <c r="R259" s="715" t="s">
        <v>642</v>
      </c>
      <c r="S259" s="715" t="s">
        <v>642</v>
      </c>
      <c r="T259" s="715" t="s">
        <v>642</v>
      </c>
      <c r="U259" s="715" t="s">
        <v>642</v>
      </c>
    </row>
    <row r="260" spans="1:21" x14ac:dyDescent="0.3">
      <c r="A260" s="735" t="s">
        <v>1120</v>
      </c>
      <c r="B260" s="716">
        <v>73933900</v>
      </c>
      <c r="C260" s="716">
        <v>60248700</v>
      </c>
      <c r="D260" s="716">
        <v>74637500</v>
      </c>
      <c r="E260" s="716">
        <v>72377100</v>
      </c>
      <c r="F260" s="716">
        <v>87615800</v>
      </c>
      <c r="G260" s="716">
        <v>86711800</v>
      </c>
      <c r="H260" s="715" t="s">
        <v>642</v>
      </c>
      <c r="I260" s="715" t="s">
        <v>642</v>
      </c>
      <c r="J260" s="715" t="s">
        <v>642</v>
      </c>
      <c r="K260" s="715" t="s">
        <v>642</v>
      </c>
      <c r="L260" s="715" t="s">
        <v>642</v>
      </c>
      <c r="M260" s="715" t="s">
        <v>642</v>
      </c>
      <c r="N260" s="715" t="s">
        <v>642</v>
      </c>
      <c r="O260" s="715" t="s">
        <v>642</v>
      </c>
      <c r="P260" s="715" t="s">
        <v>642</v>
      </c>
      <c r="Q260" s="715" t="s">
        <v>642</v>
      </c>
      <c r="R260" s="715" t="s">
        <v>642</v>
      </c>
      <c r="S260" s="715" t="s">
        <v>642</v>
      </c>
      <c r="T260" s="715" t="s">
        <v>642</v>
      </c>
      <c r="U260" s="715" t="s">
        <v>642</v>
      </c>
    </row>
    <row r="261" spans="1:21" x14ac:dyDescent="0.3">
      <c r="A261" s="735" t="s">
        <v>1117</v>
      </c>
      <c r="B261" s="715">
        <v>19.670000000000002</v>
      </c>
      <c r="C261" s="715">
        <v>15.93</v>
      </c>
      <c r="D261" s="715">
        <v>19</v>
      </c>
      <c r="E261" s="715">
        <v>18.809999999999999</v>
      </c>
      <c r="F261" s="715">
        <v>21.35</v>
      </c>
      <c r="G261" s="715">
        <v>20.329999999999998</v>
      </c>
      <c r="H261" s="715" t="s">
        <v>642</v>
      </c>
      <c r="I261" s="715" t="s">
        <v>642</v>
      </c>
      <c r="J261" s="715" t="s">
        <v>642</v>
      </c>
      <c r="K261" s="715" t="s">
        <v>642</v>
      </c>
      <c r="L261" s="715" t="s">
        <v>642</v>
      </c>
      <c r="M261" s="715" t="s">
        <v>642</v>
      </c>
      <c r="N261" s="715" t="s">
        <v>642</v>
      </c>
      <c r="O261" s="715" t="s">
        <v>642</v>
      </c>
      <c r="P261" s="715" t="s">
        <v>642</v>
      </c>
      <c r="Q261" s="715" t="s">
        <v>642</v>
      </c>
      <c r="R261" s="715" t="s">
        <v>642</v>
      </c>
      <c r="S261" s="715" t="s">
        <v>642</v>
      </c>
      <c r="T261" s="715" t="s">
        <v>642</v>
      </c>
      <c r="U261" s="715" t="s">
        <v>642</v>
      </c>
    </row>
    <row r="262" spans="1:21" x14ac:dyDescent="0.3">
      <c r="A262" s="735" t="s">
        <v>1122</v>
      </c>
      <c r="B262" s="716">
        <v>265002800</v>
      </c>
      <c r="C262" s="716">
        <v>274127000</v>
      </c>
      <c r="D262" s="716">
        <v>280485700</v>
      </c>
      <c r="E262" s="716">
        <v>287024000</v>
      </c>
      <c r="F262" s="716">
        <v>295152900</v>
      </c>
      <c r="G262" s="716">
        <v>315827000</v>
      </c>
      <c r="H262" s="716">
        <v>230150200</v>
      </c>
      <c r="I262" s="716">
        <v>258210400</v>
      </c>
      <c r="J262" s="716">
        <v>260425400</v>
      </c>
      <c r="K262" s="716">
        <v>262055800</v>
      </c>
      <c r="L262" s="716">
        <v>265096500</v>
      </c>
      <c r="M262" s="716">
        <v>274532900</v>
      </c>
      <c r="N262" s="716">
        <v>280941200</v>
      </c>
      <c r="O262" s="716">
        <v>287141100</v>
      </c>
      <c r="P262" s="716">
        <v>303218100</v>
      </c>
      <c r="Q262" s="716">
        <v>319781400</v>
      </c>
      <c r="R262" s="716">
        <v>327216900</v>
      </c>
      <c r="S262" s="715" t="s">
        <v>642</v>
      </c>
      <c r="T262" s="715" t="s">
        <v>642</v>
      </c>
      <c r="U262" s="715" t="s">
        <v>642</v>
      </c>
    </row>
    <row r="263" spans="1:21" x14ac:dyDescent="0.3">
      <c r="A263" s="735" t="s">
        <v>963</v>
      </c>
      <c r="B263" s="715">
        <v>70.52</v>
      </c>
      <c r="C263" s="715">
        <v>72.48</v>
      </c>
      <c r="D263" s="715">
        <v>71.400000000000006</v>
      </c>
      <c r="E263" s="715">
        <v>74.59</v>
      </c>
      <c r="F263" s="715">
        <v>71.91</v>
      </c>
      <c r="G263" s="715">
        <v>74.03</v>
      </c>
      <c r="H263" s="715">
        <v>52.39</v>
      </c>
      <c r="I263" s="715">
        <v>57.63</v>
      </c>
      <c r="J263" s="715">
        <v>55.38</v>
      </c>
      <c r="K263" s="715">
        <v>58.44</v>
      </c>
      <c r="L263" s="715">
        <v>58.38</v>
      </c>
      <c r="M263" s="715">
        <v>61.28</v>
      </c>
      <c r="N263" s="715">
        <v>61.82</v>
      </c>
      <c r="O263" s="715">
        <v>62.98</v>
      </c>
      <c r="P263" s="715">
        <v>64.39</v>
      </c>
      <c r="Q263" s="715">
        <v>65.83</v>
      </c>
      <c r="R263" s="715">
        <v>66.599999999999994</v>
      </c>
      <c r="S263" s="715" t="s">
        <v>642</v>
      </c>
      <c r="T263" s="715" t="s">
        <v>642</v>
      </c>
      <c r="U263" s="715" t="s">
        <v>642</v>
      </c>
    </row>
    <row r="264" spans="1:21" x14ac:dyDescent="0.3">
      <c r="A264" s="735" t="s">
        <v>1124</v>
      </c>
      <c r="B264" s="716">
        <v>65237100</v>
      </c>
      <c r="C264" s="716">
        <v>66192900</v>
      </c>
      <c r="D264" s="716">
        <v>63341400</v>
      </c>
      <c r="E264" s="716">
        <v>63117000</v>
      </c>
      <c r="F264" s="716">
        <v>67800000</v>
      </c>
      <c r="G264" s="716">
        <v>66883600</v>
      </c>
      <c r="H264" s="716">
        <v>64999200</v>
      </c>
      <c r="I264" s="716">
        <v>68504700</v>
      </c>
      <c r="J264" s="716">
        <v>76957600</v>
      </c>
      <c r="K264" s="716">
        <v>73779800</v>
      </c>
      <c r="L264" s="716">
        <v>71668500</v>
      </c>
      <c r="M264" s="716">
        <v>73444600</v>
      </c>
      <c r="N264" s="716">
        <v>81581200</v>
      </c>
      <c r="O264" s="716">
        <v>79275200</v>
      </c>
      <c r="P264" s="716">
        <v>72083700</v>
      </c>
      <c r="Q264" s="716">
        <v>77473400</v>
      </c>
      <c r="R264" s="716">
        <v>78313400</v>
      </c>
      <c r="S264" s="715" t="s">
        <v>642</v>
      </c>
      <c r="T264" s="715" t="s">
        <v>642</v>
      </c>
      <c r="U264" s="715" t="s">
        <v>642</v>
      </c>
    </row>
    <row r="265" spans="1:21" x14ac:dyDescent="0.3">
      <c r="A265" s="735" t="s">
        <v>963</v>
      </c>
      <c r="B265" s="715">
        <v>17.36</v>
      </c>
      <c r="C265" s="715">
        <v>17.5</v>
      </c>
      <c r="D265" s="715">
        <v>16.12</v>
      </c>
      <c r="E265" s="715">
        <v>16.399999999999999</v>
      </c>
      <c r="F265" s="715">
        <v>16.52</v>
      </c>
      <c r="G265" s="715">
        <v>15.68</v>
      </c>
      <c r="H265" s="715">
        <v>14.8</v>
      </c>
      <c r="I265" s="715">
        <v>15.29</v>
      </c>
      <c r="J265" s="715">
        <v>16.36</v>
      </c>
      <c r="K265" s="715">
        <v>16.45</v>
      </c>
      <c r="L265" s="715">
        <v>15.78</v>
      </c>
      <c r="M265" s="715">
        <v>16.39</v>
      </c>
      <c r="N265" s="715">
        <v>17.95</v>
      </c>
      <c r="O265" s="715">
        <v>17.39</v>
      </c>
      <c r="P265" s="715">
        <v>15.31</v>
      </c>
      <c r="Q265" s="715">
        <v>15.95</v>
      </c>
      <c r="R265" s="715">
        <v>15.94</v>
      </c>
      <c r="S265" s="715" t="s">
        <v>642</v>
      </c>
      <c r="T265" s="715" t="s">
        <v>642</v>
      </c>
      <c r="U265" s="715" t="s">
        <v>642</v>
      </c>
    </row>
    <row r="266" spans="1:21" x14ac:dyDescent="0.3">
      <c r="A266" s="735" t="s">
        <v>1125</v>
      </c>
      <c r="B266" s="716">
        <v>15234200</v>
      </c>
      <c r="C266" s="716">
        <v>14702000</v>
      </c>
      <c r="D266" s="716">
        <v>14892300</v>
      </c>
      <c r="E266" s="716">
        <v>15018400</v>
      </c>
      <c r="F266" s="716">
        <v>15655200</v>
      </c>
      <c r="G266" s="716">
        <v>15887400</v>
      </c>
      <c r="H266" s="716">
        <v>15632700</v>
      </c>
      <c r="I266" s="716">
        <v>16547200</v>
      </c>
      <c r="J266" s="716">
        <v>18683700</v>
      </c>
      <c r="K266" s="716">
        <v>17102300</v>
      </c>
      <c r="L266" s="716">
        <v>17273500</v>
      </c>
      <c r="M266" s="716">
        <v>17628100</v>
      </c>
      <c r="N266" s="716">
        <v>18348800</v>
      </c>
      <c r="O266" s="716">
        <v>17956600</v>
      </c>
      <c r="P266" s="716">
        <v>18357100</v>
      </c>
      <c r="Q266" s="716">
        <v>19279400</v>
      </c>
      <c r="R266" s="716">
        <v>19288400</v>
      </c>
      <c r="S266" s="715" t="s">
        <v>642</v>
      </c>
      <c r="T266" s="715" t="s">
        <v>642</v>
      </c>
      <c r="U266" s="715" t="s">
        <v>642</v>
      </c>
    </row>
    <row r="267" spans="1:21" x14ac:dyDescent="0.3">
      <c r="A267" s="735" t="s">
        <v>963</v>
      </c>
      <c r="B267" s="715">
        <v>4.05</v>
      </c>
      <c r="C267" s="715">
        <v>3.89</v>
      </c>
      <c r="D267" s="715">
        <v>3.79</v>
      </c>
      <c r="E267" s="715">
        <v>3.9</v>
      </c>
      <c r="F267" s="715">
        <v>3.81</v>
      </c>
      <c r="G267" s="715">
        <v>3.72</v>
      </c>
      <c r="H267" s="715">
        <v>3.56</v>
      </c>
      <c r="I267" s="715">
        <v>3.69</v>
      </c>
      <c r="J267" s="715">
        <v>3.97</v>
      </c>
      <c r="K267" s="715">
        <v>3.81</v>
      </c>
      <c r="L267" s="715">
        <v>3.8</v>
      </c>
      <c r="M267" s="715">
        <v>3.93</v>
      </c>
      <c r="N267" s="715">
        <v>4.04</v>
      </c>
      <c r="O267" s="715">
        <v>3.94</v>
      </c>
      <c r="P267" s="715">
        <v>3.9</v>
      </c>
      <c r="Q267" s="715">
        <v>3.97</v>
      </c>
      <c r="R267" s="715">
        <v>3.93</v>
      </c>
      <c r="S267" s="715" t="s">
        <v>642</v>
      </c>
      <c r="T267" s="715" t="s">
        <v>642</v>
      </c>
      <c r="U267" s="715" t="s">
        <v>642</v>
      </c>
    </row>
    <row r="268" spans="1:21" x14ac:dyDescent="0.3">
      <c r="A268" s="735" t="s">
        <v>971</v>
      </c>
      <c r="B268" s="715" t="s">
        <v>642</v>
      </c>
      <c r="C268" s="715" t="s">
        <v>642</v>
      </c>
      <c r="D268" s="715" t="s">
        <v>642</v>
      </c>
      <c r="E268" s="715" t="s">
        <v>642</v>
      </c>
      <c r="F268" s="715" t="s">
        <v>642</v>
      </c>
      <c r="G268" s="715" t="s">
        <v>642</v>
      </c>
      <c r="H268" s="715" t="s">
        <v>642</v>
      </c>
      <c r="I268" s="715" t="s">
        <v>642</v>
      </c>
      <c r="J268" s="715" t="s">
        <v>642</v>
      </c>
      <c r="K268" s="715" t="s">
        <v>642</v>
      </c>
      <c r="L268" s="715" t="s">
        <v>642</v>
      </c>
      <c r="M268" s="715" t="s">
        <v>642</v>
      </c>
      <c r="N268" s="715" t="s">
        <v>642</v>
      </c>
      <c r="O268" s="715" t="s">
        <v>642</v>
      </c>
      <c r="P268" s="715" t="s">
        <v>642</v>
      </c>
      <c r="Q268" s="715" t="s">
        <v>642</v>
      </c>
      <c r="R268" s="715" t="s">
        <v>642</v>
      </c>
      <c r="S268" s="715" t="s">
        <v>642</v>
      </c>
      <c r="T268" s="715" t="s">
        <v>642</v>
      </c>
      <c r="U268" s="715" t="s">
        <v>642</v>
      </c>
    </row>
    <row r="269" spans="1:21" x14ac:dyDescent="0.3">
      <c r="A269" s="735" t="s">
        <v>1126</v>
      </c>
      <c r="B269" s="715" t="s">
        <v>642</v>
      </c>
      <c r="C269" s="715" t="s">
        <v>642</v>
      </c>
      <c r="D269" s="715" t="s">
        <v>642</v>
      </c>
      <c r="E269" s="715" t="s">
        <v>642</v>
      </c>
      <c r="F269" s="715" t="s">
        <v>642</v>
      </c>
      <c r="G269" s="715" t="s">
        <v>642</v>
      </c>
      <c r="H269" s="715" t="s">
        <v>642</v>
      </c>
      <c r="I269" s="715" t="s">
        <v>642</v>
      </c>
      <c r="J269" s="715" t="s">
        <v>642</v>
      </c>
      <c r="K269" s="715" t="s">
        <v>642</v>
      </c>
      <c r="L269" s="715" t="s">
        <v>642</v>
      </c>
      <c r="M269" s="715" t="s">
        <v>642</v>
      </c>
      <c r="N269" s="715" t="s">
        <v>642</v>
      </c>
      <c r="O269" s="715" t="s">
        <v>642</v>
      </c>
      <c r="P269" s="715" t="s">
        <v>642</v>
      </c>
      <c r="Q269" s="715" t="s">
        <v>642</v>
      </c>
      <c r="R269" s="715" t="s">
        <v>642</v>
      </c>
      <c r="S269" s="715" t="s">
        <v>642</v>
      </c>
      <c r="T269" s="715" t="s">
        <v>642</v>
      </c>
      <c r="U269" s="715" t="s">
        <v>642</v>
      </c>
    </row>
    <row r="270" spans="1:21" x14ac:dyDescent="0.3">
      <c r="A270" s="735" t="s">
        <v>1127</v>
      </c>
      <c r="B270" s="715" t="s">
        <v>642</v>
      </c>
      <c r="C270" s="715" t="s">
        <v>642</v>
      </c>
      <c r="D270" s="715" t="s">
        <v>642</v>
      </c>
      <c r="E270" s="715" t="s">
        <v>642</v>
      </c>
      <c r="F270" s="715" t="s">
        <v>642</v>
      </c>
      <c r="G270" s="715" t="s">
        <v>642</v>
      </c>
      <c r="H270" s="715" t="s">
        <v>642</v>
      </c>
      <c r="I270" s="715" t="s">
        <v>642</v>
      </c>
      <c r="J270" s="715" t="s">
        <v>642</v>
      </c>
      <c r="K270" s="715" t="s">
        <v>642</v>
      </c>
      <c r="L270" s="715" t="s">
        <v>642</v>
      </c>
      <c r="M270" s="715" t="s">
        <v>642</v>
      </c>
      <c r="N270" s="715" t="s">
        <v>642</v>
      </c>
      <c r="O270" s="715" t="s">
        <v>642</v>
      </c>
      <c r="P270" s="715" t="s">
        <v>642</v>
      </c>
      <c r="Q270" s="715" t="s">
        <v>642</v>
      </c>
      <c r="R270" s="715" t="s">
        <v>642</v>
      </c>
      <c r="S270" s="715" t="s">
        <v>642</v>
      </c>
      <c r="T270" s="715" t="s">
        <v>642</v>
      </c>
      <c r="U270" s="715" t="s">
        <v>642</v>
      </c>
    </row>
    <row r="271" spans="1:21" x14ac:dyDescent="0.3">
      <c r="A271" s="735" t="s">
        <v>1129</v>
      </c>
      <c r="B271" s="715" t="s">
        <v>642</v>
      </c>
      <c r="C271" s="715" t="s">
        <v>642</v>
      </c>
      <c r="D271" s="715" t="s">
        <v>642</v>
      </c>
      <c r="E271" s="715" t="s">
        <v>642</v>
      </c>
      <c r="F271" s="715" t="s">
        <v>642</v>
      </c>
      <c r="G271" s="715" t="s">
        <v>642</v>
      </c>
      <c r="H271" s="715" t="s">
        <v>642</v>
      </c>
      <c r="I271" s="715" t="s">
        <v>642</v>
      </c>
      <c r="J271" s="715" t="s">
        <v>642</v>
      </c>
      <c r="K271" s="715" t="s">
        <v>642</v>
      </c>
      <c r="L271" s="715" t="s">
        <v>642</v>
      </c>
      <c r="M271" s="715" t="s">
        <v>642</v>
      </c>
      <c r="N271" s="715" t="s">
        <v>642</v>
      </c>
      <c r="O271" s="715" t="s">
        <v>642</v>
      </c>
      <c r="P271" s="715" t="s">
        <v>642</v>
      </c>
      <c r="Q271" s="715" t="s">
        <v>642</v>
      </c>
      <c r="R271" s="715" t="s">
        <v>642</v>
      </c>
      <c r="S271" s="715" t="s">
        <v>642</v>
      </c>
      <c r="T271" s="715" t="s">
        <v>642</v>
      </c>
      <c r="U271" s="715" t="s">
        <v>642</v>
      </c>
    </row>
    <row r="272" spans="1:21" x14ac:dyDescent="0.3">
      <c r="A272" s="735" t="s">
        <v>1130</v>
      </c>
      <c r="B272" s="716">
        <v>178220100</v>
      </c>
      <c r="C272" s="716">
        <v>186397700</v>
      </c>
      <c r="D272" s="716">
        <v>194574800</v>
      </c>
      <c r="E272" s="716">
        <v>201085500</v>
      </c>
      <c r="F272" s="716">
        <v>205249300</v>
      </c>
      <c r="G272" s="716">
        <v>223178500</v>
      </c>
      <c r="H272" s="715" t="s">
        <v>642</v>
      </c>
      <c r="I272" s="715" t="s">
        <v>642</v>
      </c>
      <c r="J272" s="715" t="s">
        <v>642</v>
      </c>
      <c r="K272" s="715" t="s">
        <v>642</v>
      </c>
      <c r="L272" s="715" t="s">
        <v>642</v>
      </c>
      <c r="M272" s="715" t="s">
        <v>642</v>
      </c>
      <c r="N272" s="715" t="s">
        <v>642</v>
      </c>
      <c r="O272" s="715" t="s">
        <v>642</v>
      </c>
      <c r="P272" s="715" t="s">
        <v>642</v>
      </c>
      <c r="Q272" s="715" t="s">
        <v>642</v>
      </c>
      <c r="R272" s="715" t="s">
        <v>642</v>
      </c>
      <c r="S272" s="715" t="s">
        <v>642</v>
      </c>
      <c r="T272" s="715" t="s">
        <v>642</v>
      </c>
      <c r="U272" s="715" t="s">
        <v>642</v>
      </c>
    </row>
    <row r="273" spans="1:21" x14ac:dyDescent="0.3">
      <c r="A273" s="741" t="s">
        <v>811</v>
      </c>
      <c r="B273" s="723" t="s">
        <v>642</v>
      </c>
      <c r="C273" s="723" t="s">
        <v>642</v>
      </c>
      <c r="D273" s="723" t="s">
        <v>642</v>
      </c>
      <c r="E273" s="723" t="s">
        <v>642</v>
      </c>
      <c r="F273" s="723" t="s">
        <v>642</v>
      </c>
      <c r="G273" s="723" t="s">
        <v>642</v>
      </c>
      <c r="H273" s="723" t="s">
        <v>642</v>
      </c>
      <c r="I273" s="723" t="s">
        <v>642</v>
      </c>
      <c r="J273" s="723" t="s">
        <v>642</v>
      </c>
      <c r="K273" s="723" t="s">
        <v>642</v>
      </c>
      <c r="L273" s="723" t="s">
        <v>642</v>
      </c>
      <c r="M273" s="723" t="s">
        <v>642</v>
      </c>
      <c r="N273" s="723" t="s">
        <v>642</v>
      </c>
      <c r="O273" s="723" t="s">
        <v>642</v>
      </c>
      <c r="P273" s="723" t="s">
        <v>642</v>
      </c>
      <c r="Q273" s="723" t="s">
        <v>642</v>
      </c>
      <c r="R273" s="723" t="s">
        <v>642</v>
      </c>
      <c r="S273" s="723" t="s">
        <v>642</v>
      </c>
      <c r="T273" s="723" t="s">
        <v>642</v>
      </c>
      <c r="U273" s="723" t="s">
        <v>642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50"/>
  <sheetViews>
    <sheetView showGridLines="0" zoomScale="69" workbookViewId="0"/>
  </sheetViews>
  <sheetFormatPr defaultRowHeight="14" x14ac:dyDescent="0.3"/>
  <cols>
    <col min="1" max="1" width="36" bestFit="1" customWidth="1"/>
    <col min="2" max="9" width="12" bestFit="1" customWidth="1"/>
    <col min="10" max="19" width="11.58203125" bestFit="1" customWidth="1"/>
    <col min="20" max="21" width="11.75" bestFit="1" customWidth="1"/>
  </cols>
  <sheetData>
    <row r="1" spans="1:24" ht="60" x14ac:dyDescent="0.4">
      <c r="A1" s="726" t="s">
        <v>1164</v>
      </c>
      <c r="B1" s="703"/>
      <c r="C1" s="703"/>
      <c r="D1" s="703"/>
      <c r="E1" s="703"/>
      <c r="F1" s="703"/>
      <c r="G1" s="703"/>
      <c r="H1" s="702" t="s">
        <v>642</v>
      </c>
      <c r="I1" s="702" t="s">
        <v>642</v>
      </c>
      <c r="J1" s="702" t="s">
        <v>642</v>
      </c>
      <c r="K1" s="702" t="s">
        <v>642</v>
      </c>
      <c r="L1" s="702" t="s">
        <v>642</v>
      </c>
      <c r="M1" s="702" t="s">
        <v>642</v>
      </c>
      <c r="N1" s="702" t="s">
        <v>642</v>
      </c>
      <c r="O1" s="702" t="s">
        <v>642</v>
      </c>
      <c r="P1" s="702" t="s">
        <v>642</v>
      </c>
      <c r="Q1" s="702" t="s">
        <v>642</v>
      </c>
      <c r="R1" s="702" t="s">
        <v>642</v>
      </c>
      <c r="S1" s="702" t="s">
        <v>642</v>
      </c>
      <c r="T1" s="702" t="s">
        <v>642</v>
      </c>
      <c r="U1" s="702" t="s">
        <v>642</v>
      </c>
      <c r="V1" s="702" t="s">
        <v>642</v>
      </c>
      <c r="W1" s="702" t="s">
        <v>642</v>
      </c>
      <c r="X1" s="702" t="s">
        <v>642</v>
      </c>
    </row>
    <row r="2" spans="1:24" ht="39.5" x14ac:dyDescent="0.35">
      <c r="A2" s="788" t="s">
        <v>1165</v>
      </c>
      <c r="B2" s="745"/>
      <c r="C2" s="745"/>
      <c r="D2" s="745"/>
      <c r="E2" s="745"/>
      <c r="F2" s="745"/>
      <c r="G2" s="745"/>
      <c r="H2" s="745"/>
      <c r="I2" s="745"/>
      <c r="J2" s="745"/>
      <c r="K2" s="745"/>
      <c r="L2" s="745"/>
      <c r="M2" s="745"/>
      <c r="N2" s="745"/>
      <c r="O2" s="745"/>
      <c r="P2" s="745"/>
      <c r="Q2" s="745"/>
      <c r="R2" s="745"/>
      <c r="S2" s="745"/>
      <c r="T2" s="745"/>
      <c r="U2" s="745"/>
      <c r="V2" s="745"/>
      <c r="W2" s="745"/>
      <c r="X2" s="743"/>
    </row>
    <row r="3" spans="1:24" x14ac:dyDescent="0.3">
      <c r="A3" s="729" t="s">
        <v>980</v>
      </c>
      <c r="B3" s="706" t="s">
        <v>983</v>
      </c>
      <c r="C3" s="706" t="s">
        <v>984</v>
      </c>
      <c r="D3" s="706" t="s">
        <v>985</v>
      </c>
      <c r="E3" s="706" t="s">
        <v>986</v>
      </c>
      <c r="F3" s="706" t="s">
        <v>987</v>
      </c>
      <c r="G3" s="706" t="s">
        <v>988</v>
      </c>
      <c r="H3" s="706" t="s">
        <v>989</v>
      </c>
      <c r="I3" s="706" t="s">
        <v>990</v>
      </c>
      <c r="J3" s="706" t="s">
        <v>991</v>
      </c>
      <c r="K3" s="706" t="s">
        <v>992</v>
      </c>
      <c r="L3" s="706" t="s">
        <v>993</v>
      </c>
      <c r="M3" s="706" t="s">
        <v>994</v>
      </c>
      <c r="N3" s="706" t="s">
        <v>995</v>
      </c>
      <c r="O3" s="706" t="s">
        <v>996</v>
      </c>
      <c r="P3" s="706" t="s">
        <v>997</v>
      </c>
      <c r="Q3" s="706" t="s">
        <v>998</v>
      </c>
      <c r="R3" s="706" t="s">
        <v>1069</v>
      </c>
      <c r="S3" s="706" t="s">
        <v>1070</v>
      </c>
      <c r="T3" s="706" t="s">
        <v>1071</v>
      </c>
      <c r="U3" s="706" t="s">
        <v>1072</v>
      </c>
    </row>
    <row r="4" spans="1:24" x14ac:dyDescent="0.3">
      <c r="A4" s="731" t="s">
        <v>1001</v>
      </c>
      <c r="B4" s="708">
        <v>44106</v>
      </c>
      <c r="C4" s="708">
        <v>44197</v>
      </c>
      <c r="D4" s="708">
        <v>44288</v>
      </c>
      <c r="E4" s="708">
        <v>44379</v>
      </c>
      <c r="F4" s="708">
        <v>44470</v>
      </c>
      <c r="G4" s="708">
        <v>44561</v>
      </c>
      <c r="H4" s="708">
        <v>44652</v>
      </c>
      <c r="I4" s="708">
        <v>44743</v>
      </c>
      <c r="J4" s="708">
        <v>44834</v>
      </c>
      <c r="K4" s="708">
        <v>44925</v>
      </c>
      <c r="L4" s="708">
        <v>45016</v>
      </c>
      <c r="M4" s="708">
        <v>45107</v>
      </c>
      <c r="N4" s="708">
        <v>45198</v>
      </c>
      <c r="O4" s="708">
        <v>45289</v>
      </c>
      <c r="P4" s="708">
        <v>45380</v>
      </c>
      <c r="Q4" s="708">
        <v>45471</v>
      </c>
      <c r="R4" s="708">
        <v>45562</v>
      </c>
      <c r="S4" s="708">
        <v>45653</v>
      </c>
      <c r="T4" s="708">
        <v>45743</v>
      </c>
      <c r="U4" s="708">
        <v>45835</v>
      </c>
    </row>
    <row r="5" spans="1:24" x14ac:dyDescent="0.3">
      <c r="A5" s="735" t="s">
        <v>961</v>
      </c>
      <c r="B5" s="716">
        <v>4654125.17</v>
      </c>
      <c r="C5" s="716">
        <v>4399811.72</v>
      </c>
      <c r="D5" s="716">
        <v>4615094.63</v>
      </c>
      <c r="E5" s="716">
        <v>5517868.5599999996</v>
      </c>
      <c r="F5" s="716">
        <v>5864740.1900000004</v>
      </c>
      <c r="G5" s="716">
        <v>5721480.1299999999</v>
      </c>
      <c r="H5" s="716">
        <v>5282336.16</v>
      </c>
      <c r="I5" s="716">
        <v>5717891.5199999996</v>
      </c>
      <c r="J5" s="716">
        <v>5016043.26</v>
      </c>
      <c r="K5" s="716">
        <v>4220077.01</v>
      </c>
      <c r="L5" s="716">
        <v>3577825.1</v>
      </c>
      <c r="M5" s="716">
        <v>3516409.14</v>
      </c>
      <c r="N5" s="716">
        <v>3612609.85</v>
      </c>
      <c r="O5" s="716">
        <v>4003928.59</v>
      </c>
      <c r="P5" s="716">
        <v>4599174.1900000004</v>
      </c>
      <c r="Q5" s="716">
        <v>5161882.43</v>
      </c>
      <c r="R5" s="716">
        <v>5554960.7400000002</v>
      </c>
      <c r="S5" s="716">
        <v>5980952.9000000004</v>
      </c>
      <c r="T5" s="715" t="s">
        <v>642</v>
      </c>
      <c r="U5" s="715" t="s">
        <v>642</v>
      </c>
    </row>
    <row r="6" spans="1:24" x14ac:dyDescent="0.3">
      <c r="A6" s="735" t="s">
        <v>1166</v>
      </c>
      <c r="B6" s="716">
        <v>2188222.0299999998</v>
      </c>
      <c r="C6" s="716">
        <v>2130164.9900000002</v>
      </c>
      <c r="D6" s="716">
        <v>2188739.59</v>
      </c>
      <c r="E6" s="716">
        <v>2804916.52</v>
      </c>
      <c r="F6" s="716">
        <v>2973589.31</v>
      </c>
      <c r="G6" s="716">
        <v>2619829.41</v>
      </c>
      <c r="H6" s="716">
        <v>2577866.86</v>
      </c>
      <c r="I6" s="716">
        <v>2687206.97</v>
      </c>
      <c r="J6" s="716">
        <v>2704044.74</v>
      </c>
      <c r="K6" s="716">
        <v>1969459.82</v>
      </c>
      <c r="L6" s="716">
        <v>1909534.91</v>
      </c>
      <c r="M6" s="716">
        <v>1704247.69</v>
      </c>
      <c r="N6" s="716">
        <v>1568529.51</v>
      </c>
      <c r="O6" s="716">
        <v>1805201.31</v>
      </c>
      <c r="P6" s="716">
        <v>2330851.37</v>
      </c>
      <c r="Q6" s="716">
        <v>2746878.45</v>
      </c>
      <c r="R6" s="716">
        <v>2999271.84</v>
      </c>
      <c r="S6" s="716">
        <v>3362454.03</v>
      </c>
      <c r="T6" s="716">
        <v>3331238.95</v>
      </c>
      <c r="U6" s="716">
        <v>3404322.85</v>
      </c>
    </row>
    <row r="7" spans="1:24" x14ac:dyDescent="0.3">
      <c r="A7" s="735" t="s">
        <v>963</v>
      </c>
      <c r="B7" s="715">
        <v>47.02</v>
      </c>
      <c r="C7" s="715">
        <v>48.41</v>
      </c>
      <c r="D7" s="715">
        <v>47.43</v>
      </c>
      <c r="E7" s="715">
        <v>50.83</v>
      </c>
      <c r="F7" s="715">
        <v>50.7</v>
      </c>
      <c r="G7" s="715">
        <v>45.79</v>
      </c>
      <c r="H7" s="715">
        <v>48.8</v>
      </c>
      <c r="I7" s="715">
        <v>47</v>
      </c>
      <c r="J7" s="715">
        <v>53.91</v>
      </c>
      <c r="K7" s="715">
        <v>46.67</v>
      </c>
      <c r="L7" s="715">
        <v>53.37</v>
      </c>
      <c r="M7" s="715">
        <v>48.47</v>
      </c>
      <c r="N7" s="715">
        <v>43.42</v>
      </c>
      <c r="O7" s="715">
        <v>45.09</v>
      </c>
      <c r="P7" s="715">
        <v>50.68</v>
      </c>
      <c r="Q7" s="715">
        <v>53.21</v>
      </c>
      <c r="R7" s="715">
        <v>53.99</v>
      </c>
      <c r="S7" s="715">
        <v>56.22</v>
      </c>
      <c r="T7" s="715" t="s">
        <v>642</v>
      </c>
      <c r="U7" s="715" t="s">
        <v>642</v>
      </c>
    </row>
    <row r="8" spans="1:24" x14ac:dyDescent="0.3">
      <c r="A8" s="735" t="s">
        <v>1167</v>
      </c>
      <c r="B8" s="716">
        <v>2465903.14</v>
      </c>
      <c r="C8" s="716">
        <v>2269646.7200000002</v>
      </c>
      <c r="D8" s="716">
        <v>2426355.0499999998</v>
      </c>
      <c r="E8" s="716">
        <v>2712952.04</v>
      </c>
      <c r="F8" s="716">
        <v>2891150.88</v>
      </c>
      <c r="G8" s="716">
        <v>3101650.72</v>
      </c>
      <c r="H8" s="716">
        <v>2704469.3</v>
      </c>
      <c r="I8" s="716">
        <v>3030684.55</v>
      </c>
      <c r="J8" s="716">
        <v>2311998.5299999998</v>
      </c>
      <c r="K8" s="716">
        <v>2250617.19</v>
      </c>
      <c r="L8" s="716">
        <v>1668290.19</v>
      </c>
      <c r="M8" s="716">
        <v>1812161.45</v>
      </c>
      <c r="N8" s="716">
        <v>2044080.33</v>
      </c>
      <c r="O8" s="716">
        <v>2198727.2799999998</v>
      </c>
      <c r="P8" s="716">
        <v>2268322.8199999998</v>
      </c>
      <c r="Q8" s="716">
        <v>2415003.9700000002</v>
      </c>
      <c r="R8" s="716">
        <v>2555688.9</v>
      </c>
      <c r="S8" s="716">
        <v>2618498.87</v>
      </c>
      <c r="T8" s="716">
        <v>2380917.5</v>
      </c>
      <c r="U8" s="716">
        <v>2549413.2000000002</v>
      </c>
    </row>
    <row r="9" spans="1:24" x14ac:dyDescent="0.3">
      <c r="A9" s="735" t="s">
        <v>963</v>
      </c>
      <c r="B9" s="715">
        <v>52.98</v>
      </c>
      <c r="C9" s="715">
        <v>51.59</v>
      </c>
      <c r="D9" s="715">
        <v>52.57</v>
      </c>
      <c r="E9" s="715">
        <v>49.17</v>
      </c>
      <c r="F9" s="715">
        <v>49.3</v>
      </c>
      <c r="G9" s="715">
        <v>54.21</v>
      </c>
      <c r="H9" s="715">
        <v>51.2</v>
      </c>
      <c r="I9" s="715">
        <v>53</v>
      </c>
      <c r="J9" s="715">
        <v>46.09</v>
      </c>
      <c r="K9" s="715">
        <v>53.33</v>
      </c>
      <c r="L9" s="715">
        <v>46.63</v>
      </c>
      <c r="M9" s="715">
        <v>51.53</v>
      </c>
      <c r="N9" s="715">
        <v>56.58</v>
      </c>
      <c r="O9" s="715">
        <v>54.91</v>
      </c>
      <c r="P9" s="715">
        <v>49.32</v>
      </c>
      <c r="Q9" s="715">
        <v>46.79</v>
      </c>
      <c r="R9" s="715">
        <v>46.01</v>
      </c>
      <c r="S9" s="715">
        <v>43.78</v>
      </c>
      <c r="T9" s="715" t="s">
        <v>642</v>
      </c>
      <c r="U9" s="715" t="s">
        <v>642</v>
      </c>
    </row>
    <row r="10" spans="1:24" x14ac:dyDescent="0.3">
      <c r="A10" s="735" t="s">
        <v>226</v>
      </c>
      <c r="B10" s="715" t="s">
        <v>642</v>
      </c>
      <c r="C10" s="715" t="s">
        <v>642</v>
      </c>
      <c r="D10" s="715" t="s">
        <v>642</v>
      </c>
      <c r="E10" s="715" t="s">
        <v>642</v>
      </c>
      <c r="F10" s="715" t="s">
        <v>642</v>
      </c>
      <c r="G10" s="715" t="s">
        <v>642</v>
      </c>
      <c r="H10" s="715" t="s">
        <v>642</v>
      </c>
      <c r="I10" s="715" t="s">
        <v>642</v>
      </c>
      <c r="J10" s="715" t="s">
        <v>642</v>
      </c>
      <c r="K10" s="715" t="s">
        <v>642</v>
      </c>
      <c r="L10" s="715" t="s">
        <v>642</v>
      </c>
      <c r="M10" s="715" t="s">
        <v>642</v>
      </c>
      <c r="N10" s="715" t="s">
        <v>642</v>
      </c>
      <c r="O10" s="715" t="s">
        <v>642</v>
      </c>
      <c r="P10" s="715" t="s">
        <v>642</v>
      </c>
      <c r="Q10" s="715" t="s">
        <v>642</v>
      </c>
      <c r="R10" s="715" t="s">
        <v>642</v>
      </c>
      <c r="S10" s="715" t="s">
        <v>642</v>
      </c>
      <c r="T10" s="715" t="s">
        <v>642</v>
      </c>
      <c r="U10" s="715" t="s">
        <v>642</v>
      </c>
    </row>
    <row r="11" spans="1:24" x14ac:dyDescent="0.3">
      <c r="A11" s="735" t="s">
        <v>1168</v>
      </c>
      <c r="B11" s="715" t="s">
        <v>642</v>
      </c>
      <c r="C11" s="715" t="s">
        <v>642</v>
      </c>
      <c r="D11" s="715" t="s">
        <v>642</v>
      </c>
      <c r="E11" s="715" t="s">
        <v>642</v>
      </c>
      <c r="F11" s="715" t="s">
        <v>642</v>
      </c>
      <c r="G11" s="715" t="s">
        <v>642</v>
      </c>
      <c r="H11" s="715" t="s">
        <v>642</v>
      </c>
      <c r="I11" s="715" t="s">
        <v>642</v>
      </c>
      <c r="J11" s="715" t="s">
        <v>642</v>
      </c>
      <c r="K11" s="715" t="s">
        <v>642</v>
      </c>
      <c r="L11" s="715" t="s">
        <v>642</v>
      </c>
      <c r="M11" s="715" t="s">
        <v>642</v>
      </c>
      <c r="N11" s="715" t="s">
        <v>642</v>
      </c>
      <c r="O11" s="715" t="s">
        <v>642</v>
      </c>
      <c r="P11" s="715" t="s">
        <v>642</v>
      </c>
      <c r="Q11" s="715" t="s">
        <v>642</v>
      </c>
      <c r="R11" s="715" t="s">
        <v>642</v>
      </c>
      <c r="S11" s="715" t="s">
        <v>642</v>
      </c>
      <c r="T11" s="715" t="s">
        <v>642</v>
      </c>
      <c r="U11" s="715" t="s">
        <v>642</v>
      </c>
    </row>
    <row r="12" spans="1:24" x14ac:dyDescent="0.3">
      <c r="A12" s="735" t="s">
        <v>1166</v>
      </c>
      <c r="B12" s="716">
        <v>23000000</v>
      </c>
      <c r="C12" s="716">
        <v>25700000</v>
      </c>
      <c r="D12" s="716">
        <v>23200000</v>
      </c>
      <c r="E12" s="716">
        <v>25400000</v>
      </c>
      <c r="F12" s="716">
        <v>24100000</v>
      </c>
      <c r="G12" s="716">
        <v>21600000</v>
      </c>
      <c r="H12" s="716">
        <v>19800000</v>
      </c>
      <c r="I12" s="716">
        <v>16500000</v>
      </c>
      <c r="J12" s="716">
        <v>14700000</v>
      </c>
      <c r="K12" s="716">
        <v>12900000</v>
      </c>
      <c r="L12" s="716">
        <v>12600000</v>
      </c>
      <c r="M12" s="716">
        <v>11800000</v>
      </c>
      <c r="N12" s="716">
        <v>10400000</v>
      </c>
      <c r="O12" s="716">
        <v>10800000</v>
      </c>
      <c r="P12" s="716">
        <v>11700000</v>
      </c>
      <c r="Q12" s="716">
        <v>12100000</v>
      </c>
      <c r="R12" s="716">
        <v>13200000</v>
      </c>
      <c r="S12" s="716">
        <v>13500000</v>
      </c>
      <c r="T12" s="716">
        <v>12425000</v>
      </c>
      <c r="U12" s="716">
        <v>11540000</v>
      </c>
    </row>
    <row r="13" spans="1:24" x14ac:dyDescent="0.3">
      <c r="A13" s="735" t="s">
        <v>963</v>
      </c>
      <c r="B13" s="715" t="s">
        <v>642</v>
      </c>
      <c r="C13" s="715" t="s">
        <v>642</v>
      </c>
      <c r="D13" s="715" t="s">
        <v>642</v>
      </c>
      <c r="E13" s="715" t="s">
        <v>642</v>
      </c>
      <c r="F13" s="715" t="s">
        <v>642</v>
      </c>
      <c r="G13" s="715" t="s">
        <v>642</v>
      </c>
      <c r="H13" s="715" t="s">
        <v>642</v>
      </c>
      <c r="I13" s="715" t="s">
        <v>642</v>
      </c>
      <c r="J13" s="715" t="s">
        <v>642</v>
      </c>
      <c r="K13" s="715" t="s">
        <v>642</v>
      </c>
      <c r="L13" s="715" t="s">
        <v>642</v>
      </c>
      <c r="M13" s="715" t="s">
        <v>642</v>
      </c>
      <c r="N13" s="715" t="s">
        <v>642</v>
      </c>
      <c r="O13" s="715" t="s">
        <v>642</v>
      </c>
      <c r="P13" s="715" t="s">
        <v>642</v>
      </c>
      <c r="Q13" s="715" t="s">
        <v>642</v>
      </c>
      <c r="R13" s="715" t="s">
        <v>642</v>
      </c>
      <c r="S13" s="715" t="s">
        <v>642</v>
      </c>
      <c r="T13" s="715" t="s">
        <v>642</v>
      </c>
      <c r="U13" s="715" t="s">
        <v>642</v>
      </c>
    </row>
    <row r="14" spans="1:24" x14ac:dyDescent="0.3">
      <c r="A14" s="735" t="s">
        <v>971</v>
      </c>
      <c r="B14" s="715" t="s">
        <v>642</v>
      </c>
      <c r="C14" s="715" t="s">
        <v>642</v>
      </c>
      <c r="D14" s="715" t="s">
        <v>642</v>
      </c>
      <c r="E14" s="715" t="s">
        <v>642</v>
      </c>
      <c r="F14" s="715" t="s">
        <v>642</v>
      </c>
      <c r="G14" s="715" t="s">
        <v>642</v>
      </c>
      <c r="H14" s="715" t="s">
        <v>642</v>
      </c>
      <c r="I14" s="715" t="s">
        <v>642</v>
      </c>
      <c r="J14" s="715" t="s">
        <v>642</v>
      </c>
      <c r="K14" s="715" t="s">
        <v>642</v>
      </c>
      <c r="L14" s="715" t="s">
        <v>642</v>
      </c>
      <c r="M14" s="715" t="s">
        <v>642</v>
      </c>
      <c r="N14" s="715" t="s">
        <v>642</v>
      </c>
      <c r="O14" s="715" t="s">
        <v>642</v>
      </c>
      <c r="P14" s="715" t="s">
        <v>642</v>
      </c>
      <c r="Q14" s="715" t="s">
        <v>642</v>
      </c>
      <c r="R14" s="715" t="s">
        <v>642</v>
      </c>
      <c r="S14" s="715" t="s">
        <v>642</v>
      </c>
      <c r="T14" s="715" t="s">
        <v>642</v>
      </c>
      <c r="U14" s="715" t="s">
        <v>642</v>
      </c>
    </row>
    <row r="15" spans="1:24" x14ac:dyDescent="0.3">
      <c r="A15" s="735" t="s">
        <v>1169</v>
      </c>
      <c r="B15" s="715" t="s">
        <v>642</v>
      </c>
      <c r="C15" s="715" t="s">
        <v>642</v>
      </c>
      <c r="D15" s="715" t="s">
        <v>642</v>
      </c>
      <c r="E15" s="715" t="s">
        <v>642</v>
      </c>
      <c r="F15" s="715" t="s">
        <v>642</v>
      </c>
      <c r="G15" s="715" t="s">
        <v>642</v>
      </c>
      <c r="H15" s="715" t="s">
        <v>642</v>
      </c>
      <c r="I15" s="715" t="s">
        <v>642</v>
      </c>
      <c r="J15" s="715" t="s">
        <v>642</v>
      </c>
      <c r="K15" s="715" t="s">
        <v>642</v>
      </c>
      <c r="L15" s="715" t="s">
        <v>642</v>
      </c>
      <c r="M15" s="715" t="s">
        <v>642</v>
      </c>
      <c r="N15" s="715" t="s">
        <v>642</v>
      </c>
      <c r="O15" s="715" t="s">
        <v>642</v>
      </c>
      <c r="P15" s="715" t="s">
        <v>642</v>
      </c>
      <c r="Q15" s="715" t="s">
        <v>642</v>
      </c>
      <c r="R15" s="715" t="s">
        <v>642</v>
      </c>
      <c r="S15" s="715" t="s">
        <v>642</v>
      </c>
      <c r="T15" s="715" t="s">
        <v>642</v>
      </c>
      <c r="U15" s="715" t="s">
        <v>642</v>
      </c>
    </row>
    <row r="16" spans="1:24" x14ac:dyDescent="0.3">
      <c r="A16" s="735" t="s">
        <v>1170</v>
      </c>
      <c r="B16" s="716">
        <v>9300000</v>
      </c>
      <c r="C16" s="716">
        <v>10700000</v>
      </c>
      <c r="D16" s="716">
        <v>9200000</v>
      </c>
      <c r="E16" s="716">
        <v>9000000</v>
      </c>
      <c r="F16" s="715" t="s">
        <v>642</v>
      </c>
      <c r="G16" s="715" t="s">
        <v>642</v>
      </c>
      <c r="H16" s="716">
        <v>5700000</v>
      </c>
      <c r="I16" s="715" t="s">
        <v>642</v>
      </c>
      <c r="J16" s="715" t="s">
        <v>642</v>
      </c>
      <c r="K16" s="715" t="s">
        <v>642</v>
      </c>
      <c r="L16" s="715" t="s">
        <v>642</v>
      </c>
      <c r="M16" s="715" t="s">
        <v>642</v>
      </c>
      <c r="N16" s="715" t="s">
        <v>642</v>
      </c>
      <c r="O16" s="715" t="s">
        <v>642</v>
      </c>
      <c r="P16" s="715" t="s">
        <v>642</v>
      </c>
      <c r="Q16" s="715" t="s">
        <v>642</v>
      </c>
      <c r="R16" s="715" t="s">
        <v>642</v>
      </c>
      <c r="S16" s="715" t="s">
        <v>642</v>
      </c>
      <c r="T16" s="715" t="s">
        <v>642</v>
      </c>
      <c r="U16" s="715" t="s">
        <v>642</v>
      </c>
    </row>
    <row r="17" spans="1:21" x14ac:dyDescent="0.3">
      <c r="A17" s="735" t="s">
        <v>1171</v>
      </c>
      <c r="B17" s="716">
        <v>5500000</v>
      </c>
      <c r="C17" s="716">
        <v>4900000</v>
      </c>
      <c r="D17" s="716">
        <v>5700000</v>
      </c>
      <c r="E17" s="716">
        <v>7700000</v>
      </c>
      <c r="F17" s="715" t="s">
        <v>642</v>
      </c>
      <c r="G17" s="715" t="s">
        <v>642</v>
      </c>
      <c r="H17" s="716">
        <v>4400000</v>
      </c>
      <c r="I17" s="715" t="s">
        <v>642</v>
      </c>
      <c r="J17" s="715" t="s">
        <v>642</v>
      </c>
      <c r="K17" s="715" t="s">
        <v>642</v>
      </c>
      <c r="L17" s="715" t="s">
        <v>642</v>
      </c>
      <c r="M17" s="715" t="s">
        <v>642</v>
      </c>
      <c r="N17" s="715" t="s">
        <v>642</v>
      </c>
      <c r="O17" s="715" t="s">
        <v>642</v>
      </c>
      <c r="P17" s="715" t="s">
        <v>642</v>
      </c>
      <c r="Q17" s="715" t="s">
        <v>642</v>
      </c>
      <c r="R17" s="715" t="s">
        <v>642</v>
      </c>
      <c r="S17" s="715" t="s">
        <v>642</v>
      </c>
      <c r="T17" s="715" t="s">
        <v>642</v>
      </c>
      <c r="U17" s="715" t="s">
        <v>642</v>
      </c>
    </row>
    <row r="18" spans="1:21" x14ac:dyDescent="0.3">
      <c r="A18" s="735" t="s">
        <v>1172</v>
      </c>
      <c r="B18" s="715" t="s">
        <v>642</v>
      </c>
      <c r="C18" s="715" t="s">
        <v>642</v>
      </c>
      <c r="D18" s="715" t="s">
        <v>642</v>
      </c>
      <c r="E18" s="715" t="s">
        <v>642</v>
      </c>
      <c r="F18" s="715" t="s">
        <v>642</v>
      </c>
      <c r="G18" s="715" t="s">
        <v>642</v>
      </c>
      <c r="H18" s="715" t="s">
        <v>642</v>
      </c>
      <c r="I18" s="715" t="s">
        <v>642</v>
      </c>
      <c r="J18" s="715" t="s">
        <v>642</v>
      </c>
      <c r="K18" s="715" t="s">
        <v>642</v>
      </c>
      <c r="L18" s="715" t="s">
        <v>642</v>
      </c>
      <c r="M18" s="715" t="s">
        <v>642</v>
      </c>
      <c r="N18" s="715" t="s">
        <v>642</v>
      </c>
      <c r="O18" s="715" t="s">
        <v>642</v>
      </c>
      <c r="P18" s="715" t="s">
        <v>642</v>
      </c>
      <c r="Q18" s="715" t="s">
        <v>642</v>
      </c>
      <c r="R18" s="715" t="s">
        <v>642</v>
      </c>
      <c r="S18" s="715" t="s">
        <v>642</v>
      </c>
      <c r="T18" s="715" t="s">
        <v>642</v>
      </c>
      <c r="U18" s="715" t="s">
        <v>642</v>
      </c>
    </row>
    <row r="19" spans="1:21" x14ac:dyDescent="0.3">
      <c r="A19" s="735" t="s">
        <v>1173</v>
      </c>
      <c r="B19" s="715" t="s">
        <v>642</v>
      </c>
      <c r="C19" s="715" t="s">
        <v>642</v>
      </c>
      <c r="D19" s="715" t="s">
        <v>642</v>
      </c>
      <c r="E19" s="715" t="s">
        <v>642</v>
      </c>
      <c r="F19" s="715" t="s">
        <v>642</v>
      </c>
      <c r="G19" s="715" t="s">
        <v>642</v>
      </c>
      <c r="H19" s="715" t="s">
        <v>642</v>
      </c>
      <c r="I19" s="715" t="s">
        <v>642</v>
      </c>
      <c r="J19" s="715" t="s">
        <v>642</v>
      </c>
      <c r="K19" s="715" t="s">
        <v>642</v>
      </c>
      <c r="L19" s="715" t="s">
        <v>642</v>
      </c>
      <c r="M19" s="715" t="s">
        <v>642</v>
      </c>
      <c r="N19" s="715" t="s">
        <v>642</v>
      </c>
      <c r="O19" s="715" t="s">
        <v>642</v>
      </c>
      <c r="P19" s="715" t="s">
        <v>642</v>
      </c>
      <c r="Q19" s="715" t="s">
        <v>642</v>
      </c>
      <c r="R19" s="715" t="s">
        <v>642</v>
      </c>
      <c r="S19" s="715" t="s">
        <v>642</v>
      </c>
      <c r="T19" s="715" t="s">
        <v>642</v>
      </c>
      <c r="U19" s="715" t="s">
        <v>642</v>
      </c>
    </row>
    <row r="20" spans="1:21" x14ac:dyDescent="0.3">
      <c r="A20" s="735" t="s">
        <v>1174</v>
      </c>
      <c r="B20" s="715" t="s">
        <v>642</v>
      </c>
      <c r="C20" s="715" t="s">
        <v>642</v>
      </c>
      <c r="D20" s="715" t="s">
        <v>642</v>
      </c>
      <c r="E20" s="715" t="s">
        <v>642</v>
      </c>
      <c r="F20" s="715" t="s">
        <v>642</v>
      </c>
      <c r="G20" s="715" t="s">
        <v>642</v>
      </c>
      <c r="H20" s="715" t="s">
        <v>642</v>
      </c>
      <c r="I20" s="715" t="s">
        <v>642</v>
      </c>
      <c r="J20" s="715" t="s">
        <v>642</v>
      </c>
      <c r="K20" s="715" t="s">
        <v>642</v>
      </c>
      <c r="L20" s="715" t="s">
        <v>642</v>
      </c>
      <c r="M20" s="715" t="s">
        <v>642</v>
      </c>
      <c r="N20" s="715" t="s">
        <v>642</v>
      </c>
      <c r="O20" s="715" t="s">
        <v>642</v>
      </c>
      <c r="P20" s="715" t="s">
        <v>642</v>
      </c>
      <c r="Q20" s="715" t="s">
        <v>642</v>
      </c>
      <c r="R20" s="715" t="s">
        <v>642</v>
      </c>
      <c r="S20" s="715" t="s">
        <v>642</v>
      </c>
      <c r="T20" s="715" t="s">
        <v>642</v>
      </c>
      <c r="U20" s="715" t="s">
        <v>642</v>
      </c>
    </row>
    <row r="21" spans="1:21" x14ac:dyDescent="0.3">
      <c r="A21" s="735" t="s">
        <v>1175</v>
      </c>
      <c r="B21" s="716">
        <v>8200000</v>
      </c>
      <c r="C21" s="716">
        <v>10100000</v>
      </c>
      <c r="D21" s="716">
        <v>8300000</v>
      </c>
      <c r="E21" s="716">
        <v>8700000</v>
      </c>
      <c r="F21" s="715" t="s">
        <v>642</v>
      </c>
      <c r="G21" s="715" t="s">
        <v>642</v>
      </c>
      <c r="H21" s="716">
        <v>9700000</v>
      </c>
      <c r="I21" s="715" t="s">
        <v>642</v>
      </c>
      <c r="J21" s="715" t="s">
        <v>642</v>
      </c>
      <c r="K21" s="715" t="s">
        <v>642</v>
      </c>
      <c r="L21" s="715" t="s">
        <v>642</v>
      </c>
      <c r="M21" s="715" t="s">
        <v>642</v>
      </c>
      <c r="N21" s="715" t="s">
        <v>642</v>
      </c>
      <c r="O21" s="715" t="s">
        <v>642</v>
      </c>
      <c r="P21" s="715" t="s">
        <v>642</v>
      </c>
      <c r="Q21" s="715" t="s">
        <v>642</v>
      </c>
      <c r="R21" s="715" t="s">
        <v>642</v>
      </c>
      <c r="S21" s="715" t="s">
        <v>642</v>
      </c>
      <c r="T21" s="715" t="s">
        <v>642</v>
      </c>
      <c r="U21" s="715" t="s">
        <v>642</v>
      </c>
    </row>
    <row r="22" spans="1:21" x14ac:dyDescent="0.3">
      <c r="A22" s="735" t="s">
        <v>226</v>
      </c>
      <c r="B22" s="715" t="s">
        <v>642</v>
      </c>
      <c r="C22" s="715" t="s">
        <v>642</v>
      </c>
      <c r="D22" s="715" t="s">
        <v>642</v>
      </c>
      <c r="E22" s="715" t="s">
        <v>642</v>
      </c>
      <c r="F22" s="715" t="s">
        <v>642</v>
      </c>
      <c r="G22" s="715" t="s">
        <v>642</v>
      </c>
      <c r="H22" s="715" t="s">
        <v>642</v>
      </c>
      <c r="I22" s="715" t="s">
        <v>642</v>
      </c>
      <c r="J22" s="715" t="s">
        <v>642</v>
      </c>
      <c r="K22" s="715" t="s">
        <v>642</v>
      </c>
      <c r="L22" s="715" t="s">
        <v>642</v>
      </c>
      <c r="M22" s="715" t="s">
        <v>642</v>
      </c>
      <c r="N22" s="715" t="s">
        <v>642</v>
      </c>
      <c r="O22" s="715" t="s">
        <v>642</v>
      </c>
      <c r="P22" s="715" t="s">
        <v>642</v>
      </c>
      <c r="Q22" s="715" t="s">
        <v>642</v>
      </c>
      <c r="R22" s="715" t="s">
        <v>642</v>
      </c>
      <c r="S22" s="715" t="s">
        <v>642</v>
      </c>
      <c r="T22" s="715" t="s">
        <v>642</v>
      </c>
      <c r="U22" s="715" t="s">
        <v>642</v>
      </c>
    </row>
    <row r="23" spans="1:21" x14ac:dyDescent="0.3">
      <c r="A23" s="735" t="s">
        <v>1176</v>
      </c>
      <c r="B23" s="715" t="s">
        <v>642</v>
      </c>
      <c r="C23" s="715" t="s">
        <v>642</v>
      </c>
      <c r="D23" s="715" t="s">
        <v>642</v>
      </c>
      <c r="E23" s="715" t="s">
        <v>642</v>
      </c>
      <c r="F23" s="715" t="s">
        <v>642</v>
      </c>
      <c r="G23" s="715" t="s">
        <v>642</v>
      </c>
      <c r="H23" s="715" t="s">
        <v>642</v>
      </c>
      <c r="I23" s="715" t="s">
        <v>642</v>
      </c>
      <c r="J23" s="715" t="s">
        <v>642</v>
      </c>
      <c r="K23" s="715" t="s">
        <v>642</v>
      </c>
      <c r="L23" s="715" t="s">
        <v>642</v>
      </c>
      <c r="M23" s="715" t="s">
        <v>642</v>
      </c>
      <c r="N23" s="715" t="s">
        <v>642</v>
      </c>
      <c r="O23" s="715" t="s">
        <v>642</v>
      </c>
      <c r="P23" s="715" t="s">
        <v>642</v>
      </c>
      <c r="Q23" s="715" t="s">
        <v>642</v>
      </c>
      <c r="R23" s="715" t="s">
        <v>642</v>
      </c>
      <c r="S23" s="715" t="s">
        <v>642</v>
      </c>
      <c r="T23" s="715" t="s">
        <v>642</v>
      </c>
      <c r="U23" s="715" t="s">
        <v>642</v>
      </c>
    </row>
    <row r="24" spans="1:21" x14ac:dyDescent="0.3">
      <c r="A24" s="735" t="s">
        <v>1166</v>
      </c>
      <c r="B24" s="716">
        <v>93747.04</v>
      </c>
      <c r="C24" s="716">
        <v>81457.33</v>
      </c>
      <c r="D24" s="716">
        <v>91476.37</v>
      </c>
      <c r="E24" s="716">
        <v>108787.25</v>
      </c>
      <c r="F24" s="716">
        <v>118432.69</v>
      </c>
      <c r="G24" s="716">
        <v>114832.11</v>
      </c>
      <c r="H24" s="716">
        <v>121779.49</v>
      </c>
      <c r="I24" s="716">
        <v>151534.23000000001</v>
      </c>
      <c r="J24" s="716">
        <v>167828</v>
      </c>
      <c r="K24" s="716">
        <v>134466.57</v>
      </c>
      <c r="L24" s="715" t="s">
        <v>642</v>
      </c>
      <c r="M24" s="716">
        <v>130286.12</v>
      </c>
      <c r="N24" s="716">
        <v>147131.75</v>
      </c>
      <c r="O24" s="716">
        <v>161107.94</v>
      </c>
      <c r="P24" s="716">
        <v>192907.22</v>
      </c>
      <c r="Q24" s="716">
        <v>223535.29</v>
      </c>
      <c r="R24" s="716">
        <v>222469.73</v>
      </c>
      <c r="S24" s="716">
        <v>240075.59</v>
      </c>
      <c r="T24" s="715" t="s">
        <v>642</v>
      </c>
      <c r="U24" s="715" t="s">
        <v>642</v>
      </c>
    </row>
    <row r="25" spans="1:21" x14ac:dyDescent="0.3">
      <c r="A25" s="735" t="s">
        <v>963</v>
      </c>
      <c r="B25" s="715" t="s">
        <v>642</v>
      </c>
      <c r="C25" s="715" t="s">
        <v>642</v>
      </c>
      <c r="D25" s="715" t="s">
        <v>642</v>
      </c>
      <c r="E25" s="715" t="s">
        <v>642</v>
      </c>
      <c r="F25" s="715" t="s">
        <v>642</v>
      </c>
      <c r="G25" s="715" t="s">
        <v>642</v>
      </c>
      <c r="H25" s="715" t="s">
        <v>642</v>
      </c>
      <c r="I25" s="715" t="s">
        <v>642</v>
      </c>
      <c r="J25" s="715" t="s">
        <v>642</v>
      </c>
      <c r="K25" s="715" t="s">
        <v>642</v>
      </c>
      <c r="L25" s="715" t="s">
        <v>642</v>
      </c>
      <c r="M25" s="715" t="s">
        <v>642</v>
      </c>
      <c r="N25" s="715" t="s">
        <v>642</v>
      </c>
      <c r="O25" s="715" t="s">
        <v>642</v>
      </c>
      <c r="P25" s="715" t="s">
        <v>642</v>
      </c>
      <c r="Q25" s="715" t="s">
        <v>642</v>
      </c>
      <c r="R25" s="715" t="s">
        <v>642</v>
      </c>
      <c r="S25" s="715" t="s">
        <v>642</v>
      </c>
      <c r="T25" s="715" t="s">
        <v>642</v>
      </c>
      <c r="U25" s="715" t="s">
        <v>642</v>
      </c>
    </row>
    <row r="26" spans="1:21" x14ac:dyDescent="0.3">
      <c r="A26" s="735" t="s">
        <v>226</v>
      </c>
      <c r="B26" s="715" t="s">
        <v>642</v>
      </c>
      <c r="C26" s="715" t="s">
        <v>642</v>
      </c>
      <c r="D26" s="715" t="s">
        <v>642</v>
      </c>
      <c r="E26" s="715" t="s">
        <v>642</v>
      </c>
      <c r="F26" s="715" t="s">
        <v>642</v>
      </c>
      <c r="G26" s="715" t="s">
        <v>642</v>
      </c>
      <c r="H26" s="715" t="s">
        <v>642</v>
      </c>
      <c r="I26" s="715" t="s">
        <v>642</v>
      </c>
      <c r="J26" s="715" t="s">
        <v>642</v>
      </c>
      <c r="K26" s="715" t="s">
        <v>642</v>
      </c>
      <c r="L26" s="715" t="s">
        <v>642</v>
      </c>
      <c r="M26" s="715" t="s">
        <v>642</v>
      </c>
      <c r="N26" s="715" t="s">
        <v>642</v>
      </c>
      <c r="O26" s="715" t="s">
        <v>642</v>
      </c>
      <c r="P26" s="715" t="s">
        <v>642</v>
      </c>
      <c r="Q26" s="715" t="s">
        <v>642</v>
      </c>
      <c r="R26" s="715" t="s">
        <v>642</v>
      </c>
      <c r="S26" s="715" t="s">
        <v>642</v>
      </c>
      <c r="T26" s="715" t="s">
        <v>642</v>
      </c>
      <c r="U26" s="715" t="s">
        <v>642</v>
      </c>
    </row>
    <row r="27" spans="1:21" x14ac:dyDescent="0.3">
      <c r="A27" s="735" t="s">
        <v>1177</v>
      </c>
      <c r="B27" s="715" t="s">
        <v>642</v>
      </c>
      <c r="C27" s="715" t="s">
        <v>642</v>
      </c>
      <c r="D27" s="715" t="s">
        <v>642</v>
      </c>
      <c r="E27" s="715" t="s">
        <v>642</v>
      </c>
      <c r="F27" s="715" t="s">
        <v>642</v>
      </c>
      <c r="G27" s="715" t="s">
        <v>642</v>
      </c>
      <c r="H27" s="715" t="s">
        <v>642</v>
      </c>
      <c r="I27" s="715" t="s">
        <v>642</v>
      </c>
      <c r="J27" s="715" t="s">
        <v>642</v>
      </c>
      <c r="K27" s="715" t="s">
        <v>642</v>
      </c>
      <c r="L27" s="715" t="s">
        <v>642</v>
      </c>
      <c r="M27" s="715" t="s">
        <v>642</v>
      </c>
      <c r="N27" s="715" t="s">
        <v>642</v>
      </c>
      <c r="O27" s="715" t="s">
        <v>642</v>
      </c>
      <c r="P27" s="715" t="s">
        <v>642</v>
      </c>
      <c r="Q27" s="715" t="s">
        <v>642</v>
      </c>
      <c r="R27" s="715" t="s">
        <v>642</v>
      </c>
      <c r="S27" s="715" t="s">
        <v>642</v>
      </c>
      <c r="T27" s="715" t="s">
        <v>642</v>
      </c>
      <c r="U27" s="715" t="s">
        <v>642</v>
      </c>
    </row>
    <row r="28" spans="1:21" x14ac:dyDescent="0.3">
      <c r="A28" s="735" t="s">
        <v>1166</v>
      </c>
      <c r="B28" s="715" t="s">
        <v>642</v>
      </c>
      <c r="C28" s="715" t="s">
        <v>642</v>
      </c>
      <c r="D28" s="715" t="s">
        <v>642</v>
      </c>
      <c r="E28" s="715" t="s">
        <v>642</v>
      </c>
      <c r="F28" s="715" t="s">
        <v>642</v>
      </c>
      <c r="G28" s="715" t="s">
        <v>642</v>
      </c>
      <c r="H28" s="715" t="s">
        <v>642</v>
      </c>
      <c r="I28" s="715" t="s">
        <v>642</v>
      </c>
      <c r="J28" s="715" t="s">
        <v>642</v>
      </c>
      <c r="K28" s="715" t="s">
        <v>642</v>
      </c>
      <c r="L28" s="715" t="s">
        <v>642</v>
      </c>
      <c r="M28" s="715" t="s">
        <v>642</v>
      </c>
      <c r="N28" s="715" t="s">
        <v>642</v>
      </c>
      <c r="O28" s="715" t="s">
        <v>642</v>
      </c>
      <c r="P28" s="715" t="s">
        <v>642</v>
      </c>
      <c r="Q28" s="715" t="s">
        <v>642</v>
      </c>
      <c r="R28" s="715" t="s">
        <v>642</v>
      </c>
      <c r="S28" s="715" t="s">
        <v>642</v>
      </c>
      <c r="T28" s="715" t="s">
        <v>642</v>
      </c>
      <c r="U28" s="715" t="s">
        <v>642</v>
      </c>
    </row>
    <row r="29" spans="1:21" x14ac:dyDescent="0.3">
      <c r="A29" s="735" t="s">
        <v>963</v>
      </c>
      <c r="B29" s="715" t="s">
        <v>642</v>
      </c>
      <c r="C29" s="715" t="s">
        <v>642</v>
      </c>
      <c r="D29" s="715" t="s">
        <v>642</v>
      </c>
      <c r="E29" s="715" t="s">
        <v>642</v>
      </c>
      <c r="F29" s="715" t="s">
        <v>642</v>
      </c>
      <c r="G29" s="715" t="s">
        <v>642</v>
      </c>
      <c r="H29" s="715" t="s">
        <v>642</v>
      </c>
      <c r="I29" s="715" t="s">
        <v>642</v>
      </c>
      <c r="J29" s="715" t="s">
        <v>642</v>
      </c>
      <c r="K29" s="715" t="s">
        <v>642</v>
      </c>
      <c r="L29" s="715" t="s">
        <v>642</v>
      </c>
      <c r="M29" s="715" t="s">
        <v>642</v>
      </c>
      <c r="N29" s="715" t="s">
        <v>642</v>
      </c>
      <c r="O29" s="715" t="s">
        <v>642</v>
      </c>
      <c r="P29" s="715" t="s">
        <v>642</v>
      </c>
      <c r="Q29" s="715" t="s">
        <v>642</v>
      </c>
      <c r="R29" s="715" t="s">
        <v>642</v>
      </c>
      <c r="S29" s="715" t="s">
        <v>642</v>
      </c>
      <c r="T29" s="715" t="s">
        <v>642</v>
      </c>
      <c r="U29" s="715" t="s">
        <v>642</v>
      </c>
    </row>
    <row r="30" spans="1:21" x14ac:dyDescent="0.3">
      <c r="A30" s="735" t="s">
        <v>971</v>
      </c>
      <c r="B30" s="715" t="s">
        <v>642</v>
      </c>
      <c r="C30" s="715" t="s">
        <v>642</v>
      </c>
      <c r="D30" s="715" t="s">
        <v>642</v>
      </c>
      <c r="E30" s="715" t="s">
        <v>642</v>
      </c>
      <c r="F30" s="715" t="s">
        <v>642</v>
      </c>
      <c r="G30" s="715" t="s">
        <v>642</v>
      </c>
      <c r="H30" s="715" t="s">
        <v>642</v>
      </c>
      <c r="I30" s="715" t="s">
        <v>642</v>
      </c>
      <c r="J30" s="715" t="s">
        <v>642</v>
      </c>
      <c r="K30" s="715" t="s">
        <v>642</v>
      </c>
      <c r="L30" s="715" t="s">
        <v>642</v>
      </c>
      <c r="M30" s="715" t="s">
        <v>642</v>
      </c>
      <c r="N30" s="715" t="s">
        <v>642</v>
      </c>
      <c r="O30" s="715" t="s">
        <v>642</v>
      </c>
      <c r="P30" s="715" t="s">
        <v>642</v>
      </c>
      <c r="Q30" s="715" t="s">
        <v>642</v>
      </c>
      <c r="R30" s="715" t="s">
        <v>642</v>
      </c>
      <c r="S30" s="715" t="s">
        <v>642</v>
      </c>
      <c r="T30" s="715" t="s">
        <v>642</v>
      </c>
      <c r="U30" s="715" t="s">
        <v>642</v>
      </c>
    </row>
    <row r="31" spans="1:21" x14ac:dyDescent="0.3">
      <c r="A31" s="735" t="s">
        <v>1169</v>
      </c>
      <c r="B31" s="715" t="s">
        <v>642</v>
      </c>
      <c r="C31" s="715" t="s">
        <v>642</v>
      </c>
      <c r="D31" s="715" t="s">
        <v>642</v>
      </c>
      <c r="E31" s="715" t="s">
        <v>642</v>
      </c>
      <c r="F31" s="715" t="s">
        <v>642</v>
      </c>
      <c r="G31" s="715" t="s">
        <v>642</v>
      </c>
      <c r="H31" s="715" t="s">
        <v>642</v>
      </c>
      <c r="I31" s="715" t="s">
        <v>642</v>
      </c>
      <c r="J31" s="715" t="s">
        <v>642</v>
      </c>
      <c r="K31" s="715" t="s">
        <v>642</v>
      </c>
      <c r="L31" s="715" t="s">
        <v>642</v>
      </c>
      <c r="M31" s="715" t="s">
        <v>642</v>
      </c>
      <c r="N31" s="715" t="s">
        <v>642</v>
      </c>
      <c r="O31" s="715" t="s">
        <v>642</v>
      </c>
      <c r="P31" s="715" t="s">
        <v>642</v>
      </c>
      <c r="Q31" s="715" t="s">
        <v>642</v>
      </c>
      <c r="R31" s="715" t="s">
        <v>642</v>
      </c>
      <c r="S31" s="715" t="s">
        <v>642</v>
      </c>
      <c r="T31" s="715" t="s">
        <v>642</v>
      </c>
      <c r="U31" s="715" t="s">
        <v>642</v>
      </c>
    </row>
    <row r="32" spans="1:21" x14ac:dyDescent="0.3">
      <c r="A32" s="735" t="s">
        <v>1170</v>
      </c>
      <c r="B32" s="715" t="s">
        <v>642</v>
      </c>
      <c r="C32" s="715" t="s">
        <v>642</v>
      </c>
      <c r="D32" s="715" t="s">
        <v>642</v>
      </c>
      <c r="E32" s="715" t="s">
        <v>642</v>
      </c>
      <c r="F32" s="715" t="s">
        <v>642</v>
      </c>
      <c r="G32" s="715" t="s">
        <v>642</v>
      </c>
      <c r="H32" s="715" t="s">
        <v>642</v>
      </c>
      <c r="I32" s="715" t="s">
        <v>642</v>
      </c>
      <c r="J32" s="715" t="s">
        <v>642</v>
      </c>
      <c r="K32" s="715" t="s">
        <v>642</v>
      </c>
      <c r="L32" s="715" t="s">
        <v>642</v>
      </c>
      <c r="M32" s="715" t="s">
        <v>642</v>
      </c>
      <c r="N32" s="715" t="s">
        <v>642</v>
      </c>
      <c r="O32" s="715" t="s">
        <v>642</v>
      </c>
      <c r="P32" s="715" t="s">
        <v>642</v>
      </c>
      <c r="Q32" s="715" t="s">
        <v>642</v>
      </c>
      <c r="R32" s="715" t="s">
        <v>642</v>
      </c>
      <c r="S32" s="715" t="s">
        <v>642</v>
      </c>
      <c r="T32" s="715" t="s">
        <v>642</v>
      </c>
      <c r="U32" s="715" t="s">
        <v>642</v>
      </c>
    </row>
    <row r="33" spans="1:21" x14ac:dyDescent="0.3">
      <c r="A33" s="735" t="s">
        <v>1171</v>
      </c>
      <c r="B33" s="715" t="s">
        <v>642</v>
      </c>
      <c r="C33" s="715" t="s">
        <v>642</v>
      </c>
      <c r="D33" s="715" t="s">
        <v>642</v>
      </c>
      <c r="E33" s="715" t="s">
        <v>642</v>
      </c>
      <c r="F33" s="715" t="s">
        <v>642</v>
      </c>
      <c r="G33" s="715" t="s">
        <v>642</v>
      </c>
      <c r="H33" s="715" t="s">
        <v>642</v>
      </c>
      <c r="I33" s="715" t="s">
        <v>642</v>
      </c>
      <c r="J33" s="715" t="s">
        <v>642</v>
      </c>
      <c r="K33" s="715" t="s">
        <v>642</v>
      </c>
      <c r="L33" s="715" t="s">
        <v>642</v>
      </c>
      <c r="M33" s="715" t="s">
        <v>642</v>
      </c>
      <c r="N33" s="715" t="s">
        <v>642</v>
      </c>
      <c r="O33" s="715" t="s">
        <v>642</v>
      </c>
      <c r="P33" s="715" t="s">
        <v>642</v>
      </c>
      <c r="Q33" s="715" t="s">
        <v>642</v>
      </c>
      <c r="R33" s="715" t="s">
        <v>642</v>
      </c>
      <c r="S33" s="715" t="s">
        <v>642</v>
      </c>
      <c r="T33" s="715" t="s">
        <v>642</v>
      </c>
      <c r="U33" s="715" t="s">
        <v>642</v>
      </c>
    </row>
    <row r="34" spans="1:21" x14ac:dyDescent="0.3">
      <c r="A34" s="735" t="s">
        <v>1172</v>
      </c>
      <c r="B34" s="715" t="s">
        <v>642</v>
      </c>
      <c r="C34" s="715" t="s">
        <v>642</v>
      </c>
      <c r="D34" s="715" t="s">
        <v>642</v>
      </c>
      <c r="E34" s="715" t="s">
        <v>642</v>
      </c>
      <c r="F34" s="715" t="s">
        <v>642</v>
      </c>
      <c r="G34" s="715" t="s">
        <v>642</v>
      </c>
      <c r="H34" s="715" t="s">
        <v>642</v>
      </c>
      <c r="I34" s="715" t="s">
        <v>642</v>
      </c>
      <c r="J34" s="715" t="s">
        <v>642</v>
      </c>
      <c r="K34" s="715" t="s">
        <v>642</v>
      </c>
      <c r="L34" s="715" t="s">
        <v>642</v>
      </c>
      <c r="M34" s="715" t="s">
        <v>642</v>
      </c>
      <c r="N34" s="715" t="s">
        <v>642</v>
      </c>
      <c r="O34" s="715" t="s">
        <v>642</v>
      </c>
      <c r="P34" s="715" t="s">
        <v>642</v>
      </c>
      <c r="Q34" s="715" t="s">
        <v>642</v>
      </c>
      <c r="R34" s="715" t="s">
        <v>642</v>
      </c>
      <c r="S34" s="715" t="s">
        <v>642</v>
      </c>
      <c r="T34" s="715" t="s">
        <v>642</v>
      </c>
      <c r="U34" s="715" t="s">
        <v>642</v>
      </c>
    </row>
    <row r="35" spans="1:21" x14ac:dyDescent="0.3">
      <c r="A35" s="735" t="s">
        <v>1173</v>
      </c>
      <c r="B35" s="715" t="s">
        <v>642</v>
      </c>
      <c r="C35" s="715" t="s">
        <v>642</v>
      </c>
      <c r="D35" s="715" t="s">
        <v>642</v>
      </c>
      <c r="E35" s="715" t="s">
        <v>642</v>
      </c>
      <c r="F35" s="715" t="s">
        <v>642</v>
      </c>
      <c r="G35" s="715" t="s">
        <v>642</v>
      </c>
      <c r="H35" s="715" t="s">
        <v>642</v>
      </c>
      <c r="I35" s="715" t="s">
        <v>642</v>
      </c>
      <c r="J35" s="715" t="s">
        <v>642</v>
      </c>
      <c r="K35" s="715" t="s">
        <v>642</v>
      </c>
      <c r="L35" s="715" t="s">
        <v>642</v>
      </c>
      <c r="M35" s="715" t="s">
        <v>642</v>
      </c>
      <c r="N35" s="715" t="s">
        <v>642</v>
      </c>
      <c r="O35" s="715" t="s">
        <v>642</v>
      </c>
      <c r="P35" s="715" t="s">
        <v>642</v>
      </c>
      <c r="Q35" s="715" t="s">
        <v>642</v>
      </c>
      <c r="R35" s="715" t="s">
        <v>642</v>
      </c>
      <c r="S35" s="715" t="s">
        <v>642</v>
      </c>
      <c r="T35" s="715" t="s">
        <v>642</v>
      </c>
      <c r="U35" s="715" t="s">
        <v>642</v>
      </c>
    </row>
    <row r="36" spans="1:21" x14ac:dyDescent="0.3">
      <c r="A36" s="735" t="s">
        <v>1174</v>
      </c>
      <c r="B36" s="715" t="s">
        <v>642</v>
      </c>
      <c r="C36" s="715" t="s">
        <v>642</v>
      </c>
      <c r="D36" s="715" t="s">
        <v>642</v>
      </c>
      <c r="E36" s="715" t="s">
        <v>642</v>
      </c>
      <c r="F36" s="715" t="s">
        <v>642</v>
      </c>
      <c r="G36" s="715" t="s">
        <v>642</v>
      </c>
      <c r="H36" s="715" t="s">
        <v>642</v>
      </c>
      <c r="I36" s="715" t="s">
        <v>642</v>
      </c>
      <c r="J36" s="715" t="s">
        <v>642</v>
      </c>
      <c r="K36" s="715" t="s">
        <v>642</v>
      </c>
      <c r="L36" s="715" t="s">
        <v>642</v>
      </c>
      <c r="M36" s="715" t="s">
        <v>642</v>
      </c>
      <c r="N36" s="715" t="s">
        <v>642</v>
      </c>
      <c r="O36" s="715" t="s">
        <v>642</v>
      </c>
      <c r="P36" s="715" t="s">
        <v>642</v>
      </c>
      <c r="Q36" s="715" t="s">
        <v>642</v>
      </c>
      <c r="R36" s="715" t="s">
        <v>642</v>
      </c>
      <c r="S36" s="715" t="s">
        <v>642</v>
      </c>
      <c r="T36" s="715" t="s">
        <v>642</v>
      </c>
      <c r="U36" s="715" t="s">
        <v>642</v>
      </c>
    </row>
    <row r="37" spans="1:21" x14ac:dyDescent="0.3">
      <c r="A37" s="735" t="s">
        <v>1175</v>
      </c>
      <c r="B37" s="715" t="s">
        <v>642</v>
      </c>
      <c r="C37" s="715" t="s">
        <v>642</v>
      </c>
      <c r="D37" s="715" t="s">
        <v>642</v>
      </c>
      <c r="E37" s="715" t="s">
        <v>642</v>
      </c>
      <c r="F37" s="715" t="s">
        <v>642</v>
      </c>
      <c r="G37" s="715" t="s">
        <v>642</v>
      </c>
      <c r="H37" s="715" t="s">
        <v>642</v>
      </c>
      <c r="I37" s="715" t="s">
        <v>642</v>
      </c>
      <c r="J37" s="715" t="s">
        <v>642</v>
      </c>
      <c r="K37" s="715" t="s">
        <v>642</v>
      </c>
      <c r="L37" s="715" t="s">
        <v>642</v>
      </c>
      <c r="M37" s="715" t="s">
        <v>642</v>
      </c>
      <c r="N37" s="715" t="s">
        <v>642</v>
      </c>
      <c r="O37" s="715" t="s">
        <v>642</v>
      </c>
      <c r="P37" s="715" t="s">
        <v>642</v>
      </c>
      <c r="Q37" s="715" t="s">
        <v>642</v>
      </c>
      <c r="R37" s="715" t="s">
        <v>642</v>
      </c>
      <c r="S37" s="715" t="s">
        <v>642</v>
      </c>
      <c r="T37" s="715" t="s">
        <v>642</v>
      </c>
      <c r="U37" s="715" t="s">
        <v>642</v>
      </c>
    </row>
    <row r="38" spans="1:21" x14ac:dyDescent="0.3">
      <c r="A38" s="735" t="s">
        <v>226</v>
      </c>
      <c r="B38" s="715" t="s">
        <v>642</v>
      </c>
      <c r="C38" s="715" t="s">
        <v>642</v>
      </c>
      <c r="D38" s="715" t="s">
        <v>642</v>
      </c>
      <c r="E38" s="715" t="s">
        <v>642</v>
      </c>
      <c r="F38" s="715" t="s">
        <v>642</v>
      </c>
      <c r="G38" s="715" t="s">
        <v>642</v>
      </c>
      <c r="H38" s="715" t="s">
        <v>642</v>
      </c>
      <c r="I38" s="715" t="s">
        <v>642</v>
      </c>
      <c r="J38" s="715" t="s">
        <v>642</v>
      </c>
      <c r="K38" s="715" t="s">
        <v>642</v>
      </c>
      <c r="L38" s="715" t="s">
        <v>642</v>
      </c>
      <c r="M38" s="715" t="s">
        <v>642</v>
      </c>
      <c r="N38" s="715" t="s">
        <v>642</v>
      </c>
      <c r="O38" s="715" t="s">
        <v>642</v>
      </c>
      <c r="P38" s="715" t="s">
        <v>642</v>
      </c>
      <c r="Q38" s="715" t="s">
        <v>642</v>
      </c>
      <c r="R38" s="715" t="s">
        <v>642</v>
      </c>
      <c r="S38" s="715" t="s">
        <v>642</v>
      </c>
      <c r="T38" s="715" t="s">
        <v>642</v>
      </c>
      <c r="U38" s="715" t="s">
        <v>642</v>
      </c>
    </row>
    <row r="39" spans="1:21" x14ac:dyDescent="0.3">
      <c r="A39" s="735" t="s">
        <v>1100</v>
      </c>
      <c r="B39" s="716">
        <v>1072750.93</v>
      </c>
      <c r="C39" s="716">
        <v>1071219.69</v>
      </c>
      <c r="D39" s="716">
        <v>1217082</v>
      </c>
      <c r="E39" s="716">
        <v>1756297.19</v>
      </c>
      <c r="F39" s="716">
        <v>1933239.44</v>
      </c>
      <c r="G39" s="716">
        <v>1874012.63</v>
      </c>
      <c r="H39" s="716">
        <v>1423976.03</v>
      </c>
      <c r="I39" s="716">
        <v>1824724.66</v>
      </c>
      <c r="J39" s="716">
        <v>1317114.1399999999</v>
      </c>
      <c r="K39" s="716">
        <v>717155.03</v>
      </c>
      <c r="L39" s="716">
        <v>365058.14</v>
      </c>
      <c r="M39" s="716">
        <v>121073.97</v>
      </c>
      <c r="N39" s="716">
        <v>130053.95</v>
      </c>
      <c r="O39" s="716">
        <v>649714.01</v>
      </c>
      <c r="P39" s="716">
        <v>1331725.01</v>
      </c>
      <c r="Q39" s="716">
        <v>1855480.05</v>
      </c>
      <c r="R39" s="716">
        <v>2103966.8199999998</v>
      </c>
      <c r="S39" s="716">
        <v>2116015.0699999998</v>
      </c>
      <c r="T39" s="716">
        <v>1847100.92</v>
      </c>
      <c r="U39" s="716">
        <v>1146853.1000000001</v>
      </c>
    </row>
    <row r="40" spans="1:21" x14ac:dyDescent="0.3">
      <c r="A40" s="735" t="s">
        <v>1166</v>
      </c>
      <c r="B40" s="716">
        <v>573162.28</v>
      </c>
      <c r="C40" s="716">
        <v>544536.68000000005</v>
      </c>
      <c r="D40" s="716">
        <v>547742.68000000005</v>
      </c>
      <c r="E40" s="716">
        <v>851232.16</v>
      </c>
      <c r="F40" s="716">
        <v>919594.98</v>
      </c>
      <c r="G40" s="716">
        <v>801457.08</v>
      </c>
      <c r="H40" s="716">
        <v>713796.62</v>
      </c>
      <c r="I40" s="716">
        <v>757671.14</v>
      </c>
      <c r="J40" s="716">
        <v>770666.18</v>
      </c>
      <c r="K40" s="716">
        <v>407474.45</v>
      </c>
      <c r="L40" s="716">
        <v>463343.03</v>
      </c>
      <c r="M40" s="716">
        <v>352693.73</v>
      </c>
      <c r="N40" s="716">
        <v>358633.63</v>
      </c>
      <c r="O40" s="716">
        <v>447668.8</v>
      </c>
      <c r="P40" s="716">
        <v>725065.07</v>
      </c>
      <c r="Q40" s="716">
        <v>992880.68</v>
      </c>
      <c r="R40" s="716">
        <v>1143548.69</v>
      </c>
      <c r="S40" s="716">
        <v>1296687.3400000001</v>
      </c>
      <c r="T40" s="716">
        <v>1299476.6100000001</v>
      </c>
      <c r="U40" s="716">
        <v>1403064.94</v>
      </c>
    </row>
    <row r="41" spans="1:21" x14ac:dyDescent="0.3">
      <c r="A41" s="735" t="s">
        <v>963</v>
      </c>
      <c r="B41" s="715">
        <v>53.43</v>
      </c>
      <c r="C41" s="715">
        <v>50.83</v>
      </c>
      <c r="D41" s="715">
        <v>45</v>
      </c>
      <c r="E41" s="715">
        <v>48.47</v>
      </c>
      <c r="F41" s="715">
        <v>47.57</v>
      </c>
      <c r="G41" s="715">
        <v>42.77</v>
      </c>
      <c r="H41" s="715">
        <v>50.13</v>
      </c>
      <c r="I41" s="715">
        <v>41.52</v>
      </c>
      <c r="J41" s="715">
        <v>58.51</v>
      </c>
      <c r="K41" s="715">
        <v>56.82</v>
      </c>
      <c r="L41" s="715">
        <v>126.92</v>
      </c>
      <c r="M41" s="715">
        <v>291.3</v>
      </c>
      <c r="N41" s="715">
        <v>275.76</v>
      </c>
      <c r="O41" s="715">
        <v>68.900000000000006</v>
      </c>
      <c r="P41" s="715">
        <v>54.45</v>
      </c>
      <c r="Q41" s="715">
        <v>53.51</v>
      </c>
      <c r="R41" s="715">
        <v>54.35</v>
      </c>
      <c r="S41" s="715">
        <v>61.28</v>
      </c>
      <c r="T41" s="715">
        <v>70.349999999999994</v>
      </c>
      <c r="U41" s="715">
        <v>122.34</v>
      </c>
    </row>
    <row r="42" spans="1:21" x14ac:dyDescent="0.3">
      <c r="A42" s="735" t="s">
        <v>1167</v>
      </c>
      <c r="B42" s="716">
        <v>650295.92000000004</v>
      </c>
      <c r="C42" s="716">
        <v>614835.47</v>
      </c>
      <c r="D42" s="716">
        <v>728464.3</v>
      </c>
      <c r="E42" s="716">
        <v>963383.96</v>
      </c>
      <c r="F42" s="716">
        <v>1069377.49</v>
      </c>
      <c r="G42" s="716">
        <v>1119909</v>
      </c>
      <c r="H42" s="716">
        <v>962178.56000000006</v>
      </c>
      <c r="I42" s="716">
        <v>1088520.8700000001</v>
      </c>
      <c r="J42" s="716">
        <v>566587.32999999996</v>
      </c>
      <c r="K42" s="716">
        <v>325979.56</v>
      </c>
      <c r="L42" s="716">
        <v>-82967.759999999995</v>
      </c>
      <c r="M42" s="716">
        <v>-215827.51</v>
      </c>
      <c r="N42" s="716">
        <v>-211501.89</v>
      </c>
      <c r="O42" s="716">
        <v>172992.96</v>
      </c>
      <c r="P42" s="716">
        <v>619963.89</v>
      </c>
      <c r="Q42" s="716">
        <v>880427.34</v>
      </c>
      <c r="R42" s="716">
        <v>992974.67</v>
      </c>
      <c r="S42" s="716">
        <v>850035.08</v>
      </c>
      <c r="T42" s="715" t="s">
        <v>642</v>
      </c>
      <c r="U42" s="715" t="s">
        <v>642</v>
      </c>
    </row>
    <row r="43" spans="1:21" x14ac:dyDescent="0.3">
      <c r="A43" s="735" t="s">
        <v>963</v>
      </c>
      <c r="B43" s="715">
        <v>60.62</v>
      </c>
      <c r="C43" s="715">
        <v>57.4</v>
      </c>
      <c r="D43" s="715">
        <v>59.85</v>
      </c>
      <c r="E43" s="715">
        <v>54.85</v>
      </c>
      <c r="F43" s="715">
        <v>55.32</v>
      </c>
      <c r="G43" s="715">
        <v>59.76</v>
      </c>
      <c r="H43" s="715">
        <v>67.569999999999993</v>
      </c>
      <c r="I43" s="715">
        <v>59.65</v>
      </c>
      <c r="J43" s="715">
        <v>43.02</v>
      </c>
      <c r="K43" s="715">
        <v>45.45</v>
      </c>
      <c r="L43" s="715">
        <v>-22.73</v>
      </c>
      <c r="M43" s="715">
        <v>-178.26</v>
      </c>
      <c r="N43" s="715">
        <v>-162.63</v>
      </c>
      <c r="O43" s="715">
        <v>26.63</v>
      </c>
      <c r="P43" s="715">
        <v>46.55</v>
      </c>
      <c r="Q43" s="715">
        <v>47.45</v>
      </c>
      <c r="R43" s="715">
        <v>47.2</v>
      </c>
      <c r="S43" s="715">
        <v>40.17</v>
      </c>
      <c r="T43" s="715" t="s">
        <v>642</v>
      </c>
      <c r="U43" s="715" t="s">
        <v>642</v>
      </c>
    </row>
    <row r="44" spans="1:21" x14ac:dyDescent="0.3">
      <c r="A44" s="735" t="s">
        <v>226</v>
      </c>
      <c r="B44" s="715" t="s">
        <v>642</v>
      </c>
      <c r="C44" s="715" t="s">
        <v>642</v>
      </c>
      <c r="D44" s="715" t="s">
        <v>642</v>
      </c>
      <c r="E44" s="715" t="s">
        <v>642</v>
      </c>
      <c r="F44" s="715" t="s">
        <v>642</v>
      </c>
      <c r="G44" s="715" t="s">
        <v>642</v>
      </c>
      <c r="H44" s="715" t="s">
        <v>642</v>
      </c>
      <c r="I44" s="715" t="s">
        <v>642</v>
      </c>
      <c r="J44" s="715" t="s">
        <v>642</v>
      </c>
      <c r="K44" s="715" t="s">
        <v>642</v>
      </c>
      <c r="L44" s="715" t="s">
        <v>642</v>
      </c>
      <c r="M44" s="715" t="s">
        <v>642</v>
      </c>
      <c r="N44" s="715" t="s">
        <v>642</v>
      </c>
      <c r="O44" s="715" t="s">
        <v>642</v>
      </c>
      <c r="P44" s="715" t="s">
        <v>642</v>
      </c>
      <c r="Q44" s="715" t="s">
        <v>642</v>
      </c>
      <c r="R44" s="715" t="s">
        <v>642</v>
      </c>
      <c r="S44" s="715" t="s">
        <v>642</v>
      </c>
      <c r="T44" s="715" t="s">
        <v>642</v>
      </c>
      <c r="U44" s="715" t="s">
        <v>642</v>
      </c>
    </row>
    <row r="45" spans="1:21" ht="25.5" x14ac:dyDescent="0.3">
      <c r="A45" s="735" t="s">
        <v>1105</v>
      </c>
      <c r="B45" s="715">
        <v>26.3</v>
      </c>
      <c r="C45" s="715">
        <v>26.4</v>
      </c>
      <c r="D45" s="715">
        <v>27.7</v>
      </c>
      <c r="E45" s="715">
        <v>32.9</v>
      </c>
      <c r="F45" s="715">
        <v>33.9</v>
      </c>
      <c r="G45" s="715">
        <v>33.6</v>
      </c>
      <c r="H45" s="715">
        <v>31.7</v>
      </c>
      <c r="I45" s="715">
        <v>32.299999999999997</v>
      </c>
      <c r="J45" s="715">
        <v>26.7</v>
      </c>
      <c r="K45" s="715">
        <v>17.399999999999999</v>
      </c>
      <c r="L45" s="715">
        <v>10.6</v>
      </c>
      <c r="M45" s="715">
        <v>3.9</v>
      </c>
      <c r="N45" s="715">
        <v>4.0999999999999996</v>
      </c>
      <c r="O45" s="715">
        <v>15.5</v>
      </c>
      <c r="P45" s="715">
        <v>29.3</v>
      </c>
      <c r="Q45" s="715">
        <v>36.299999999999997</v>
      </c>
      <c r="R45" s="715">
        <v>38.5</v>
      </c>
      <c r="S45" s="715">
        <v>35.9</v>
      </c>
      <c r="T45" s="715" t="s">
        <v>642</v>
      </c>
      <c r="U45" s="715" t="s">
        <v>642</v>
      </c>
    </row>
    <row r="46" spans="1:21" x14ac:dyDescent="0.3">
      <c r="A46" s="735" t="s">
        <v>1166</v>
      </c>
      <c r="B46" s="715">
        <v>26.2</v>
      </c>
      <c r="C46" s="715">
        <v>25.6</v>
      </c>
      <c r="D46" s="715">
        <v>25</v>
      </c>
      <c r="E46" s="715">
        <v>30.3</v>
      </c>
      <c r="F46" s="715">
        <v>30.9</v>
      </c>
      <c r="G46" s="715">
        <v>36.1</v>
      </c>
      <c r="H46" s="715">
        <v>27.7</v>
      </c>
      <c r="I46" s="715">
        <v>35.9</v>
      </c>
      <c r="J46" s="715">
        <v>28.5</v>
      </c>
      <c r="K46" s="715">
        <v>14.5</v>
      </c>
      <c r="L46" s="715">
        <v>24.3</v>
      </c>
      <c r="M46" s="715">
        <v>20.7</v>
      </c>
      <c r="N46" s="715">
        <v>22.9</v>
      </c>
      <c r="O46" s="715">
        <v>24.8</v>
      </c>
      <c r="P46" s="715">
        <v>31.1</v>
      </c>
      <c r="Q46" s="715">
        <v>36.1</v>
      </c>
      <c r="R46" s="715">
        <v>38.1</v>
      </c>
      <c r="S46" s="715">
        <v>38.6</v>
      </c>
      <c r="T46" s="715">
        <v>39.07</v>
      </c>
      <c r="U46" s="715">
        <v>39.89</v>
      </c>
    </row>
    <row r="47" spans="1:21" x14ac:dyDescent="0.3">
      <c r="A47" s="735" t="s">
        <v>963</v>
      </c>
      <c r="B47" s="715">
        <v>99.62</v>
      </c>
      <c r="C47" s="715">
        <v>96.97</v>
      </c>
      <c r="D47" s="715">
        <v>90.25</v>
      </c>
      <c r="E47" s="715">
        <v>92.1</v>
      </c>
      <c r="F47" s="715">
        <v>91.15</v>
      </c>
      <c r="G47" s="715">
        <v>107.44</v>
      </c>
      <c r="H47" s="715">
        <v>87.38</v>
      </c>
      <c r="I47" s="715">
        <v>111.15</v>
      </c>
      <c r="J47" s="715">
        <v>106.74</v>
      </c>
      <c r="K47" s="715">
        <v>83.33</v>
      </c>
      <c r="L47" s="715">
        <v>229.25</v>
      </c>
      <c r="M47" s="715">
        <v>530.77</v>
      </c>
      <c r="N47" s="715">
        <v>558.54</v>
      </c>
      <c r="O47" s="715">
        <v>160</v>
      </c>
      <c r="P47" s="715">
        <v>106.14</v>
      </c>
      <c r="Q47" s="715">
        <v>99.45</v>
      </c>
      <c r="R47" s="715">
        <v>98.96</v>
      </c>
      <c r="S47" s="715">
        <v>107.52</v>
      </c>
      <c r="T47" s="715" t="s">
        <v>642</v>
      </c>
      <c r="U47" s="715" t="s">
        <v>642</v>
      </c>
    </row>
    <row r="48" spans="1:21" x14ac:dyDescent="0.3">
      <c r="A48" s="735" t="s">
        <v>1167</v>
      </c>
      <c r="B48" s="715">
        <v>26.4</v>
      </c>
      <c r="C48" s="715">
        <v>27.1</v>
      </c>
      <c r="D48" s="715">
        <v>30</v>
      </c>
      <c r="E48" s="715">
        <v>35.5</v>
      </c>
      <c r="F48" s="715">
        <v>37</v>
      </c>
      <c r="G48" s="715">
        <v>30.6</v>
      </c>
      <c r="H48" s="715">
        <v>35.6</v>
      </c>
      <c r="I48" s="715">
        <v>28.2</v>
      </c>
      <c r="J48" s="715">
        <v>24.5</v>
      </c>
      <c r="K48" s="715">
        <v>20.7</v>
      </c>
      <c r="L48" s="715">
        <v>-5</v>
      </c>
      <c r="M48" s="715">
        <v>-11.9</v>
      </c>
      <c r="N48" s="715">
        <v>-10.3</v>
      </c>
      <c r="O48" s="715">
        <v>7.9</v>
      </c>
      <c r="P48" s="715">
        <v>27.4</v>
      </c>
      <c r="Q48" s="715">
        <v>36.5</v>
      </c>
      <c r="R48" s="715">
        <v>38.9</v>
      </c>
      <c r="S48" s="715">
        <v>32.5</v>
      </c>
      <c r="T48" s="715" t="s">
        <v>642</v>
      </c>
      <c r="U48" s="715" t="s">
        <v>642</v>
      </c>
    </row>
    <row r="49" spans="1:21" x14ac:dyDescent="0.3">
      <c r="A49" s="735" t="s">
        <v>963</v>
      </c>
      <c r="B49" s="715">
        <v>100.38</v>
      </c>
      <c r="C49" s="715">
        <v>102.65</v>
      </c>
      <c r="D49" s="715">
        <v>108.3</v>
      </c>
      <c r="E49" s="715">
        <v>107.9</v>
      </c>
      <c r="F49" s="715">
        <v>109.14</v>
      </c>
      <c r="G49" s="715">
        <v>91.07</v>
      </c>
      <c r="H49" s="715">
        <v>112.3</v>
      </c>
      <c r="I49" s="715">
        <v>87.31</v>
      </c>
      <c r="J49" s="715">
        <v>91.76</v>
      </c>
      <c r="K49" s="715">
        <v>118.97</v>
      </c>
      <c r="L49" s="715">
        <v>-47.17</v>
      </c>
      <c r="M49" s="715">
        <v>-305.13</v>
      </c>
      <c r="N49" s="715">
        <v>-251.22</v>
      </c>
      <c r="O49" s="715">
        <v>50.97</v>
      </c>
      <c r="P49" s="715">
        <v>93.52</v>
      </c>
      <c r="Q49" s="715">
        <v>100.55</v>
      </c>
      <c r="R49" s="715">
        <v>101.04</v>
      </c>
      <c r="S49" s="715">
        <v>90.53</v>
      </c>
      <c r="T49" s="715" t="s">
        <v>642</v>
      </c>
      <c r="U49" s="715" t="s">
        <v>642</v>
      </c>
    </row>
    <row r="50" spans="1:21" x14ac:dyDescent="0.3">
      <c r="A50" s="741" t="s">
        <v>811</v>
      </c>
      <c r="B50" s="723" t="s">
        <v>642</v>
      </c>
      <c r="C50" s="723" t="s">
        <v>642</v>
      </c>
      <c r="D50" s="723" t="s">
        <v>642</v>
      </c>
      <c r="E50" s="723" t="s">
        <v>642</v>
      </c>
      <c r="F50" s="723" t="s">
        <v>642</v>
      </c>
      <c r="G50" s="723" t="s">
        <v>642</v>
      </c>
      <c r="H50" s="723" t="s">
        <v>642</v>
      </c>
      <c r="I50" s="723" t="s">
        <v>642</v>
      </c>
      <c r="J50" s="723" t="s">
        <v>642</v>
      </c>
      <c r="K50" s="723" t="s">
        <v>642</v>
      </c>
      <c r="L50" s="723" t="s">
        <v>642</v>
      </c>
      <c r="M50" s="723" t="s">
        <v>642</v>
      </c>
      <c r="N50" s="723" t="s">
        <v>642</v>
      </c>
      <c r="O50" s="723" t="s">
        <v>642</v>
      </c>
      <c r="P50" s="723" t="s">
        <v>642</v>
      </c>
      <c r="Q50" s="723" t="s">
        <v>642</v>
      </c>
      <c r="R50" s="723" t="s">
        <v>642</v>
      </c>
      <c r="S50" s="723" t="s">
        <v>642</v>
      </c>
      <c r="T50" s="723" t="s">
        <v>642</v>
      </c>
      <c r="U50" s="723" t="s">
        <v>642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9"/>
  <sheetViews>
    <sheetView showGridLines="0" zoomScale="74" workbookViewId="0"/>
  </sheetViews>
  <sheetFormatPr defaultRowHeight="14" x14ac:dyDescent="0.3"/>
  <cols>
    <col min="1" max="1" width="36" bestFit="1" customWidth="1"/>
    <col min="2" max="2" width="36" hidden="1" customWidth="1"/>
    <col min="3" max="11" width="9.75" hidden="1" customWidth="1"/>
    <col min="12" max="12" width="9.75" bestFit="1" customWidth="1"/>
    <col min="13" max="13" width="0" hidden="1" customWidth="1"/>
    <col min="14" max="15" width="9.75" hidden="1" customWidth="1"/>
  </cols>
  <sheetData>
    <row r="1" spans="1:16" ht="14.5" x14ac:dyDescent="0.35">
      <c r="A1" s="725" t="s">
        <v>642</v>
      </c>
      <c r="B1" s="725" t="s">
        <v>642</v>
      </c>
      <c r="C1" s="701" t="s">
        <v>642</v>
      </c>
      <c r="D1" s="701" t="s">
        <v>642</v>
      </c>
      <c r="E1" s="701" t="s">
        <v>642</v>
      </c>
      <c r="F1" s="701" t="s">
        <v>642</v>
      </c>
      <c r="G1" s="701" t="s">
        <v>642</v>
      </c>
      <c r="H1" s="701" t="s">
        <v>642</v>
      </c>
      <c r="I1" s="701" t="s">
        <v>642</v>
      </c>
      <c r="J1" s="701" t="s">
        <v>642</v>
      </c>
      <c r="K1" s="701" t="s">
        <v>642</v>
      </c>
      <c r="L1" s="701" t="s">
        <v>642</v>
      </c>
      <c r="M1" s="701" t="s">
        <v>642</v>
      </c>
      <c r="N1" s="701" t="s">
        <v>642</v>
      </c>
      <c r="O1" s="701" t="s">
        <v>642</v>
      </c>
    </row>
    <row r="2" spans="1:16" ht="40" x14ac:dyDescent="0.4">
      <c r="A2" s="726" t="s">
        <v>1178</v>
      </c>
      <c r="B2" s="727"/>
      <c r="C2" s="703"/>
      <c r="D2" s="703"/>
      <c r="E2" s="703"/>
      <c r="F2" s="703"/>
      <c r="G2" s="702" t="s">
        <v>642</v>
      </c>
      <c r="H2" s="702" t="s">
        <v>642</v>
      </c>
      <c r="I2" s="702" t="s">
        <v>642</v>
      </c>
      <c r="J2" s="702" t="s">
        <v>642</v>
      </c>
      <c r="K2" s="702" t="s">
        <v>642</v>
      </c>
      <c r="L2" s="702" t="s">
        <v>642</v>
      </c>
      <c r="M2" s="702" t="s">
        <v>642</v>
      </c>
      <c r="N2" s="702" t="s">
        <v>642</v>
      </c>
      <c r="O2" s="702" t="s">
        <v>642</v>
      </c>
      <c r="P2" s="702" t="s">
        <v>642</v>
      </c>
    </row>
    <row r="3" spans="1:16" x14ac:dyDescent="0.3">
      <c r="A3" s="728" t="s">
        <v>642</v>
      </c>
      <c r="B3" s="728" t="s">
        <v>642</v>
      </c>
      <c r="C3" s="704" t="s">
        <v>642</v>
      </c>
      <c r="D3" s="704" t="s">
        <v>642</v>
      </c>
      <c r="E3" s="704" t="s">
        <v>642</v>
      </c>
      <c r="F3" s="704" t="s">
        <v>642</v>
      </c>
      <c r="G3" s="704" t="s">
        <v>642</v>
      </c>
      <c r="H3" s="704" t="s">
        <v>642</v>
      </c>
      <c r="I3" s="704" t="s">
        <v>642</v>
      </c>
      <c r="J3" s="704" t="s">
        <v>642</v>
      </c>
      <c r="K3" s="704" t="s">
        <v>642</v>
      </c>
      <c r="L3" s="704" t="s">
        <v>642</v>
      </c>
      <c r="M3" s="704" t="s">
        <v>642</v>
      </c>
      <c r="N3" s="704" t="s">
        <v>642</v>
      </c>
      <c r="O3" s="704" t="s">
        <v>642</v>
      </c>
    </row>
    <row r="4" spans="1:16" x14ac:dyDescent="0.3">
      <c r="A4" s="729" t="s">
        <v>1179</v>
      </c>
      <c r="B4" s="730" t="s">
        <v>724</v>
      </c>
      <c r="C4" s="706" t="s">
        <v>725</v>
      </c>
      <c r="D4" s="706" t="s">
        <v>726</v>
      </c>
      <c r="E4" s="706" t="s">
        <v>727</v>
      </c>
      <c r="F4" s="706" t="s">
        <v>728</v>
      </c>
      <c r="G4" s="706" t="s">
        <v>729</v>
      </c>
      <c r="H4" s="706" t="s">
        <v>730</v>
      </c>
      <c r="I4" s="706" t="s">
        <v>731</v>
      </c>
      <c r="J4" s="706" t="s">
        <v>732</v>
      </c>
      <c r="K4" s="706" t="s">
        <v>733</v>
      </c>
      <c r="L4" s="706" t="s">
        <v>734</v>
      </c>
      <c r="M4" s="706" t="s">
        <v>735</v>
      </c>
      <c r="N4" s="706" t="s">
        <v>736</v>
      </c>
      <c r="O4" s="706" t="s">
        <v>737</v>
      </c>
    </row>
    <row r="5" spans="1:16" x14ac:dyDescent="0.3">
      <c r="A5" s="731" t="s">
        <v>738</v>
      </c>
      <c r="B5" s="732">
        <v>41817</v>
      </c>
      <c r="C5" s="709">
        <v>42188</v>
      </c>
      <c r="D5" s="709">
        <v>42552</v>
      </c>
      <c r="E5" s="709">
        <v>42916</v>
      </c>
      <c r="F5" s="709">
        <v>43280</v>
      </c>
      <c r="G5" s="709">
        <v>43644</v>
      </c>
      <c r="H5" s="709">
        <v>44015</v>
      </c>
      <c r="I5" s="709">
        <v>44379</v>
      </c>
      <c r="J5" s="709">
        <v>44743</v>
      </c>
      <c r="K5" s="709">
        <v>45107</v>
      </c>
      <c r="L5" s="709">
        <v>45471</v>
      </c>
      <c r="M5" s="709">
        <v>45653</v>
      </c>
      <c r="N5" s="709">
        <v>45838</v>
      </c>
      <c r="O5" s="709">
        <v>46203</v>
      </c>
    </row>
    <row r="6" spans="1:16" x14ac:dyDescent="0.3">
      <c r="A6" s="733" t="s">
        <v>215</v>
      </c>
      <c r="B6" s="790">
        <v>16160200</v>
      </c>
      <c r="C6" s="798">
        <v>15732300</v>
      </c>
      <c r="D6" s="798">
        <v>15240900</v>
      </c>
      <c r="E6" s="798">
        <v>21779700</v>
      </c>
      <c r="F6" s="798">
        <v>22675200</v>
      </c>
      <c r="G6" s="798">
        <v>18809100</v>
      </c>
      <c r="H6" s="798">
        <v>20013300</v>
      </c>
      <c r="I6" s="798">
        <v>19208900</v>
      </c>
      <c r="J6" s="798">
        <v>22609700</v>
      </c>
      <c r="K6" s="798">
        <v>16299700</v>
      </c>
      <c r="L6" s="798">
        <v>17344600</v>
      </c>
      <c r="M6" s="799">
        <v>21263772</v>
      </c>
      <c r="N6" s="798">
        <v>16157703</v>
      </c>
      <c r="O6" s="798">
        <v>16315502</v>
      </c>
    </row>
    <row r="7" spans="1:16" x14ac:dyDescent="0.3">
      <c r="A7" s="735" t="s">
        <v>739</v>
      </c>
      <c r="B7" s="789">
        <v>16160200</v>
      </c>
      <c r="C7" s="796">
        <v>15732300</v>
      </c>
      <c r="D7" s="796">
        <v>15240900</v>
      </c>
      <c r="E7" s="796">
        <v>21779700</v>
      </c>
      <c r="F7" s="796">
        <v>22675200</v>
      </c>
      <c r="G7" s="796">
        <v>18809100</v>
      </c>
      <c r="H7" s="796">
        <v>20013300</v>
      </c>
      <c r="I7" s="796">
        <v>19208900</v>
      </c>
      <c r="J7" s="796">
        <v>22609700</v>
      </c>
      <c r="K7" s="796">
        <v>16299700</v>
      </c>
      <c r="L7" s="796">
        <v>17344600</v>
      </c>
      <c r="M7" s="797">
        <v>21296906</v>
      </c>
      <c r="N7" s="715" t="s">
        <v>642</v>
      </c>
      <c r="O7" s="715" t="s">
        <v>642</v>
      </c>
    </row>
    <row r="8" spans="1:16" x14ac:dyDescent="0.3">
      <c r="A8" s="735" t="s">
        <v>742</v>
      </c>
      <c r="B8" s="789">
        <v>11437100</v>
      </c>
      <c r="C8" s="796">
        <v>11175200</v>
      </c>
      <c r="D8" s="796">
        <v>10982000</v>
      </c>
      <c r="E8" s="796">
        <v>14775700</v>
      </c>
      <c r="F8" s="796">
        <v>13727900</v>
      </c>
      <c r="G8" s="796">
        <v>14048100</v>
      </c>
      <c r="H8" s="796">
        <v>15416500</v>
      </c>
      <c r="I8" s="796">
        <v>13991800</v>
      </c>
      <c r="J8" s="796">
        <v>15302100</v>
      </c>
      <c r="K8" s="796">
        <v>13802700</v>
      </c>
      <c r="L8" s="796">
        <v>13416200</v>
      </c>
      <c r="M8" s="797">
        <v>13875085</v>
      </c>
      <c r="N8" s="715" t="s">
        <v>642</v>
      </c>
      <c r="O8" s="715" t="s">
        <v>642</v>
      </c>
    </row>
    <row r="9" spans="1:16" x14ac:dyDescent="0.3">
      <c r="A9" s="735" t="s">
        <v>743</v>
      </c>
      <c r="B9" s="789">
        <v>11437100</v>
      </c>
      <c r="C9" s="796">
        <v>11175200</v>
      </c>
      <c r="D9" s="796">
        <v>10982000</v>
      </c>
      <c r="E9" s="796">
        <v>14775700</v>
      </c>
      <c r="F9" s="796">
        <v>13727900</v>
      </c>
      <c r="G9" s="796">
        <v>14048100</v>
      </c>
      <c r="H9" s="796">
        <v>15416500</v>
      </c>
      <c r="I9" s="796">
        <v>13991800</v>
      </c>
      <c r="J9" s="796">
        <v>15302100</v>
      </c>
      <c r="K9" s="796">
        <v>13802700</v>
      </c>
      <c r="L9" s="796">
        <v>13416200</v>
      </c>
      <c r="M9" s="797">
        <v>13889715</v>
      </c>
      <c r="N9" s="715" t="s">
        <v>642</v>
      </c>
      <c r="O9" s="715" t="s">
        <v>642</v>
      </c>
    </row>
    <row r="10" spans="1:16" x14ac:dyDescent="0.3">
      <c r="A10" s="733" t="s">
        <v>276</v>
      </c>
      <c r="B10" s="790">
        <v>4723100</v>
      </c>
      <c r="C10" s="798">
        <v>4557100</v>
      </c>
      <c r="D10" s="798">
        <v>4258900</v>
      </c>
      <c r="E10" s="798">
        <v>7004000</v>
      </c>
      <c r="F10" s="798">
        <v>8947300</v>
      </c>
      <c r="G10" s="798">
        <v>4761000</v>
      </c>
      <c r="H10" s="798">
        <v>4596700</v>
      </c>
      <c r="I10" s="798">
        <v>5217100</v>
      </c>
      <c r="J10" s="798">
        <v>7307600</v>
      </c>
      <c r="K10" s="798">
        <v>2497000</v>
      </c>
      <c r="L10" s="798">
        <v>3928300</v>
      </c>
      <c r="M10" s="799">
        <v>7388687</v>
      </c>
      <c r="N10" s="710" t="s">
        <v>642</v>
      </c>
      <c r="O10" s="798">
        <v>6158776</v>
      </c>
    </row>
    <row r="11" spans="1:16" x14ac:dyDescent="0.3">
      <c r="A11" s="735" t="s">
        <v>746</v>
      </c>
      <c r="B11" s="737">
        <v>0</v>
      </c>
      <c r="C11" s="715">
        <v>0</v>
      </c>
      <c r="D11" s="715">
        <v>0</v>
      </c>
      <c r="E11" s="715">
        <v>0</v>
      </c>
      <c r="F11" s="715">
        <v>0</v>
      </c>
      <c r="G11" s="715">
        <v>0</v>
      </c>
      <c r="H11" s="715">
        <v>0</v>
      </c>
      <c r="I11" s="715">
        <v>0</v>
      </c>
      <c r="J11" s="715">
        <v>0</v>
      </c>
      <c r="K11" s="715">
        <v>0</v>
      </c>
      <c r="L11" s="715">
        <v>0</v>
      </c>
      <c r="M11" s="717">
        <v>0</v>
      </c>
      <c r="N11" s="715" t="s">
        <v>642</v>
      </c>
      <c r="O11" s="715" t="s">
        <v>642</v>
      </c>
    </row>
    <row r="12" spans="1:16" x14ac:dyDescent="0.3">
      <c r="A12" s="735" t="s">
        <v>747</v>
      </c>
      <c r="B12" s="789">
        <v>2691600</v>
      </c>
      <c r="C12" s="796">
        <v>2624600</v>
      </c>
      <c r="D12" s="796">
        <v>2703600</v>
      </c>
      <c r="E12" s="796">
        <v>4197800</v>
      </c>
      <c r="F12" s="796">
        <v>4686200</v>
      </c>
      <c r="G12" s="796">
        <v>3888000</v>
      </c>
      <c r="H12" s="796">
        <v>4053800</v>
      </c>
      <c r="I12" s="796">
        <v>4065000</v>
      </c>
      <c r="J12" s="796">
        <v>4113400</v>
      </c>
      <c r="K12" s="796">
        <v>3870500</v>
      </c>
      <c r="L12" s="796">
        <v>3504100</v>
      </c>
      <c r="M12" s="797">
        <v>3603706</v>
      </c>
      <c r="N12" s="715" t="s">
        <v>642</v>
      </c>
      <c r="O12" s="715" t="s">
        <v>642</v>
      </c>
    </row>
    <row r="13" spans="1:16" x14ac:dyDescent="0.3">
      <c r="A13" s="735" t="s">
        <v>748</v>
      </c>
      <c r="B13" s="789">
        <v>923898</v>
      </c>
      <c r="C13" s="796">
        <v>890690</v>
      </c>
      <c r="D13" s="796">
        <v>1169400</v>
      </c>
      <c r="E13" s="796">
        <v>1648300</v>
      </c>
      <c r="F13" s="796">
        <v>1617700</v>
      </c>
      <c r="G13" s="796">
        <v>1495100</v>
      </c>
      <c r="H13" s="796">
        <v>1378800</v>
      </c>
      <c r="I13" s="796">
        <v>1254300</v>
      </c>
      <c r="J13" s="796">
        <v>1288500</v>
      </c>
      <c r="K13" s="796">
        <v>1283500</v>
      </c>
      <c r="L13" s="796">
        <v>1104500</v>
      </c>
      <c r="M13" s="797">
        <v>1232247</v>
      </c>
      <c r="N13" s="715" t="s">
        <v>642</v>
      </c>
      <c r="O13" s="715" t="s">
        <v>642</v>
      </c>
    </row>
    <row r="14" spans="1:16" x14ac:dyDescent="0.3">
      <c r="A14" s="735" t="s">
        <v>745</v>
      </c>
      <c r="B14" s="789">
        <v>1774100</v>
      </c>
      <c r="C14" s="796">
        <v>1777100</v>
      </c>
      <c r="D14" s="796">
        <v>1908300</v>
      </c>
      <c r="E14" s="796">
        <v>2784500</v>
      </c>
      <c r="F14" s="796">
        <v>2635800</v>
      </c>
      <c r="G14" s="796">
        <v>2477000</v>
      </c>
      <c r="H14" s="796">
        <v>2703800</v>
      </c>
      <c r="I14" s="796">
        <v>2546100</v>
      </c>
      <c r="J14" s="796">
        <v>2794800</v>
      </c>
      <c r="K14" s="796">
        <v>2658400</v>
      </c>
      <c r="L14" s="796">
        <v>2543700</v>
      </c>
      <c r="M14" s="797">
        <v>2799708</v>
      </c>
      <c r="N14" s="715" t="s">
        <v>642</v>
      </c>
      <c r="O14" s="715" t="s">
        <v>642</v>
      </c>
    </row>
    <row r="15" spans="1:16" x14ac:dyDescent="0.3">
      <c r="A15" s="735" t="s">
        <v>751</v>
      </c>
      <c r="B15" s="789">
        <v>-6409</v>
      </c>
      <c r="C15" s="796">
        <v>-43185</v>
      </c>
      <c r="D15" s="796">
        <v>-374160</v>
      </c>
      <c r="E15" s="796">
        <v>-234987</v>
      </c>
      <c r="F15" s="796">
        <v>432703</v>
      </c>
      <c r="G15" s="796">
        <v>-84005</v>
      </c>
      <c r="H15" s="796">
        <v>-28700</v>
      </c>
      <c r="I15" s="796">
        <v>264489</v>
      </c>
      <c r="J15" s="796">
        <v>30077</v>
      </c>
      <c r="K15" s="796">
        <v>-71455</v>
      </c>
      <c r="L15" s="796">
        <v>-144060</v>
      </c>
      <c r="M15" s="797">
        <v>-427817</v>
      </c>
      <c r="N15" s="715" t="s">
        <v>642</v>
      </c>
      <c r="O15" s="715" t="s">
        <v>642</v>
      </c>
    </row>
    <row r="16" spans="1:16" x14ac:dyDescent="0.3">
      <c r="A16" s="733" t="s">
        <v>752</v>
      </c>
      <c r="B16" s="790">
        <v>2031500</v>
      </c>
      <c r="C16" s="798">
        <v>1932500</v>
      </c>
      <c r="D16" s="798">
        <v>1555300</v>
      </c>
      <c r="E16" s="798">
        <v>2806200</v>
      </c>
      <c r="F16" s="798">
        <v>4261100</v>
      </c>
      <c r="G16" s="798">
        <v>872966</v>
      </c>
      <c r="H16" s="798">
        <v>542903</v>
      </c>
      <c r="I16" s="798">
        <v>1152200</v>
      </c>
      <c r="J16" s="798">
        <v>3194200</v>
      </c>
      <c r="K16" s="798">
        <v>-1373500</v>
      </c>
      <c r="L16" s="798">
        <v>424177</v>
      </c>
      <c r="M16" s="799">
        <v>3784981</v>
      </c>
      <c r="N16" s="798">
        <v>3294588</v>
      </c>
      <c r="O16" s="798">
        <v>3538325</v>
      </c>
    </row>
    <row r="17" spans="1:15" x14ac:dyDescent="0.3">
      <c r="A17" s="735" t="s">
        <v>753</v>
      </c>
      <c r="B17" s="789">
        <v>41656</v>
      </c>
      <c r="C17" s="796">
        <v>36707</v>
      </c>
      <c r="D17" s="796">
        <v>299094</v>
      </c>
      <c r="E17" s="796">
        <v>1032300</v>
      </c>
      <c r="F17" s="796">
        <v>684198</v>
      </c>
      <c r="G17" s="796">
        <v>393913</v>
      </c>
      <c r="H17" s="796">
        <v>422125</v>
      </c>
      <c r="I17" s="796">
        <v>300814</v>
      </c>
      <c r="J17" s="796">
        <v>322429</v>
      </c>
      <c r="K17" s="796">
        <v>350659</v>
      </c>
      <c r="L17" s="796">
        <v>458858</v>
      </c>
      <c r="M17" s="797">
        <v>592296</v>
      </c>
      <c r="N17" s="715" t="s">
        <v>642</v>
      </c>
      <c r="O17" s="715" t="s">
        <v>642</v>
      </c>
    </row>
    <row r="18" spans="1:15" x14ac:dyDescent="0.3">
      <c r="A18" s="735" t="s">
        <v>754</v>
      </c>
      <c r="B18" s="789">
        <v>43792</v>
      </c>
      <c r="C18" s="796">
        <v>37787</v>
      </c>
      <c r="D18" s="796">
        <v>281500</v>
      </c>
      <c r="E18" s="796">
        <v>936528</v>
      </c>
      <c r="F18" s="796">
        <v>676510</v>
      </c>
      <c r="G18" s="796">
        <v>467701</v>
      </c>
      <c r="H18" s="796">
        <v>460391</v>
      </c>
      <c r="I18" s="796">
        <v>362112</v>
      </c>
      <c r="J18" s="796">
        <v>358522</v>
      </c>
      <c r="K18" s="796">
        <v>381094</v>
      </c>
      <c r="L18" s="796">
        <v>504210</v>
      </c>
      <c r="M18" s="797">
        <v>498616</v>
      </c>
      <c r="N18" s="715" t="s">
        <v>642</v>
      </c>
      <c r="O18" s="715" t="s">
        <v>642</v>
      </c>
    </row>
    <row r="19" spans="1:15" x14ac:dyDescent="0.3">
      <c r="A19" s="738" t="s">
        <v>755</v>
      </c>
      <c r="B19" s="802">
        <v>59813</v>
      </c>
      <c r="C19" s="800">
        <v>52902</v>
      </c>
      <c r="D19" s="800">
        <v>311996</v>
      </c>
      <c r="E19" s="800">
        <v>966186</v>
      </c>
      <c r="F19" s="800">
        <v>742404</v>
      </c>
      <c r="G19" s="800">
        <v>532407</v>
      </c>
      <c r="H19" s="800">
        <v>493874</v>
      </c>
      <c r="I19" s="800">
        <v>370058</v>
      </c>
      <c r="J19" s="800">
        <v>365740</v>
      </c>
      <c r="K19" s="800">
        <v>412851</v>
      </c>
      <c r="L19" s="800">
        <v>556231</v>
      </c>
      <c r="M19" s="801">
        <v>552005</v>
      </c>
      <c r="N19" s="719" t="s">
        <v>642</v>
      </c>
      <c r="O19" s="719" t="s">
        <v>642</v>
      </c>
    </row>
    <row r="20" spans="1:15" x14ac:dyDescent="0.3">
      <c r="A20" s="738" t="s">
        <v>756</v>
      </c>
      <c r="B20" s="802">
        <v>16021</v>
      </c>
      <c r="C20" s="800">
        <v>15115</v>
      </c>
      <c r="D20" s="800">
        <v>30496</v>
      </c>
      <c r="E20" s="800">
        <v>29659</v>
      </c>
      <c r="F20" s="800">
        <v>65894</v>
      </c>
      <c r="G20" s="800">
        <v>64706</v>
      </c>
      <c r="H20" s="800">
        <v>33483</v>
      </c>
      <c r="I20" s="800">
        <v>7946</v>
      </c>
      <c r="J20" s="800">
        <v>7219</v>
      </c>
      <c r="K20" s="800">
        <v>31758</v>
      </c>
      <c r="L20" s="800">
        <v>52022</v>
      </c>
      <c r="M20" s="801">
        <v>53156</v>
      </c>
      <c r="N20" s="719" t="s">
        <v>642</v>
      </c>
      <c r="O20" s="719" t="s">
        <v>642</v>
      </c>
    </row>
    <row r="21" spans="1:15" x14ac:dyDescent="0.3">
      <c r="A21" s="735" t="s">
        <v>758</v>
      </c>
      <c r="B21" s="737">
        <v>0</v>
      </c>
      <c r="C21" s="715">
        <v>0</v>
      </c>
      <c r="D21" s="715">
        <v>0</v>
      </c>
      <c r="E21" s="715">
        <v>0</v>
      </c>
      <c r="F21" s="715">
        <v>0</v>
      </c>
      <c r="G21" s="715">
        <v>0</v>
      </c>
      <c r="H21" s="715">
        <v>0</v>
      </c>
      <c r="I21" s="715">
        <v>0</v>
      </c>
      <c r="J21" s="715">
        <v>0</v>
      </c>
      <c r="K21" s="715">
        <v>0</v>
      </c>
      <c r="L21" s="715">
        <v>0</v>
      </c>
      <c r="M21" s="717" t="s">
        <v>642</v>
      </c>
      <c r="N21" s="715" t="s">
        <v>642</v>
      </c>
      <c r="O21" s="715" t="s">
        <v>642</v>
      </c>
    </row>
    <row r="22" spans="1:15" x14ac:dyDescent="0.3">
      <c r="A22" s="735" t="s">
        <v>759</v>
      </c>
      <c r="B22" s="737" t="s">
        <v>741</v>
      </c>
      <c r="C22" s="715" t="s">
        <v>741</v>
      </c>
      <c r="D22" s="715" t="s">
        <v>741</v>
      </c>
      <c r="E22" s="715" t="s">
        <v>741</v>
      </c>
      <c r="F22" s="715" t="s">
        <v>741</v>
      </c>
      <c r="G22" s="715" t="s">
        <v>741</v>
      </c>
      <c r="H22" s="715" t="s">
        <v>741</v>
      </c>
      <c r="I22" s="715" t="s">
        <v>741</v>
      </c>
      <c r="J22" s="715" t="s">
        <v>741</v>
      </c>
      <c r="K22" s="715" t="s">
        <v>741</v>
      </c>
      <c r="L22" s="715" t="s">
        <v>741</v>
      </c>
      <c r="M22" s="717" t="s">
        <v>642</v>
      </c>
      <c r="N22" s="715" t="s">
        <v>642</v>
      </c>
      <c r="O22" s="715" t="s">
        <v>642</v>
      </c>
    </row>
    <row r="23" spans="1:15" x14ac:dyDescent="0.3">
      <c r="A23" s="735" t="s">
        <v>760</v>
      </c>
      <c r="B23" s="789">
        <v>-2136</v>
      </c>
      <c r="C23" s="796">
        <v>-1080</v>
      </c>
      <c r="D23" s="796">
        <v>17594</v>
      </c>
      <c r="E23" s="796">
        <v>95820</v>
      </c>
      <c r="F23" s="796">
        <v>7688</v>
      </c>
      <c r="G23" s="796">
        <v>-73788</v>
      </c>
      <c r="H23" s="796">
        <v>-38266</v>
      </c>
      <c r="I23" s="796">
        <v>-61298</v>
      </c>
      <c r="J23" s="796">
        <v>-36093</v>
      </c>
      <c r="K23" s="796">
        <v>-30435</v>
      </c>
      <c r="L23" s="796">
        <v>-45352</v>
      </c>
      <c r="M23" s="797">
        <v>93680</v>
      </c>
      <c r="N23" s="715" t="s">
        <v>642</v>
      </c>
      <c r="O23" s="715" t="s">
        <v>642</v>
      </c>
    </row>
    <row r="24" spans="1:15" x14ac:dyDescent="0.3">
      <c r="A24" s="733" t="s">
        <v>761</v>
      </c>
      <c r="B24" s="790">
        <v>1989900</v>
      </c>
      <c r="C24" s="798">
        <v>1895800</v>
      </c>
      <c r="D24" s="798">
        <v>1256200</v>
      </c>
      <c r="E24" s="798">
        <v>1773800</v>
      </c>
      <c r="F24" s="798">
        <v>3576900</v>
      </c>
      <c r="G24" s="798">
        <v>479053</v>
      </c>
      <c r="H24" s="798">
        <v>120778</v>
      </c>
      <c r="I24" s="798">
        <v>851360</v>
      </c>
      <c r="J24" s="798">
        <v>2871800</v>
      </c>
      <c r="K24" s="798">
        <v>-1724200</v>
      </c>
      <c r="L24" s="798">
        <v>-34681</v>
      </c>
      <c r="M24" s="799">
        <v>3193450</v>
      </c>
      <c r="N24" s="798">
        <v>2790129</v>
      </c>
      <c r="O24" s="798">
        <v>3230351</v>
      </c>
    </row>
    <row r="25" spans="1:15" x14ac:dyDescent="0.3">
      <c r="A25" s="735" t="s">
        <v>762</v>
      </c>
      <c r="B25" s="789">
        <v>118558</v>
      </c>
      <c r="C25" s="796">
        <v>193253</v>
      </c>
      <c r="D25" s="796">
        <v>1076700</v>
      </c>
      <c r="E25" s="796">
        <v>896603</v>
      </c>
      <c r="F25" s="796">
        <v>1287100</v>
      </c>
      <c r="G25" s="796">
        <v>804855</v>
      </c>
      <c r="H25" s="796">
        <v>175786</v>
      </c>
      <c r="I25" s="796">
        <v>-200921</v>
      </c>
      <c r="J25" s="796">
        <v>262274</v>
      </c>
      <c r="K25" s="796">
        <v>326841</v>
      </c>
      <c r="L25" s="796">
        <v>847019</v>
      </c>
      <c r="M25" s="797">
        <v>549279</v>
      </c>
      <c r="N25" s="715" t="s">
        <v>642</v>
      </c>
      <c r="O25" s="715" t="s">
        <v>642</v>
      </c>
    </row>
    <row r="26" spans="1:15" x14ac:dyDescent="0.3">
      <c r="A26" s="735" t="s">
        <v>1180</v>
      </c>
      <c r="B26" s="789">
        <v>13885</v>
      </c>
      <c r="C26" s="796">
        <v>3239</v>
      </c>
      <c r="D26" s="796">
        <v>329590</v>
      </c>
      <c r="E26" s="796">
        <v>39925</v>
      </c>
      <c r="F26" s="796">
        <v>14277</v>
      </c>
      <c r="G26" s="715" t="s">
        <v>741</v>
      </c>
      <c r="H26" s="715" t="s">
        <v>741</v>
      </c>
      <c r="I26" s="715" t="s">
        <v>741</v>
      </c>
      <c r="J26" s="715" t="s">
        <v>741</v>
      </c>
      <c r="K26" s="715" t="s">
        <v>741</v>
      </c>
      <c r="L26" s="715" t="s">
        <v>741</v>
      </c>
      <c r="M26" s="717" t="s">
        <v>642</v>
      </c>
      <c r="N26" s="715" t="s">
        <v>642</v>
      </c>
      <c r="O26" s="715" t="s">
        <v>642</v>
      </c>
    </row>
    <row r="27" spans="1:15" x14ac:dyDescent="0.3">
      <c r="A27" s="735" t="s">
        <v>763</v>
      </c>
      <c r="B27" s="737" t="s">
        <v>741</v>
      </c>
      <c r="C27" s="796">
        <v>23752</v>
      </c>
      <c r="D27" s="796">
        <v>25804</v>
      </c>
      <c r="E27" s="796">
        <v>20533</v>
      </c>
      <c r="F27" s="796">
        <v>23063</v>
      </c>
      <c r="G27" s="796">
        <v>44273</v>
      </c>
      <c r="H27" s="715" t="s">
        <v>741</v>
      </c>
      <c r="I27" s="796">
        <v>-79460</v>
      </c>
      <c r="J27" s="796">
        <v>-19249</v>
      </c>
      <c r="K27" s="796">
        <v>-9263</v>
      </c>
      <c r="L27" s="796">
        <v>-116048</v>
      </c>
      <c r="M27" s="797">
        <v>-6940</v>
      </c>
      <c r="N27" s="715" t="s">
        <v>642</v>
      </c>
      <c r="O27" s="715" t="s">
        <v>642</v>
      </c>
    </row>
    <row r="28" spans="1:15" x14ac:dyDescent="0.3">
      <c r="A28" s="735" t="s">
        <v>764</v>
      </c>
      <c r="B28" s="737" t="s">
        <v>741</v>
      </c>
      <c r="C28" s="715" t="s">
        <v>741</v>
      </c>
      <c r="D28" s="796">
        <v>68029</v>
      </c>
      <c r="E28" s="796">
        <v>319400</v>
      </c>
      <c r="F28" s="796">
        <v>998292</v>
      </c>
      <c r="G28" s="796">
        <v>30650</v>
      </c>
      <c r="H28" s="796">
        <v>33483</v>
      </c>
      <c r="I28" s="796">
        <v>31784</v>
      </c>
      <c r="J28" s="715" t="s">
        <v>741</v>
      </c>
      <c r="K28" s="715" t="s">
        <v>741</v>
      </c>
      <c r="L28" s="715" t="s">
        <v>741</v>
      </c>
      <c r="M28" s="717" t="s">
        <v>642</v>
      </c>
      <c r="N28" s="715" t="s">
        <v>642</v>
      </c>
      <c r="O28" s="715" t="s">
        <v>642</v>
      </c>
    </row>
    <row r="29" spans="1:15" x14ac:dyDescent="0.3">
      <c r="A29" s="735" t="s">
        <v>765</v>
      </c>
      <c r="B29" s="789">
        <v>66222</v>
      </c>
      <c r="C29" s="796">
        <v>88529</v>
      </c>
      <c r="D29" s="796">
        <v>43398</v>
      </c>
      <c r="E29" s="715" t="s">
        <v>741</v>
      </c>
      <c r="F29" s="715" t="s">
        <v>741</v>
      </c>
      <c r="G29" s="715" t="s">
        <v>741</v>
      </c>
      <c r="H29" s="715" t="s">
        <v>741</v>
      </c>
      <c r="I29" s="715" t="s">
        <v>741</v>
      </c>
      <c r="J29" s="715" t="s">
        <v>741</v>
      </c>
      <c r="K29" s="796">
        <v>25142</v>
      </c>
      <c r="L29" s="796">
        <v>210754</v>
      </c>
      <c r="M29" s="717" t="s">
        <v>642</v>
      </c>
      <c r="N29" s="715" t="s">
        <v>642</v>
      </c>
      <c r="O29" s="715" t="s">
        <v>642</v>
      </c>
    </row>
    <row r="30" spans="1:15" x14ac:dyDescent="0.3">
      <c r="A30" s="735" t="s">
        <v>767</v>
      </c>
      <c r="B30" s="737" t="s">
        <v>741</v>
      </c>
      <c r="C30" s="715" t="s">
        <v>741</v>
      </c>
      <c r="D30" s="715" t="s">
        <v>741</v>
      </c>
      <c r="E30" s="715" t="s">
        <v>741</v>
      </c>
      <c r="F30" s="715" t="s">
        <v>741</v>
      </c>
      <c r="G30" s="715" t="s">
        <v>741</v>
      </c>
      <c r="H30" s="715" t="s">
        <v>741</v>
      </c>
      <c r="I30" s="715" t="s">
        <v>741</v>
      </c>
      <c r="J30" s="796">
        <v>-10828</v>
      </c>
      <c r="K30" s="715" t="s">
        <v>741</v>
      </c>
      <c r="L30" s="715" t="s">
        <v>741</v>
      </c>
      <c r="M30" s="797">
        <v>-157724</v>
      </c>
      <c r="N30" s="715" t="s">
        <v>642</v>
      </c>
      <c r="O30" s="715" t="s">
        <v>642</v>
      </c>
    </row>
    <row r="31" spans="1:15" x14ac:dyDescent="0.3">
      <c r="A31" s="735" t="s">
        <v>768</v>
      </c>
      <c r="B31" s="789">
        <v>68358</v>
      </c>
      <c r="C31" s="796">
        <v>16194</v>
      </c>
      <c r="D31" s="796">
        <v>37533</v>
      </c>
      <c r="E31" s="715" t="s">
        <v>741</v>
      </c>
      <c r="F31" s="715" t="s">
        <v>741</v>
      </c>
      <c r="G31" s="715" t="s">
        <v>741</v>
      </c>
      <c r="H31" s="715" t="s">
        <v>741</v>
      </c>
      <c r="I31" s="715" t="s">
        <v>741</v>
      </c>
      <c r="J31" s="715" t="s">
        <v>741</v>
      </c>
      <c r="K31" s="715" t="s">
        <v>741</v>
      </c>
      <c r="L31" s="796">
        <v>388162</v>
      </c>
      <c r="M31" s="797">
        <v>437497</v>
      </c>
      <c r="N31" s="715" t="s">
        <v>642</v>
      </c>
      <c r="O31" s="715" t="s">
        <v>642</v>
      </c>
    </row>
    <row r="32" spans="1:15" x14ac:dyDescent="0.3">
      <c r="A32" s="735" t="s">
        <v>1181</v>
      </c>
      <c r="B32" s="789">
        <v>35247</v>
      </c>
      <c r="C32" s="796">
        <v>88529</v>
      </c>
      <c r="D32" s="796">
        <v>167727</v>
      </c>
      <c r="E32" s="796">
        <v>175670</v>
      </c>
      <c r="F32" s="796">
        <v>13179</v>
      </c>
      <c r="G32" s="796">
        <v>24974</v>
      </c>
      <c r="H32" s="796">
        <v>10762</v>
      </c>
      <c r="I32" s="796">
        <v>3405</v>
      </c>
      <c r="J32" s="715" t="s">
        <v>741</v>
      </c>
      <c r="K32" s="796">
        <v>55576</v>
      </c>
      <c r="L32" s="796">
        <v>178741</v>
      </c>
      <c r="M32" s="797">
        <v>202457</v>
      </c>
      <c r="N32" s="715" t="s">
        <v>642</v>
      </c>
      <c r="O32" s="715" t="s">
        <v>642</v>
      </c>
    </row>
    <row r="33" spans="1:15" x14ac:dyDescent="0.3">
      <c r="A33" s="735" t="s">
        <v>771</v>
      </c>
      <c r="B33" s="789">
        <v>-69426</v>
      </c>
      <c r="C33" s="796">
        <v>-39946</v>
      </c>
      <c r="D33" s="715" t="s">
        <v>741</v>
      </c>
      <c r="E33" s="715" t="s">
        <v>741</v>
      </c>
      <c r="F33" s="715" t="s">
        <v>741</v>
      </c>
      <c r="G33" s="715" t="s">
        <v>741</v>
      </c>
      <c r="H33" s="715" t="s">
        <v>741</v>
      </c>
      <c r="I33" s="715" t="s">
        <v>741</v>
      </c>
      <c r="J33" s="715" t="s">
        <v>741</v>
      </c>
      <c r="K33" s="715" t="s">
        <v>741</v>
      </c>
      <c r="L33" s="715" t="s">
        <v>741</v>
      </c>
      <c r="M33" s="717" t="s">
        <v>642</v>
      </c>
      <c r="N33" s="715" t="s">
        <v>642</v>
      </c>
      <c r="O33" s="715" t="s">
        <v>642</v>
      </c>
    </row>
    <row r="34" spans="1:15" x14ac:dyDescent="0.3">
      <c r="A34" s="735" t="s">
        <v>772</v>
      </c>
      <c r="B34" s="789">
        <v>4272</v>
      </c>
      <c r="C34" s="796">
        <v>12955</v>
      </c>
      <c r="D34" s="796">
        <v>404656</v>
      </c>
      <c r="E34" s="796">
        <v>341074</v>
      </c>
      <c r="F34" s="796">
        <v>238316</v>
      </c>
      <c r="G34" s="796">
        <v>704957</v>
      </c>
      <c r="H34" s="796">
        <v>131540</v>
      </c>
      <c r="I34" s="796">
        <v>-156650</v>
      </c>
      <c r="J34" s="796">
        <v>292352</v>
      </c>
      <c r="K34" s="796">
        <v>255386</v>
      </c>
      <c r="L34" s="796">
        <v>185410</v>
      </c>
      <c r="M34" s="797">
        <v>73467</v>
      </c>
      <c r="N34" s="715" t="s">
        <v>642</v>
      </c>
      <c r="O34" s="715" t="s">
        <v>642</v>
      </c>
    </row>
    <row r="35" spans="1:15" x14ac:dyDescent="0.3">
      <c r="A35" s="733" t="s">
        <v>773</v>
      </c>
      <c r="B35" s="790">
        <v>1871300</v>
      </c>
      <c r="C35" s="798">
        <v>1702600</v>
      </c>
      <c r="D35" s="798">
        <v>179456</v>
      </c>
      <c r="E35" s="798">
        <v>877211</v>
      </c>
      <c r="F35" s="798">
        <v>2289800</v>
      </c>
      <c r="G35" s="798">
        <v>-325802</v>
      </c>
      <c r="H35" s="798">
        <v>-55008</v>
      </c>
      <c r="I35" s="798">
        <v>1052300</v>
      </c>
      <c r="J35" s="798">
        <v>2609500</v>
      </c>
      <c r="K35" s="798">
        <v>-2051000</v>
      </c>
      <c r="L35" s="798">
        <v>-881700</v>
      </c>
      <c r="M35" s="799">
        <v>2644171</v>
      </c>
      <c r="N35" s="798">
        <v>2790129</v>
      </c>
      <c r="O35" s="798">
        <v>3230351</v>
      </c>
    </row>
    <row r="36" spans="1:15" x14ac:dyDescent="0.3">
      <c r="A36" s="735" t="s">
        <v>774</v>
      </c>
      <c r="B36" s="789">
        <v>144192</v>
      </c>
      <c r="C36" s="796">
        <v>120918</v>
      </c>
      <c r="D36" s="796">
        <v>-104390</v>
      </c>
      <c r="E36" s="796">
        <v>424346</v>
      </c>
      <c r="F36" s="796">
        <v>1548500</v>
      </c>
      <c r="G36" s="796">
        <v>530137</v>
      </c>
      <c r="H36" s="796">
        <v>243948</v>
      </c>
      <c r="I36" s="796">
        <v>120326</v>
      </c>
      <c r="J36" s="796">
        <v>749527</v>
      </c>
      <c r="K36" s="796">
        <v>177314</v>
      </c>
      <c r="L36" s="796">
        <v>182743</v>
      </c>
      <c r="M36" s="797">
        <v>528834</v>
      </c>
      <c r="N36" s="715" t="s">
        <v>642</v>
      </c>
      <c r="O36" s="715" t="s">
        <v>642</v>
      </c>
    </row>
    <row r="37" spans="1:15" x14ac:dyDescent="0.3">
      <c r="A37" s="735" t="s">
        <v>775</v>
      </c>
      <c r="B37" s="789">
        <v>158077</v>
      </c>
      <c r="C37" s="796">
        <v>90688</v>
      </c>
      <c r="D37" s="796">
        <v>70375</v>
      </c>
      <c r="E37" s="796">
        <v>410658</v>
      </c>
      <c r="F37" s="796">
        <v>1930700</v>
      </c>
      <c r="G37" s="796">
        <v>105573</v>
      </c>
      <c r="H37" s="796">
        <v>342005</v>
      </c>
      <c r="I37" s="796">
        <v>395031</v>
      </c>
      <c r="J37" s="796">
        <v>612375</v>
      </c>
      <c r="K37" s="796">
        <v>240830</v>
      </c>
      <c r="L37" s="796">
        <v>397499</v>
      </c>
      <c r="M37" s="717" t="s">
        <v>642</v>
      </c>
      <c r="N37" s="715" t="s">
        <v>642</v>
      </c>
      <c r="O37" s="715" t="s">
        <v>642</v>
      </c>
    </row>
    <row r="38" spans="1:15" x14ac:dyDescent="0.3">
      <c r="A38" s="735" t="s">
        <v>776</v>
      </c>
      <c r="B38" s="789">
        <v>-13885</v>
      </c>
      <c r="C38" s="796">
        <v>30229</v>
      </c>
      <c r="D38" s="796">
        <v>-174765</v>
      </c>
      <c r="E38" s="796">
        <v>13689</v>
      </c>
      <c r="F38" s="796">
        <v>-382184</v>
      </c>
      <c r="G38" s="796">
        <v>424564</v>
      </c>
      <c r="H38" s="796">
        <v>-98057</v>
      </c>
      <c r="I38" s="796">
        <v>-274705</v>
      </c>
      <c r="J38" s="796">
        <v>137153</v>
      </c>
      <c r="K38" s="796">
        <v>-63516</v>
      </c>
      <c r="L38" s="796">
        <v>-214756</v>
      </c>
      <c r="M38" s="717" t="s">
        <v>642</v>
      </c>
      <c r="N38" s="715" t="s">
        <v>642</v>
      </c>
      <c r="O38" s="715" t="s">
        <v>642</v>
      </c>
    </row>
    <row r="39" spans="1:15" x14ac:dyDescent="0.3">
      <c r="A39" s="735" t="s">
        <v>777</v>
      </c>
      <c r="B39" s="737" t="s">
        <v>741</v>
      </c>
      <c r="C39" s="715" t="s">
        <v>741</v>
      </c>
      <c r="D39" s="715" t="s">
        <v>741</v>
      </c>
      <c r="E39" s="715" t="s">
        <v>741</v>
      </c>
      <c r="F39" s="715" t="s">
        <v>741</v>
      </c>
      <c r="G39" s="715" t="s">
        <v>741</v>
      </c>
      <c r="H39" s="715" t="s">
        <v>741</v>
      </c>
      <c r="I39" s="715" t="s">
        <v>741</v>
      </c>
      <c r="J39" s="715" t="s">
        <v>741</v>
      </c>
      <c r="K39" s="715" t="s">
        <v>741</v>
      </c>
      <c r="L39" s="715" t="s">
        <v>741</v>
      </c>
      <c r="M39" s="717" t="s">
        <v>642</v>
      </c>
      <c r="N39" s="715" t="s">
        <v>642</v>
      </c>
      <c r="O39" s="715" t="s">
        <v>642</v>
      </c>
    </row>
    <row r="40" spans="1:15" x14ac:dyDescent="0.3">
      <c r="A40" s="733" t="s">
        <v>778</v>
      </c>
      <c r="B40" s="790">
        <v>1727100</v>
      </c>
      <c r="C40" s="798">
        <v>1581600</v>
      </c>
      <c r="D40" s="798">
        <v>283846</v>
      </c>
      <c r="E40" s="798">
        <v>452864</v>
      </c>
      <c r="F40" s="798">
        <v>741306</v>
      </c>
      <c r="G40" s="798">
        <v>-855938</v>
      </c>
      <c r="H40" s="798">
        <v>-298955</v>
      </c>
      <c r="I40" s="798">
        <v>931955</v>
      </c>
      <c r="J40" s="798">
        <v>1860000</v>
      </c>
      <c r="K40" s="798">
        <v>-2228300</v>
      </c>
      <c r="L40" s="798">
        <v>-1064400</v>
      </c>
      <c r="M40" s="799">
        <v>2115337</v>
      </c>
      <c r="N40" s="798">
        <v>2575280</v>
      </c>
      <c r="O40" s="798">
        <v>2475840</v>
      </c>
    </row>
    <row r="41" spans="1:15" x14ac:dyDescent="0.3">
      <c r="A41" s="735" t="s">
        <v>779</v>
      </c>
      <c r="B41" s="737">
        <v>0</v>
      </c>
      <c r="C41" s="715">
        <v>0</v>
      </c>
      <c r="D41" s="715">
        <v>0</v>
      </c>
      <c r="E41" s="715">
        <v>0</v>
      </c>
      <c r="F41" s="715">
        <v>0</v>
      </c>
      <c r="G41" s="715">
        <v>0</v>
      </c>
      <c r="H41" s="715">
        <v>0</v>
      </c>
      <c r="I41" s="715">
        <v>0</v>
      </c>
      <c r="J41" s="715">
        <v>0</v>
      </c>
      <c r="K41" s="715">
        <v>0</v>
      </c>
      <c r="L41" s="715">
        <v>0</v>
      </c>
      <c r="M41" s="717">
        <v>0</v>
      </c>
      <c r="N41" s="715" t="s">
        <v>642</v>
      </c>
      <c r="O41" s="715" t="s">
        <v>642</v>
      </c>
    </row>
    <row r="42" spans="1:15" x14ac:dyDescent="0.3">
      <c r="A42" s="735" t="s">
        <v>780</v>
      </c>
      <c r="B42" s="737">
        <v>0</v>
      </c>
      <c r="C42" s="715">
        <v>0</v>
      </c>
      <c r="D42" s="715">
        <v>0</v>
      </c>
      <c r="E42" s="715">
        <v>0</v>
      </c>
      <c r="F42" s="715">
        <v>0</v>
      </c>
      <c r="G42" s="715">
        <v>0</v>
      </c>
      <c r="H42" s="715">
        <v>0</v>
      </c>
      <c r="I42" s="715">
        <v>0</v>
      </c>
      <c r="J42" s="715">
        <v>0</v>
      </c>
      <c r="K42" s="715">
        <v>0</v>
      </c>
      <c r="L42" s="715">
        <v>0</v>
      </c>
      <c r="M42" s="717">
        <v>0</v>
      </c>
      <c r="N42" s="715" t="s">
        <v>642</v>
      </c>
      <c r="O42" s="715" t="s">
        <v>642</v>
      </c>
    </row>
    <row r="43" spans="1:15" x14ac:dyDescent="0.3">
      <c r="A43" s="735" t="s">
        <v>781</v>
      </c>
      <c r="B43" s="737">
        <v>0</v>
      </c>
      <c r="C43" s="715">
        <v>0</v>
      </c>
      <c r="D43" s="715">
        <v>0</v>
      </c>
      <c r="E43" s="715">
        <v>0</v>
      </c>
      <c r="F43" s="715">
        <v>0</v>
      </c>
      <c r="G43" s="715">
        <v>0</v>
      </c>
      <c r="H43" s="715">
        <v>0</v>
      </c>
      <c r="I43" s="715">
        <v>0</v>
      </c>
      <c r="J43" s="715">
        <v>0</v>
      </c>
      <c r="K43" s="715">
        <v>0</v>
      </c>
      <c r="L43" s="715">
        <v>0</v>
      </c>
      <c r="M43" s="717">
        <v>0</v>
      </c>
      <c r="N43" s="715" t="s">
        <v>642</v>
      </c>
      <c r="O43" s="715" t="s">
        <v>642</v>
      </c>
    </row>
    <row r="44" spans="1:15" x14ac:dyDescent="0.3">
      <c r="A44" s="733" t="s">
        <v>782</v>
      </c>
      <c r="B44" s="790">
        <v>1727100</v>
      </c>
      <c r="C44" s="798">
        <v>1581600</v>
      </c>
      <c r="D44" s="798">
        <v>283846</v>
      </c>
      <c r="E44" s="798">
        <v>452864</v>
      </c>
      <c r="F44" s="798">
        <v>741306</v>
      </c>
      <c r="G44" s="798">
        <v>-855938</v>
      </c>
      <c r="H44" s="798">
        <v>-298955</v>
      </c>
      <c r="I44" s="798">
        <v>931955</v>
      </c>
      <c r="J44" s="798">
        <v>1860000</v>
      </c>
      <c r="K44" s="798">
        <v>-2228300</v>
      </c>
      <c r="L44" s="798">
        <v>-1064400</v>
      </c>
      <c r="M44" s="799">
        <v>2130064</v>
      </c>
      <c r="N44" s="710" t="s">
        <v>642</v>
      </c>
      <c r="O44" s="710" t="s">
        <v>642</v>
      </c>
    </row>
    <row r="45" spans="1:15" x14ac:dyDescent="0.3">
      <c r="A45" s="735" t="s">
        <v>783</v>
      </c>
      <c r="B45" s="737">
        <v>0</v>
      </c>
      <c r="C45" s="715">
        <v>0</v>
      </c>
      <c r="D45" s="715">
        <v>0</v>
      </c>
      <c r="E45" s="715">
        <v>0</v>
      </c>
      <c r="F45" s="715">
        <v>0</v>
      </c>
      <c r="G45" s="715">
        <v>0</v>
      </c>
      <c r="H45" s="715">
        <v>0</v>
      </c>
      <c r="I45" s="715">
        <v>0</v>
      </c>
      <c r="J45" s="715">
        <v>0</v>
      </c>
      <c r="K45" s="715">
        <v>0</v>
      </c>
      <c r="L45" s="715">
        <v>0</v>
      </c>
      <c r="M45" s="717">
        <v>0</v>
      </c>
      <c r="N45" s="715" t="s">
        <v>642</v>
      </c>
      <c r="O45" s="715" t="s">
        <v>642</v>
      </c>
    </row>
    <row r="46" spans="1:15" x14ac:dyDescent="0.3">
      <c r="A46" s="733" t="s">
        <v>784</v>
      </c>
      <c r="B46" s="790">
        <v>1727100</v>
      </c>
      <c r="C46" s="798">
        <v>1581600</v>
      </c>
      <c r="D46" s="798">
        <v>283846</v>
      </c>
      <c r="E46" s="798">
        <v>452864</v>
      </c>
      <c r="F46" s="798">
        <v>741306</v>
      </c>
      <c r="G46" s="798">
        <v>-855938</v>
      </c>
      <c r="H46" s="798">
        <v>-298955</v>
      </c>
      <c r="I46" s="798">
        <v>931955</v>
      </c>
      <c r="J46" s="798">
        <v>1860000</v>
      </c>
      <c r="K46" s="798">
        <v>-2228300</v>
      </c>
      <c r="L46" s="798">
        <v>-1064400</v>
      </c>
      <c r="M46" s="799">
        <v>2115337</v>
      </c>
      <c r="N46" s="798">
        <v>2575280</v>
      </c>
      <c r="O46" s="798">
        <v>2475840</v>
      </c>
    </row>
    <row r="47" spans="1:15" x14ac:dyDescent="0.3">
      <c r="A47" s="735" t="s">
        <v>785</v>
      </c>
      <c r="B47" s="737">
        <v>0</v>
      </c>
      <c r="C47" s="715">
        <v>0</v>
      </c>
      <c r="D47" s="715">
        <v>0</v>
      </c>
      <c r="E47" s="715">
        <v>0</v>
      </c>
      <c r="F47" s="715">
        <v>0</v>
      </c>
      <c r="G47" s="715">
        <v>0</v>
      </c>
      <c r="H47" s="715">
        <v>0</v>
      </c>
      <c r="I47" s="715">
        <v>0</v>
      </c>
      <c r="J47" s="715">
        <v>0</v>
      </c>
      <c r="K47" s="796">
        <v>31758</v>
      </c>
      <c r="L47" s="796">
        <v>72030</v>
      </c>
      <c r="M47" s="797">
        <v>54519</v>
      </c>
      <c r="N47" s="715" t="s">
        <v>642</v>
      </c>
      <c r="O47" s="715" t="s">
        <v>642</v>
      </c>
    </row>
    <row r="48" spans="1:15" x14ac:dyDescent="0.3">
      <c r="A48" s="735" t="s">
        <v>786</v>
      </c>
      <c r="B48" s="737">
        <v>0</v>
      </c>
      <c r="C48" s="715">
        <v>0</v>
      </c>
      <c r="D48" s="715">
        <v>0</v>
      </c>
      <c r="E48" s="715">
        <v>0</v>
      </c>
      <c r="F48" s="715">
        <v>0</v>
      </c>
      <c r="G48" s="715">
        <v>0</v>
      </c>
      <c r="H48" s="715">
        <v>0</v>
      </c>
      <c r="I48" s="715">
        <v>0</v>
      </c>
      <c r="J48" s="715">
        <v>0</v>
      </c>
      <c r="K48" s="715">
        <v>0</v>
      </c>
      <c r="L48" s="715">
        <v>0</v>
      </c>
      <c r="M48" s="797">
        <v>40889</v>
      </c>
      <c r="N48" s="715" t="s">
        <v>642</v>
      </c>
      <c r="O48" s="715" t="s">
        <v>642</v>
      </c>
    </row>
    <row r="49" spans="1:15" x14ac:dyDescent="0.3">
      <c r="A49" s="733" t="s">
        <v>787</v>
      </c>
      <c r="B49" s="790">
        <v>1727100</v>
      </c>
      <c r="C49" s="798">
        <v>1581600</v>
      </c>
      <c r="D49" s="798">
        <v>283846</v>
      </c>
      <c r="E49" s="798">
        <v>452864</v>
      </c>
      <c r="F49" s="798">
        <v>741306</v>
      </c>
      <c r="G49" s="798">
        <v>-855938</v>
      </c>
      <c r="H49" s="798">
        <v>-298955</v>
      </c>
      <c r="I49" s="798">
        <v>931955</v>
      </c>
      <c r="J49" s="798">
        <v>1860000</v>
      </c>
      <c r="K49" s="798">
        <v>-2260100</v>
      </c>
      <c r="L49" s="798">
        <v>-1136500</v>
      </c>
      <c r="M49" s="799">
        <v>2019929</v>
      </c>
      <c r="N49" s="798">
        <v>2575280</v>
      </c>
      <c r="O49" s="798">
        <v>2475840</v>
      </c>
    </row>
    <row r="50" spans="1:15" x14ac:dyDescent="0.3">
      <c r="A50" s="733" t="s">
        <v>642</v>
      </c>
      <c r="B50" s="740" t="s">
        <v>642</v>
      </c>
      <c r="C50" s="710" t="s">
        <v>642</v>
      </c>
      <c r="D50" s="710" t="s">
        <v>642</v>
      </c>
      <c r="E50" s="710" t="s">
        <v>642</v>
      </c>
      <c r="F50" s="710" t="s">
        <v>642</v>
      </c>
      <c r="G50" s="710" t="s">
        <v>642</v>
      </c>
      <c r="H50" s="710" t="s">
        <v>642</v>
      </c>
      <c r="I50" s="710" t="s">
        <v>642</v>
      </c>
      <c r="J50" s="710" t="s">
        <v>642</v>
      </c>
      <c r="K50" s="710" t="s">
        <v>642</v>
      </c>
      <c r="L50" s="710" t="s">
        <v>642</v>
      </c>
      <c r="M50" s="712" t="s">
        <v>642</v>
      </c>
      <c r="N50" s="710" t="s">
        <v>642</v>
      </c>
      <c r="O50" s="710" t="s">
        <v>642</v>
      </c>
    </row>
    <row r="51" spans="1:15" x14ac:dyDescent="0.3">
      <c r="A51" s="733" t="s">
        <v>788</v>
      </c>
      <c r="B51" s="790">
        <v>1804200</v>
      </c>
      <c r="C51" s="798">
        <v>1766600</v>
      </c>
      <c r="D51" s="798">
        <v>1251200</v>
      </c>
      <c r="E51" s="798">
        <v>1035700</v>
      </c>
      <c r="F51" s="798">
        <v>2541500</v>
      </c>
      <c r="G51" s="798">
        <v>33127</v>
      </c>
      <c r="H51" s="798">
        <v>-131787</v>
      </c>
      <c r="I51" s="798">
        <v>767238</v>
      </c>
      <c r="J51" s="798">
        <v>2802600</v>
      </c>
      <c r="K51" s="798">
        <v>-1978300</v>
      </c>
      <c r="L51" s="798">
        <v>-376351</v>
      </c>
      <c r="M51" s="799">
        <v>2201991</v>
      </c>
      <c r="N51" s="798">
        <v>2380755</v>
      </c>
      <c r="O51" s="798">
        <v>2598798</v>
      </c>
    </row>
    <row r="52" spans="1:15" x14ac:dyDescent="0.3">
      <c r="A52" s="735" t="s">
        <v>789</v>
      </c>
      <c r="B52" s="789">
        <v>77063</v>
      </c>
      <c r="C52" s="796">
        <v>184940</v>
      </c>
      <c r="D52" s="796">
        <v>967306</v>
      </c>
      <c r="E52" s="796">
        <v>582792</v>
      </c>
      <c r="F52" s="796">
        <v>1800200</v>
      </c>
      <c r="G52" s="796">
        <v>889065</v>
      </c>
      <c r="H52" s="796">
        <v>167169</v>
      </c>
      <c r="I52" s="796">
        <v>-164717</v>
      </c>
      <c r="J52" s="796">
        <v>942609</v>
      </c>
      <c r="K52" s="796">
        <v>281769</v>
      </c>
      <c r="L52" s="796">
        <v>760122</v>
      </c>
      <c r="M52" s="797">
        <v>173570</v>
      </c>
      <c r="N52" s="715" t="s">
        <v>642</v>
      </c>
      <c r="O52" s="715" t="s">
        <v>642</v>
      </c>
    </row>
    <row r="53" spans="1:15" x14ac:dyDescent="0.3">
      <c r="A53" s="735" t="s">
        <v>790</v>
      </c>
      <c r="B53" s="737">
        <v>0</v>
      </c>
      <c r="C53" s="715">
        <v>0</v>
      </c>
      <c r="D53" s="715">
        <v>0</v>
      </c>
      <c r="E53" s="715">
        <v>0</v>
      </c>
      <c r="F53" s="715">
        <v>0</v>
      </c>
      <c r="G53" s="715">
        <v>0</v>
      </c>
      <c r="H53" s="715">
        <v>0</v>
      </c>
      <c r="I53" s="715">
        <v>0</v>
      </c>
      <c r="J53" s="715">
        <v>0</v>
      </c>
      <c r="K53" s="715">
        <v>0</v>
      </c>
      <c r="L53" s="715">
        <v>0</v>
      </c>
      <c r="M53" s="717">
        <v>0</v>
      </c>
      <c r="N53" s="715" t="s">
        <v>642</v>
      </c>
      <c r="O53" s="715" t="s">
        <v>642</v>
      </c>
    </row>
    <row r="54" spans="1:15" x14ac:dyDescent="0.3">
      <c r="A54" s="733" t="s">
        <v>642</v>
      </c>
      <c r="B54" s="740" t="s">
        <v>642</v>
      </c>
      <c r="C54" s="710" t="s">
        <v>642</v>
      </c>
      <c r="D54" s="710" t="s">
        <v>642</v>
      </c>
      <c r="E54" s="710" t="s">
        <v>642</v>
      </c>
      <c r="F54" s="710" t="s">
        <v>642</v>
      </c>
      <c r="G54" s="710" t="s">
        <v>642</v>
      </c>
      <c r="H54" s="710" t="s">
        <v>642</v>
      </c>
      <c r="I54" s="710" t="s">
        <v>642</v>
      </c>
      <c r="J54" s="710" t="s">
        <v>642</v>
      </c>
      <c r="K54" s="710" t="s">
        <v>642</v>
      </c>
      <c r="L54" s="710" t="s">
        <v>642</v>
      </c>
      <c r="M54" s="712" t="s">
        <v>642</v>
      </c>
      <c r="N54" s="710" t="s">
        <v>642</v>
      </c>
      <c r="O54" s="710" t="s">
        <v>642</v>
      </c>
    </row>
    <row r="55" spans="1:15" x14ac:dyDescent="0.3">
      <c r="A55" s="735" t="s">
        <v>791</v>
      </c>
      <c r="B55" s="737">
        <v>235</v>
      </c>
      <c r="C55" s="715">
        <v>232</v>
      </c>
      <c r="D55" s="715">
        <v>239</v>
      </c>
      <c r="E55" s="715">
        <v>288</v>
      </c>
      <c r="F55" s="715">
        <v>297</v>
      </c>
      <c r="G55" s="715">
        <v>292</v>
      </c>
      <c r="H55" s="715">
        <v>298</v>
      </c>
      <c r="I55" s="715">
        <v>305</v>
      </c>
      <c r="J55" s="715">
        <v>312</v>
      </c>
      <c r="K55" s="715">
        <v>318</v>
      </c>
      <c r="L55" s="715">
        <v>326</v>
      </c>
      <c r="M55" s="717">
        <v>346</v>
      </c>
      <c r="N55" s="715" t="s">
        <v>642</v>
      </c>
      <c r="O55" s="715" t="s">
        <v>642</v>
      </c>
    </row>
    <row r="56" spans="1:15" x14ac:dyDescent="0.3">
      <c r="A56" s="733" t="s">
        <v>792</v>
      </c>
      <c r="B56" s="734">
        <v>7348.46</v>
      </c>
      <c r="C56" s="711">
        <v>6812.43</v>
      </c>
      <c r="D56" s="711">
        <v>1184.6500000000001</v>
      </c>
      <c r="E56" s="711">
        <v>1574.19</v>
      </c>
      <c r="F56" s="711">
        <v>2492.98</v>
      </c>
      <c r="G56" s="711">
        <v>-2928.81</v>
      </c>
      <c r="H56" s="711">
        <v>-1004.49</v>
      </c>
      <c r="I56" s="711">
        <v>3053.54</v>
      </c>
      <c r="J56" s="711">
        <v>5786.88</v>
      </c>
      <c r="K56" s="711">
        <v>-7105.81</v>
      </c>
      <c r="L56" s="711">
        <v>-3481.45</v>
      </c>
      <c r="M56" s="713">
        <v>5928.94</v>
      </c>
      <c r="N56" s="711">
        <v>5443.8</v>
      </c>
      <c r="O56" s="711">
        <v>6101.9</v>
      </c>
    </row>
    <row r="57" spans="1:15" x14ac:dyDescent="0.3">
      <c r="A57" s="733" t="s">
        <v>793</v>
      </c>
      <c r="B57" s="734">
        <v>7348.46</v>
      </c>
      <c r="C57" s="711">
        <v>6812.43</v>
      </c>
      <c r="D57" s="711">
        <v>1184.6500000000001</v>
      </c>
      <c r="E57" s="711">
        <v>1574.19</v>
      </c>
      <c r="F57" s="711">
        <v>2492.98</v>
      </c>
      <c r="G57" s="711">
        <v>-2928.81</v>
      </c>
      <c r="H57" s="711">
        <v>-1004.49</v>
      </c>
      <c r="I57" s="711">
        <v>3053.54</v>
      </c>
      <c r="J57" s="711">
        <v>5786.88</v>
      </c>
      <c r="K57" s="711">
        <v>-7105.81</v>
      </c>
      <c r="L57" s="711">
        <v>-3481.45</v>
      </c>
      <c r="M57" s="713">
        <v>5928.94</v>
      </c>
      <c r="N57" s="711">
        <v>5443.8</v>
      </c>
      <c r="O57" s="711">
        <v>6101.9</v>
      </c>
    </row>
    <row r="58" spans="1:15" x14ac:dyDescent="0.3">
      <c r="A58" s="733" t="s">
        <v>794</v>
      </c>
      <c r="B58" s="734">
        <v>7677.3</v>
      </c>
      <c r="C58" s="711">
        <v>7614.61</v>
      </c>
      <c r="D58" s="711">
        <v>5234.9399999999996</v>
      </c>
      <c r="E58" s="711">
        <v>3596.03</v>
      </c>
      <c r="F58" s="711">
        <v>8557.2000000000007</v>
      </c>
      <c r="G58" s="710">
        <v>113.45</v>
      </c>
      <c r="H58" s="710">
        <v>-442.24</v>
      </c>
      <c r="I58" s="711">
        <v>2515.54</v>
      </c>
      <c r="J58" s="711">
        <v>8982.67</v>
      </c>
      <c r="K58" s="711">
        <v>-6221.15</v>
      </c>
      <c r="L58" s="711">
        <v>-1154.45</v>
      </c>
      <c r="M58" s="713">
        <v>6511.01</v>
      </c>
      <c r="N58" s="711">
        <v>7519.97</v>
      </c>
      <c r="O58" s="711">
        <v>8207.6</v>
      </c>
    </row>
    <row r="59" spans="1:15" x14ac:dyDescent="0.3">
      <c r="A59" s="733" t="s">
        <v>642</v>
      </c>
      <c r="B59" s="740" t="s">
        <v>642</v>
      </c>
      <c r="C59" s="710" t="s">
        <v>642</v>
      </c>
      <c r="D59" s="710" t="s">
        <v>642</v>
      </c>
      <c r="E59" s="710" t="s">
        <v>642</v>
      </c>
      <c r="F59" s="710" t="s">
        <v>642</v>
      </c>
      <c r="G59" s="710" t="s">
        <v>642</v>
      </c>
      <c r="H59" s="710" t="s">
        <v>642</v>
      </c>
      <c r="I59" s="710" t="s">
        <v>642</v>
      </c>
      <c r="J59" s="710" t="s">
        <v>642</v>
      </c>
      <c r="K59" s="710" t="s">
        <v>642</v>
      </c>
      <c r="L59" s="710" t="s">
        <v>642</v>
      </c>
      <c r="M59" s="712" t="s">
        <v>642</v>
      </c>
      <c r="N59" s="710" t="s">
        <v>642</v>
      </c>
      <c r="O59" s="710" t="s">
        <v>642</v>
      </c>
    </row>
    <row r="60" spans="1:15" x14ac:dyDescent="0.3">
      <c r="A60" s="735" t="s">
        <v>795</v>
      </c>
      <c r="B60" s="737">
        <v>242</v>
      </c>
      <c r="C60" s="715">
        <v>237</v>
      </c>
      <c r="D60" s="715">
        <v>242</v>
      </c>
      <c r="E60" s="715">
        <v>296</v>
      </c>
      <c r="F60" s="715">
        <v>307</v>
      </c>
      <c r="G60" s="715">
        <v>292</v>
      </c>
      <c r="H60" s="715">
        <v>298</v>
      </c>
      <c r="I60" s="715">
        <v>309</v>
      </c>
      <c r="J60" s="715">
        <v>316</v>
      </c>
      <c r="K60" s="715">
        <v>318</v>
      </c>
      <c r="L60" s="715">
        <v>326</v>
      </c>
      <c r="M60" s="717">
        <v>357</v>
      </c>
      <c r="N60" s="715" t="s">
        <v>642</v>
      </c>
      <c r="O60" s="715" t="s">
        <v>642</v>
      </c>
    </row>
    <row r="61" spans="1:15" x14ac:dyDescent="0.3">
      <c r="A61" s="733" t="s">
        <v>796</v>
      </c>
      <c r="B61" s="734">
        <v>7134.84</v>
      </c>
      <c r="C61" s="711">
        <v>6672.08</v>
      </c>
      <c r="D61" s="711">
        <v>1172.92</v>
      </c>
      <c r="E61" s="711">
        <v>1528.56</v>
      </c>
      <c r="F61" s="711">
        <v>2416.11</v>
      </c>
      <c r="G61" s="711">
        <v>-2928.81</v>
      </c>
      <c r="H61" s="711">
        <v>-1004.49</v>
      </c>
      <c r="I61" s="711">
        <v>3019.49</v>
      </c>
      <c r="J61" s="711">
        <v>5786.88</v>
      </c>
      <c r="K61" s="711">
        <v>-7105.81</v>
      </c>
      <c r="L61" s="711">
        <v>-3481.45</v>
      </c>
      <c r="M61" s="713">
        <v>5724.49</v>
      </c>
      <c r="N61" s="711">
        <v>5443.8</v>
      </c>
      <c r="O61" s="711">
        <v>6101.9</v>
      </c>
    </row>
    <row r="62" spans="1:15" x14ac:dyDescent="0.3">
      <c r="A62" s="733" t="s">
        <v>797</v>
      </c>
      <c r="B62" s="734">
        <v>7134.84</v>
      </c>
      <c r="C62" s="711">
        <v>6672.08</v>
      </c>
      <c r="D62" s="711">
        <v>1172.92</v>
      </c>
      <c r="E62" s="711">
        <v>1528.56</v>
      </c>
      <c r="F62" s="711">
        <v>2416.11</v>
      </c>
      <c r="G62" s="711">
        <v>-2928.81</v>
      </c>
      <c r="H62" s="711">
        <v>-1004.49</v>
      </c>
      <c r="I62" s="711">
        <v>3019.49</v>
      </c>
      <c r="J62" s="711">
        <v>5786.88</v>
      </c>
      <c r="K62" s="711">
        <v>-7105.81</v>
      </c>
      <c r="L62" s="711">
        <v>-3481.45</v>
      </c>
      <c r="M62" s="713">
        <v>5724.49</v>
      </c>
      <c r="N62" s="711">
        <v>5443.8</v>
      </c>
      <c r="O62" s="711">
        <v>6101.9</v>
      </c>
    </row>
    <row r="63" spans="1:15" x14ac:dyDescent="0.3">
      <c r="A63" s="733" t="s">
        <v>798</v>
      </c>
      <c r="B63" s="734">
        <v>7453.28</v>
      </c>
      <c r="C63" s="711">
        <v>7452.41</v>
      </c>
      <c r="D63" s="711">
        <v>5170.05</v>
      </c>
      <c r="E63" s="711">
        <v>3497.45</v>
      </c>
      <c r="F63" s="711">
        <v>8279.89</v>
      </c>
      <c r="G63" s="710">
        <v>113.45</v>
      </c>
      <c r="H63" s="710">
        <v>-443.52</v>
      </c>
      <c r="I63" s="711">
        <v>2486.42</v>
      </c>
      <c r="J63" s="711">
        <v>8769.82</v>
      </c>
      <c r="K63" s="711">
        <v>-6221.15</v>
      </c>
      <c r="L63" s="711">
        <v>-1154.45</v>
      </c>
      <c r="M63" s="713">
        <v>6271.89</v>
      </c>
      <c r="N63" s="711">
        <v>7519.97</v>
      </c>
      <c r="O63" s="711">
        <v>8207.6</v>
      </c>
    </row>
    <row r="64" spans="1:15" x14ac:dyDescent="0.3">
      <c r="A64" s="733" t="s">
        <v>642</v>
      </c>
      <c r="B64" s="740" t="s">
        <v>642</v>
      </c>
      <c r="C64" s="710" t="s">
        <v>642</v>
      </c>
      <c r="D64" s="710" t="s">
        <v>642</v>
      </c>
      <c r="E64" s="710" t="s">
        <v>642</v>
      </c>
      <c r="F64" s="710" t="s">
        <v>642</v>
      </c>
      <c r="G64" s="710" t="s">
        <v>642</v>
      </c>
      <c r="H64" s="710" t="s">
        <v>642</v>
      </c>
      <c r="I64" s="710" t="s">
        <v>642</v>
      </c>
      <c r="J64" s="710" t="s">
        <v>642</v>
      </c>
      <c r="K64" s="710" t="s">
        <v>642</v>
      </c>
      <c r="L64" s="710" t="s">
        <v>642</v>
      </c>
      <c r="M64" s="712" t="s">
        <v>642</v>
      </c>
      <c r="N64" s="710" t="s">
        <v>642</v>
      </c>
      <c r="O64" s="710" t="s">
        <v>642</v>
      </c>
    </row>
    <row r="65" spans="1:15" x14ac:dyDescent="0.3">
      <c r="A65" s="733" t="s">
        <v>799</v>
      </c>
      <c r="B65" s="740" t="s">
        <v>642</v>
      </c>
      <c r="C65" s="710" t="s">
        <v>642</v>
      </c>
      <c r="D65" s="710" t="s">
        <v>642</v>
      </c>
      <c r="E65" s="710" t="s">
        <v>642</v>
      </c>
      <c r="F65" s="710" t="s">
        <v>642</v>
      </c>
      <c r="G65" s="710" t="s">
        <v>642</v>
      </c>
      <c r="H65" s="710" t="s">
        <v>642</v>
      </c>
      <c r="I65" s="710" t="s">
        <v>642</v>
      </c>
      <c r="J65" s="710" t="s">
        <v>642</v>
      </c>
      <c r="K65" s="710" t="s">
        <v>642</v>
      </c>
      <c r="L65" s="710" t="s">
        <v>642</v>
      </c>
      <c r="M65" s="712" t="s">
        <v>642</v>
      </c>
      <c r="N65" s="710" t="s">
        <v>642</v>
      </c>
      <c r="O65" s="710" t="s">
        <v>642</v>
      </c>
    </row>
    <row r="66" spans="1:15" x14ac:dyDescent="0.3">
      <c r="A66" s="735" t="s">
        <v>800</v>
      </c>
      <c r="B66" s="737" t="s">
        <v>1182</v>
      </c>
      <c r="C66" s="715" t="s">
        <v>1182</v>
      </c>
      <c r="D66" s="715" t="s">
        <v>1182</v>
      </c>
      <c r="E66" s="715" t="s">
        <v>1182</v>
      </c>
      <c r="F66" s="715" t="s">
        <v>1182</v>
      </c>
      <c r="G66" s="715" t="s">
        <v>1182</v>
      </c>
      <c r="H66" s="715" t="s">
        <v>1182</v>
      </c>
      <c r="I66" s="715" t="s">
        <v>1182</v>
      </c>
      <c r="J66" s="715" t="s">
        <v>1182</v>
      </c>
      <c r="K66" s="715" t="s">
        <v>1182</v>
      </c>
      <c r="L66" s="715" t="s">
        <v>1182</v>
      </c>
      <c r="M66" s="717" t="s">
        <v>642</v>
      </c>
      <c r="N66" s="715" t="s">
        <v>642</v>
      </c>
      <c r="O66" s="715" t="s">
        <v>642</v>
      </c>
    </row>
    <row r="67" spans="1:15" x14ac:dyDescent="0.3">
      <c r="A67" s="735" t="s">
        <v>216</v>
      </c>
      <c r="B67" s="789">
        <v>3360200</v>
      </c>
      <c r="C67" s="796">
        <v>3135200</v>
      </c>
      <c r="D67" s="796">
        <v>2908800</v>
      </c>
      <c r="E67" s="796">
        <v>5233600</v>
      </c>
      <c r="F67" s="796">
        <v>6519100</v>
      </c>
      <c r="G67" s="796">
        <v>2929900</v>
      </c>
      <c r="H67" s="796">
        <v>2481300</v>
      </c>
      <c r="I67" s="796">
        <v>2584700</v>
      </c>
      <c r="J67" s="796">
        <v>4381700</v>
      </c>
      <c r="K67" s="796">
        <v>-202456</v>
      </c>
      <c r="L67" s="796">
        <v>1267200</v>
      </c>
      <c r="M67" s="797">
        <v>4624574</v>
      </c>
      <c r="N67" s="796">
        <v>3868727</v>
      </c>
      <c r="O67" s="796">
        <v>4140606</v>
      </c>
    </row>
    <row r="68" spans="1:15" x14ac:dyDescent="0.3">
      <c r="A68" s="735" t="s">
        <v>802</v>
      </c>
      <c r="B68" s="737">
        <v>20.79</v>
      </c>
      <c r="C68" s="715">
        <v>19.93</v>
      </c>
      <c r="D68" s="715">
        <v>19.09</v>
      </c>
      <c r="E68" s="715">
        <v>24.03</v>
      </c>
      <c r="F68" s="715">
        <v>28.75</v>
      </c>
      <c r="G68" s="715">
        <v>15.58</v>
      </c>
      <c r="H68" s="715">
        <v>12.4</v>
      </c>
      <c r="I68" s="715">
        <v>13.46</v>
      </c>
      <c r="J68" s="715">
        <v>19.38</v>
      </c>
      <c r="K68" s="715">
        <v>-1.24</v>
      </c>
      <c r="L68" s="715">
        <v>7.31</v>
      </c>
      <c r="M68" s="717">
        <v>21.75</v>
      </c>
      <c r="N68" s="715">
        <v>23.94</v>
      </c>
      <c r="O68" s="715">
        <v>25.38</v>
      </c>
    </row>
    <row r="69" spans="1:15" x14ac:dyDescent="0.3">
      <c r="A69" s="735" t="s">
        <v>803</v>
      </c>
      <c r="B69" s="789">
        <v>2239800</v>
      </c>
      <c r="C69" s="796">
        <v>2261800</v>
      </c>
      <c r="D69" s="796">
        <v>1867300</v>
      </c>
      <c r="E69" s="796">
        <v>4138500</v>
      </c>
      <c r="F69" s="796">
        <v>5562500</v>
      </c>
      <c r="G69" s="796">
        <v>1971800</v>
      </c>
      <c r="H69" s="796">
        <v>1528300</v>
      </c>
      <c r="I69" s="796">
        <v>1760600</v>
      </c>
      <c r="J69" s="796">
        <v>3529900</v>
      </c>
      <c r="K69" s="796">
        <v>-1122100</v>
      </c>
      <c r="L69" s="796">
        <v>512213</v>
      </c>
      <c r="M69" s="797">
        <v>3829047</v>
      </c>
      <c r="N69" s="715" t="s">
        <v>642</v>
      </c>
      <c r="O69" s="715" t="s">
        <v>642</v>
      </c>
    </row>
    <row r="70" spans="1:15" x14ac:dyDescent="0.3">
      <c r="A70" s="735" t="s">
        <v>460</v>
      </c>
      <c r="B70" s="789">
        <v>2031500</v>
      </c>
      <c r="C70" s="796">
        <v>1932500</v>
      </c>
      <c r="D70" s="796">
        <v>1555300</v>
      </c>
      <c r="E70" s="796">
        <v>2806200</v>
      </c>
      <c r="F70" s="796">
        <v>4261100</v>
      </c>
      <c r="G70" s="796">
        <v>872966</v>
      </c>
      <c r="H70" s="796">
        <v>542903</v>
      </c>
      <c r="I70" s="796">
        <v>1152200</v>
      </c>
      <c r="J70" s="796">
        <v>3194200</v>
      </c>
      <c r="K70" s="796">
        <v>-1373500</v>
      </c>
      <c r="L70" s="796">
        <v>424177</v>
      </c>
      <c r="M70" s="797">
        <v>3803053</v>
      </c>
      <c r="N70" s="796">
        <v>3294588</v>
      </c>
      <c r="O70" s="796">
        <v>3538325</v>
      </c>
    </row>
    <row r="71" spans="1:15" x14ac:dyDescent="0.3">
      <c r="A71" s="735" t="s">
        <v>804</v>
      </c>
      <c r="B71" s="737">
        <v>29.23</v>
      </c>
      <c r="C71" s="715">
        <v>28.97</v>
      </c>
      <c r="D71" s="715">
        <v>27.94</v>
      </c>
      <c r="E71" s="715">
        <v>32.159999999999997</v>
      </c>
      <c r="F71" s="715">
        <v>39.46</v>
      </c>
      <c r="G71" s="715">
        <v>25.31</v>
      </c>
      <c r="H71" s="715">
        <v>22.97</v>
      </c>
      <c r="I71" s="715">
        <v>27.16</v>
      </c>
      <c r="J71" s="715">
        <v>32.32</v>
      </c>
      <c r="K71" s="715">
        <v>15.32</v>
      </c>
      <c r="L71" s="715">
        <v>22.65</v>
      </c>
      <c r="M71" s="717">
        <v>34.75</v>
      </c>
      <c r="N71" s="715" t="s">
        <v>642</v>
      </c>
      <c r="O71" s="715">
        <v>37.75</v>
      </c>
    </row>
    <row r="72" spans="1:15" x14ac:dyDescent="0.3">
      <c r="A72" s="735" t="s">
        <v>227</v>
      </c>
      <c r="B72" s="737">
        <v>12.57</v>
      </c>
      <c r="C72" s="715">
        <v>12.28</v>
      </c>
      <c r="D72" s="715">
        <v>10.199999999999999</v>
      </c>
      <c r="E72" s="715">
        <v>12.88</v>
      </c>
      <c r="F72" s="715">
        <v>18.79</v>
      </c>
      <c r="G72" s="715">
        <v>4.6399999999999997</v>
      </c>
      <c r="H72" s="715">
        <v>2.71</v>
      </c>
      <c r="I72" s="715">
        <v>6</v>
      </c>
      <c r="J72" s="715">
        <v>14.13</v>
      </c>
      <c r="K72" s="715">
        <v>-8.43</v>
      </c>
      <c r="L72" s="715">
        <v>2.4500000000000002</v>
      </c>
      <c r="M72" s="717">
        <v>17.8</v>
      </c>
      <c r="N72" s="715">
        <v>20.39</v>
      </c>
      <c r="O72" s="715">
        <v>21.69</v>
      </c>
    </row>
    <row r="73" spans="1:15" x14ac:dyDescent="0.3">
      <c r="A73" s="735" t="s">
        <v>197</v>
      </c>
      <c r="B73" s="737">
        <v>11.16</v>
      </c>
      <c r="C73" s="715">
        <v>11.23</v>
      </c>
      <c r="D73" s="715">
        <v>8.2100000000000009</v>
      </c>
      <c r="E73" s="715">
        <v>4.76</v>
      </c>
      <c r="F73" s="715">
        <v>11.21</v>
      </c>
      <c r="G73" s="715">
        <v>0.18</v>
      </c>
      <c r="H73" s="715">
        <v>-0.66</v>
      </c>
      <c r="I73" s="715">
        <v>3.99</v>
      </c>
      <c r="J73" s="715">
        <v>12.4</v>
      </c>
      <c r="K73" s="715">
        <v>-11.94</v>
      </c>
      <c r="L73" s="715">
        <v>-1.75</v>
      </c>
      <c r="M73" s="717">
        <v>10.8</v>
      </c>
      <c r="N73" s="715">
        <v>14.73</v>
      </c>
      <c r="O73" s="715">
        <v>15.93</v>
      </c>
    </row>
    <row r="74" spans="1:15" x14ac:dyDescent="0.3">
      <c r="A74" s="735" t="s">
        <v>1183</v>
      </c>
      <c r="B74" s="737" t="s">
        <v>1184</v>
      </c>
      <c r="C74" s="715" t="s">
        <v>1184</v>
      </c>
      <c r="D74" s="715" t="s">
        <v>1184</v>
      </c>
      <c r="E74" s="715" t="s">
        <v>1184</v>
      </c>
      <c r="F74" s="715" t="s">
        <v>1184</v>
      </c>
      <c r="G74" s="715" t="s">
        <v>1184</v>
      </c>
      <c r="H74" s="715" t="s">
        <v>1184</v>
      </c>
      <c r="I74" s="715" t="s">
        <v>1184</v>
      </c>
      <c r="J74" s="715" t="s">
        <v>1184</v>
      </c>
      <c r="K74" s="715" t="s">
        <v>1184</v>
      </c>
      <c r="L74" s="715" t="s">
        <v>1184</v>
      </c>
      <c r="M74" s="717" t="s">
        <v>642</v>
      </c>
      <c r="N74" s="715" t="s">
        <v>642</v>
      </c>
      <c r="O74" s="715" t="s">
        <v>642</v>
      </c>
    </row>
    <row r="75" spans="1:15" x14ac:dyDescent="0.3">
      <c r="A75" s="735" t="s">
        <v>805</v>
      </c>
      <c r="B75" s="736">
        <v>1335.11</v>
      </c>
      <c r="C75" s="716">
        <v>1943.32</v>
      </c>
      <c r="D75" s="716">
        <v>2345.83</v>
      </c>
      <c r="E75" s="716">
        <v>2281.4299999999998</v>
      </c>
      <c r="F75" s="716">
        <v>2196.46</v>
      </c>
      <c r="G75" s="716">
        <v>2270.39</v>
      </c>
      <c r="H75" s="716">
        <v>1793.73</v>
      </c>
      <c r="I75" s="715">
        <v>0</v>
      </c>
      <c r="J75" s="715">
        <v>0</v>
      </c>
      <c r="K75" s="715">
        <v>0</v>
      </c>
      <c r="L75" s="715">
        <v>0</v>
      </c>
      <c r="M75" s="717">
        <v>0</v>
      </c>
      <c r="N75" s="715">
        <v>159.69</v>
      </c>
      <c r="O75" s="716">
        <v>1233.93</v>
      </c>
    </row>
    <row r="76" spans="1:15" x14ac:dyDescent="0.3">
      <c r="A76" s="735" t="s">
        <v>806</v>
      </c>
      <c r="B76" s="789">
        <v>313752</v>
      </c>
      <c r="C76" s="796">
        <v>450851</v>
      </c>
      <c r="D76" s="796">
        <v>560654</v>
      </c>
      <c r="E76" s="796">
        <v>657052</v>
      </c>
      <c r="F76" s="796">
        <v>652349</v>
      </c>
      <c r="G76" s="796">
        <v>662955</v>
      </c>
      <c r="H76" s="796">
        <v>534532</v>
      </c>
      <c r="I76" s="715">
        <v>0</v>
      </c>
      <c r="J76" s="715">
        <v>0</v>
      </c>
      <c r="K76" s="715">
        <v>0</v>
      </c>
      <c r="L76" s="715">
        <v>0</v>
      </c>
      <c r="M76" s="717">
        <v>0</v>
      </c>
      <c r="N76" s="715" t="s">
        <v>642</v>
      </c>
      <c r="O76" s="715" t="s">
        <v>642</v>
      </c>
    </row>
    <row r="77" spans="1:15" x14ac:dyDescent="0.3">
      <c r="A77" s="735" t="s">
        <v>484</v>
      </c>
      <c r="B77" s="737" t="s">
        <v>741</v>
      </c>
      <c r="C77" s="796">
        <v>873416</v>
      </c>
      <c r="D77" s="796">
        <v>1041500</v>
      </c>
      <c r="E77" s="796">
        <v>1095100</v>
      </c>
      <c r="F77" s="796">
        <v>956559</v>
      </c>
      <c r="G77" s="796">
        <v>958106</v>
      </c>
      <c r="H77" s="796">
        <v>953070</v>
      </c>
      <c r="I77" s="796">
        <v>824116</v>
      </c>
      <c r="J77" s="796">
        <v>851790</v>
      </c>
      <c r="K77" s="796">
        <v>919653</v>
      </c>
      <c r="L77" s="796">
        <v>754981</v>
      </c>
      <c r="M77" s="717" t="s">
        <v>642</v>
      </c>
      <c r="N77" s="715" t="s">
        <v>642</v>
      </c>
      <c r="O77" s="715" t="s">
        <v>642</v>
      </c>
    </row>
    <row r="78" spans="1:15" x14ac:dyDescent="0.3">
      <c r="A78" s="735" t="s">
        <v>810</v>
      </c>
      <c r="B78" s="789">
        <v>63017</v>
      </c>
      <c r="C78" s="796">
        <v>64777</v>
      </c>
      <c r="D78" s="796">
        <v>69202</v>
      </c>
      <c r="E78" s="796">
        <v>52473</v>
      </c>
      <c r="F78" s="796">
        <v>58206</v>
      </c>
      <c r="G78" s="796">
        <v>53354</v>
      </c>
      <c r="H78" s="796">
        <v>65770</v>
      </c>
      <c r="I78" s="796">
        <v>56757</v>
      </c>
      <c r="J78" s="796">
        <v>69779</v>
      </c>
      <c r="K78" s="796">
        <v>75425</v>
      </c>
      <c r="L78" s="796">
        <v>85369</v>
      </c>
      <c r="M78" s="797">
        <v>111318</v>
      </c>
      <c r="N78" s="715" t="s">
        <v>642</v>
      </c>
      <c r="O78" s="715" t="s">
        <v>642</v>
      </c>
    </row>
    <row r="79" spans="1:15" ht="26" x14ac:dyDescent="0.3">
      <c r="A79" s="741" t="s">
        <v>811</v>
      </c>
      <c r="B79" s="741" t="s">
        <v>812</v>
      </c>
      <c r="C79" s="724"/>
      <c r="D79" s="724"/>
      <c r="E79" s="724"/>
      <c r="F79" s="724"/>
      <c r="G79" s="724"/>
      <c r="H79" s="723" t="s">
        <v>642</v>
      </c>
      <c r="I79" s="723" t="s">
        <v>642</v>
      </c>
      <c r="J79" s="723" t="s">
        <v>642</v>
      </c>
      <c r="K79" s="723" t="s">
        <v>642</v>
      </c>
      <c r="L79" s="723" t="s">
        <v>642</v>
      </c>
      <c r="M79" s="723" t="s">
        <v>642</v>
      </c>
      <c r="N79" s="723" t="s">
        <v>642</v>
      </c>
      <c r="O79" s="723" t="s">
        <v>642</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99"/>
  <sheetViews>
    <sheetView showGridLines="0" workbookViewId="0"/>
  </sheetViews>
  <sheetFormatPr defaultRowHeight="14" x14ac:dyDescent="0.3"/>
  <cols>
    <col min="1" max="1" width="36" bestFit="1" customWidth="1"/>
    <col min="2" max="2" width="18" hidden="1" customWidth="1"/>
    <col min="3" max="14" width="0" hidden="1" customWidth="1"/>
    <col min="15" max="15" width="9.58203125" bestFit="1" customWidth="1"/>
  </cols>
  <sheetData>
    <row r="1" spans="1:16" ht="14.5" x14ac:dyDescent="0.35">
      <c r="A1" s="725" t="s">
        <v>642</v>
      </c>
      <c r="B1" s="725" t="s">
        <v>642</v>
      </c>
      <c r="C1" s="701" t="s">
        <v>642</v>
      </c>
      <c r="D1" s="701" t="s">
        <v>642</v>
      </c>
      <c r="E1" s="701" t="s">
        <v>642</v>
      </c>
      <c r="F1" s="701" t="s">
        <v>642</v>
      </c>
      <c r="G1" s="701" t="s">
        <v>642</v>
      </c>
      <c r="H1" s="701" t="s">
        <v>642</v>
      </c>
      <c r="I1" s="701" t="s">
        <v>642</v>
      </c>
      <c r="J1" s="701" t="s">
        <v>642</v>
      </c>
      <c r="K1" s="701" t="s">
        <v>642</v>
      </c>
      <c r="L1" s="701" t="s">
        <v>642</v>
      </c>
      <c r="M1" s="701" t="s">
        <v>642</v>
      </c>
      <c r="N1" s="701" t="s">
        <v>642</v>
      </c>
      <c r="O1" s="701" t="s">
        <v>642</v>
      </c>
    </row>
    <row r="2" spans="1:16" ht="40" x14ac:dyDescent="0.4">
      <c r="A2" s="726" t="s">
        <v>1178</v>
      </c>
      <c r="B2" s="727"/>
      <c r="C2" s="703"/>
      <c r="D2" s="703"/>
      <c r="E2" s="703"/>
      <c r="F2" s="703"/>
      <c r="G2" s="702" t="s">
        <v>642</v>
      </c>
      <c r="H2" s="702" t="s">
        <v>642</v>
      </c>
      <c r="I2" s="702" t="s">
        <v>642</v>
      </c>
      <c r="J2" s="702" t="s">
        <v>642</v>
      </c>
      <c r="K2" s="702" t="s">
        <v>642</v>
      </c>
      <c r="L2" s="702" t="s">
        <v>642</v>
      </c>
      <c r="M2" s="702" t="s">
        <v>642</v>
      </c>
      <c r="N2" s="702" t="s">
        <v>642</v>
      </c>
      <c r="O2" s="702" t="s">
        <v>642</v>
      </c>
      <c r="P2" s="702" t="s">
        <v>642</v>
      </c>
    </row>
    <row r="3" spans="1:16" x14ac:dyDescent="0.3">
      <c r="A3" s="728" t="s">
        <v>642</v>
      </c>
      <c r="B3" s="728" t="s">
        <v>642</v>
      </c>
      <c r="C3" s="704" t="s">
        <v>642</v>
      </c>
      <c r="D3" s="704" t="s">
        <v>642</v>
      </c>
      <c r="E3" s="704" t="s">
        <v>642</v>
      </c>
      <c r="F3" s="704" t="s">
        <v>642</v>
      </c>
      <c r="G3" s="704" t="s">
        <v>642</v>
      </c>
      <c r="H3" s="704" t="s">
        <v>642</v>
      </c>
      <c r="I3" s="704" t="s">
        <v>642</v>
      </c>
      <c r="J3" s="704" t="s">
        <v>642</v>
      </c>
      <c r="K3" s="704" t="s">
        <v>642</v>
      </c>
      <c r="L3" s="704" t="s">
        <v>642</v>
      </c>
      <c r="M3" s="704" t="s">
        <v>642</v>
      </c>
      <c r="N3" s="704" t="s">
        <v>642</v>
      </c>
      <c r="O3" s="704" t="s">
        <v>642</v>
      </c>
    </row>
    <row r="4" spans="1:16" x14ac:dyDescent="0.3">
      <c r="A4" s="729" t="s">
        <v>1179</v>
      </c>
      <c r="B4" s="730" t="s">
        <v>1185</v>
      </c>
      <c r="C4" s="706" t="s">
        <v>1186</v>
      </c>
      <c r="D4" s="706" t="s">
        <v>1187</v>
      </c>
      <c r="E4" s="706" t="s">
        <v>724</v>
      </c>
      <c r="F4" s="706" t="s">
        <v>725</v>
      </c>
      <c r="G4" s="706" t="s">
        <v>726</v>
      </c>
      <c r="H4" s="706" t="s">
        <v>727</v>
      </c>
      <c r="I4" s="706" t="s">
        <v>728</v>
      </c>
      <c r="J4" s="706" t="s">
        <v>729</v>
      </c>
      <c r="K4" s="706" t="s">
        <v>730</v>
      </c>
      <c r="L4" s="706" t="s">
        <v>731</v>
      </c>
      <c r="M4" s="706" t="s">
        <v>732</v>
      </c>
      <c r="N4" s="706" t="s">
        <v>733</v>
      </c>
      <c r="O4" s="706" t="s">
        <v>734</v>
      </c>
    </row>
    <row r="5" spans="1:16" x14ac:dyDescent="0.3">
      <c r="A5" s="731" t="s">
        <v>738</v>
      </c>
      <c r="B5" s="732">
        <v>40725</v>
      </c>
      <c r="C5" s="709">
        <v>41089</v>
      </c>
      <c r="D5" s="709">
        <v>41453</v>
      </c>
      <c r="E5" s="709">
        <v>41817</v>
      </c>
      <c r="F5" s="709">
        <v>42188</v>
      </c>
      <c r="G5" s="709">
        <v>42552</v>
      </c>
      <c r="H5" s="709">
        <v>42916</v>
      </c>
      <c r="I5" s="709">
        <v>43280</v>
      </c>
      <c r="J5" s="709">
        <v>43644</v>
      </c>
      <c r="K5" s="709">
        <v>44015</v>
      </c>
      <c r="L5" s="709">
        <v>44379</v>
      </c>
      <c r="M5" s="709">
        <v>44743</v>
      </c>
      <c r="N5" s="709">
        <v>45107</v>
      </c>
      <c r="O5" s="709">
        <v>45471</v>
      </c>
    </row>
    <row r="6" spans="1:16" x14ac:dyDescent="0.3">
      <c r="A6" s="733" t="s">
        <v>292</v>
      </c>
      <c r="B6" s="740" t="s">
        <v>642</v>
      </c>
      <c r="C6" s="710" t="s">
        <v>642</v>
      </c>
      <c r="D6" s="710" t="s">
        <v>642</v>
      </c>
      <c r="E6" s="710" t="s">
        <v>642</v>
      </c>
      <c r="F6" s="710" t="s">
        <v>642</v>
      </c>
      <c r="G6" s="710" t="s">
        <v>642</v>
      </c>
      <c r="H6" s="710" t="s">
        <v>642</v>
      </c>
      <c r="I6" s="710" t="s">
        <v>642</v>
      </c>
      <c r="J6" s="710" t="s">
        <v>642</v>
      </c>
      <c r="K6" s="710" t="s">
        <v>642</v>
      </c>
      <c r="L6" s="710" t="s">
        <v>642</v>
      </c>
      <c r="M6" s="710" t="s">
        <v>642</v>
      </c>
      <c r="N6" s="710" t="s">
        <v>642</v>
      </c>
      <c r="O6" s="710" t="s">
        <v>642</v>
      </c>
    </row>
    <row r="7" spans="1:16" x14ac:dyDescent="0.3">
      <c r="A7" s="735" t="s">
        <v>814</v>
      </c>
      <c r="B7" s="789">
        <v>3719700</v>
      </c>
      <c r="C7" s="796">
        <v>3664800</v>
      </c>
      <c r="D7" s="796">
        <v>4923200</v>
      </c>
      <c r="E7" s="796">
        <v>5161700</v>
      </c>
      <c r="F7" s="796">
        <v>5934000</v>
      </c>
      <c r="G7" s="796">
        <v>9630600</v>
      </c>
      <c r="H7" s="796">
        <v>7267600</v>
      </c>
      <c r="I7" s="796">
        <v>5572300</v>
      </c>
      <c r="J7" s="796">
        <v>4002600</v>
      </c>
      <c r="K7" s="796">
        <v>3655400</v>
      </c>
      <c r="L7" s="796">
        <v>3816600</v>
      </c>
      <c r="M7" s="796">
        <v>3026300</v>
      </c>
      <c r="N7" s="796">
        <v>2666200</v>
      </c>
      <c r="O7" s="796">
        <v>2591400</v>
      </c>
    </row>
    <row r="8" spans="1:16" x14ac:dyDescent="0.3">
      <c r="A8" s="735" t="s">
        <v>815</v>
      </c>
      <c r="B8" s="789">
        <v>3719700</v>
      </c>
      <c r="C8" s="796">
        <v>3664800</v>
      </c>
      <c r="D8" s="796">
        <v>4923200</v>
      </c>
      <c r="E8" s="796">
        <v>4873600</v>
      </c>
      <c r="F8" s="796">
        <v>5639900</v>
      </c>
      <c r="G8" s="796">
        <v>9369700</v>
      </c>
      <c r="H8" s="796">
        <v>7267600</v>
      </c>
      <c r="I8" s="796">
        <v>5572300</v>
      </c>
      <c r="J8" s="796">
        <v>4002600</v>
      </c>
      <c r="K8" s="796">
        <v>3655400</v>
      </c>
      <c r="L8" s="796">
        <v>3816600</v>
      </c>
      <c r="M8" s="796">
        <v>3026300</v>
      </c>
      <c r="N8" s="796">
        <v>2666200</v>
      </c>
      <c r="O8" s="796">
        <v>2591400</v>
      </c>
    </row>
    <row r="9" spans="1:16" x14ac:dyDescent="0.3">
      <c r="A9" s="735" t="s">
        <v>816</v>
      </c>
      <c r="B9" s="737">
        <v>0</v>
      </c>
      <c r="C9" s="715">
        <v>0</v>
      </c>
      <c r="D9" s="715">
        <v>0</v>
      </c>
      <c r="E9" s="796">
        <v>288112</v>
      </c>
      <c r="F9" s="796">
        <v>294119</v>
      </c>
      <c r="G9" s="796">
        <v>260939</v>
      </c>
      <c r="H9" s="715">
        <v>0</v>
      </c>
      <c r="I9" s="715">
        <v>0</v>
      </c>
      <c r="J9" s="715">
        <v>0</v>
      </c>
      <c r="K9" s="715">
        <v>0</v>
      </c>
      <c r="L9" s="715">
        <v>0</v>
      </c>
      <c r="M9" s="715">
        <v>0</v>
      </c>
      <c r="N9" s="715">
        <v>0</v>
      </c>
      <c r="O9" s="715">
        <v>0</v>
      </c>
    </row>
    <row r="10" spans="1:16" x14ac:dyDescent="0.3">
      <c r="A10" s="735" t="s">
        <v>817</v>
      </c>
      <c r="B10" s="789">
        <v>1285400</v>
      </c>
      <c r="C10" s="796">
        <v>2700600</v>
      </c>
      <c r="D10" s="796">
        <v>2048600</v>
      </c>
      <c r="E10" s="796">
        <v>2017800</v>
      </c>
      <c r="F10" s="796">
        <v>1719800</v>
      </c>
      <c r="G10" s="796">
        <v>1679400</v>
      </c>
      <c r="H10" s="796">
        <v>2228100</v>
      </c>
      <c r="I10" s="796">
        <v>2446000</v>
      </c>
      <c r="J10" s="796">
        <v>1394800</v>
      </c>
      <c r="K10" s="796">
        <v>2853100</v>
      </c>
      <c r="L10" s="796">
        <v>2556100</v>
      </c>
      <c r="M10" s="796">
        <v>3646700</v>
      </c>
      <c r="N10" s="796">
        <v>2106100</v>
      </c>
      <c r="O10" s="796">
        <v>2987200</v>
      </c>
    </row>
    <row r="11" spans="1:16" x14ac:dyDescent="0.3">
      <c r="A11" s="735" t="s">
        <v>818</v>
      </c>
      <c r="B11" s="789">
        <v>1285400</v>
      </c>
      <c r="C11" s="796">
        <v>2700600</v>
      </c>
      <c r="D11" s="796">
        <v>2048600</v>
      </c>
      <c r="E11" s="796">
        <v>2017800</v>
      </c>
      <c r="F11" s="796">
        <v>1719800</v>
      </c>
      <c r="G11" s="796">
        <v>1679400</v>
      </c>
      <c r="H11" s="796">
        <v>2228100</v>
      </c>
      <c r="I11" s="796">
        <v>2446000</v>
      </c>
      <c r="J11" s="796">
        <v>1394800</v>
      </c>
      <c r="K11" s="796">
        <v>2853100</v>
      </c>
      <c r="L11" s="796">
        <v>2556100</v>
      </c>
      <c r="M11" s="796">
        <v>3646700</v>
      </c>
      <c r="N11" s="796">
        <v>2106100</v>
      </c>
      <c r="O11" s="796">
        <v>2987200</v>
      </c>
    </row>
    <row r="12" spans="1:16" x14ac:dyDescent="0.3">
      <c r="A12" s="735" t="s">
        <v>819</v>
      </c>
      <c r="B12" s="737">
        <v>0</v>
      </c>
      <c r="C12" s="715">
        <v>0</v>
      </c>
      <c r="D12" s="715">
        <v>0</v>
      </c>
      <c r="E12" s="715">
        <v>0</v>
      </c>
      <c r="F12" s="715">
        <v>0</v>
      </c>
      <c r="G12" s="715">
        <v>0</v>
      </c>
      <c r="H12" s="715">
        <v>0</v>
      </c>
      <c r="I12" s="715">
        <v>0</v>
      </c>
      <c r="J12" s="715">
        <v>0</v>
      </c>
      <c r="K12" s="715">
        <v>0</v>
      </c>
      <c r="L12" s="715">
        <v>0</v>
      </c>
      <c r="M12" s="715">
        <v>0</v>
      </c>
      <c r="N12" s="715">
        <v>0</v>
      </c>
      <c r="O12" s="715">
        <v>0</v>
      </c>
    </row>
    <row r="13" spans="1:16" x14ac:dyDescent="0.3">
      <c r="A13" s="735" t="s">
        <v>821</v>
      </c>
      <c r="B13" s="789">
        <v>614984</v>
      </c>
      <c r="C13" s="796">
        <v>1382300</v>
      </c>
      <c r="D13" s="796">
        <v>1357300</v>
      </c>
      <c r="E13" s="796">
        <v>1243800</v>
      </c>
      <c r="F13" s="796">
        <v>1535700</v>
      </c>
      <c r="G13" s="796">
        <v>2447300</v>
      </c>
      <c r="H13" s="796">
        <v>2677600</v>
      </c>
      <c r="I13" s="796">
        <v>3277700</v>
      </c>
      <c r="J13" s="796">
        <v>3803400</v>
      </c>
      <c r="K13" s="796">
        <v>3681800</v>
      </c>
      <c r="L13" s="796">
        <v>4095200</v>
      </c>
      <c r="M13" s="796">
        <v>4731300</v>
      </c>
      <c r="N13" s="796">
        <v>4873800</v>
      </c>
      <c r="O13" s="796">
        <v>4609100</v>
      </c>
    </row>
    <row r="14" spans="1:16" x14ac:dyDescent="0.3">
      <c r="A14" s="735" t="s">
        <v>822</v>
      </c>
      <c r="B14" s="789">
        <v>183323</v>
      </c>
      <c r="C14" s="796">
        <v>279886</v>
      </c>
      <c r="D14" s="796">
        <v>190806</v>
      </c>
      <c r="E14" s="796">
        <v>170433</v>
      </c>
      <c r="F14" s="796">
        <v>188595</v>
      </c>
      <c r="G14" s="796">
        <v>654071</v>
      </c>
      <c r="H14" s="796">
        <v>738882</v>
      </c>
      <c r="I14" s="796">
        <v>1166800</v>
      </c>
      <c r="J14" s="796">
        <v>1323000</v>
      </c>
      <c r="K14" s="796">
        <v>1566200</v>
      </c>
      <c r="L14" s="796">
        <v>1838100</v>
      </c>
      <c r="M14" s="796">
        <v>2084700</v>
      </c>
      <c r="N14" s="796">
        <v>2762400</v>
      </c>
      <c r="O14" s="796">
        <v>2381800</v>
      </c>
    </row>
    <row r="15" spans="1:16" x14ac:dyDescent="0.3">
      <c r="A15" s="735" t="s">
        <v>823</v>
      </c>
      <c r="B15" s="789">
        <v>280313</v>
      </c>
      <c r="C15" s="796">
        <v>630599</v>
      </c>
      <c r="D15" s="796">
        <v>656966</v>
      </c>
      <c r="E15" s="796">
        <v>500139</v>
      </c>
      <c r="F15" s="796">
        <v>561295</v>
      </c>
      <c r="G15" s="796">
        <v>677061</v>
      </c>
      <c r="H15" s="796">
        <v>722869</v>
      </c>
      <c r="I15" s="796">
        <v>977513</v>
      </c>
      <c r="J15" s="796">
        <v>1121400</v>
      </c>
      <c r="K15" s="796">
        <v>1146500</v>
      </c>
      <c r="L15" s="796">
        <v>1232200</v>
      </c>
      <c r="M15" s="796">
        <v>1511200</v>
      </c>
      <c r="N15" s="796">
        <v>1290300</v>
      </c>
      <c r="O15" s="796">
        <v>1470200</v>
      </c>
    </row>
    <row r="16" spans="1:16" x14ac:dyDescent="0.3">
      <c r="A16" s="735" t="s">
        <v>824</v>
      </c>
      <c r="B16" s="789">
        <v>151348</v>
      </c>
      <c r="C16" s="796">
        <v>471807</v>
      </c>
      <c r="D16" s="796">
        <v>509577</v>
      </c>
      <c r="E16" s="796">
        <v>573181</v>
      </c>
      <c r="F16" s="796">
        <v>785813</v>
      </c>
      <c r="G16" s="796">
        <v>1116200</v>
      </c>
      <c r="H16" s="796">
        <v>1215800</v>
      </c>
      <c r="I16" s="796">
        <v>1133400</v>
      </c>
      <c r="J16" s="796">
        <v>1358900</v>
      </c>
      <c r="K16" s="796">
        <v>969010</v>
      </c>
      <c r="L16" s="796">
        <v>1024900</v>
      </c>
      <c r="M16" s="796">
        <v>1135400</v>
      </c>
      <c r="N16" s="796">
        <v>821083</v>
      </c>
      <c r="O16" s="796">
        <v>757148</v>
      </c>
    </row>
    <row r="17" spans="1:15" x14ac:dyDescent="0.3">
      <c r="A17" s="735" t="s">
        <v>825</v>
      </c>
      <c r="B17" s="737">
        <v>0</v>
      </c>
      <c r="C17" s="715">
        <v>0</v>
      </c>
      <c r="D17" s="715">
        <v>0</v>
      </c>
      <c r="E17" s="715">
        <v>0</v>
      </c>
      <c r="F17" s="715">
        <v>0</v>
      </c>
      <c r="G17" s="715">
        <v>0</v>
      </c>
      <c r="H17" s="715">
        <v>0</v>
      </c>
      <c r="I17" s="715">
        <v>0</v>
      </c>
      <c r="J17" s="715">
        <v>0</v>
      </c>
      <c r="K17" s="715">
        <v>0</v>
      </c>
      <c r="L17" s="715">
        <v>0</v>
      </c>
      <c r="M17" s="715">
        <v>0</v>
      </c>
      <c r="N17" s="715">
        <v>0</v>
      </c>
      <c r="O17" s="715">
        <v>0</v>
      </c>
    </row>
    <row r="18" spans="1:15" x14ac:dyDescent="0.3">
      <c r="A18" s="735" t="s">
        <v>826</v>
      </c>
      <c r="B18" s="789">
        <v>228088</v>
      </c>
      <c r="C18" s="796">
        <v>410118</v>
      </c>
      <c r="D18" s="796">
        <v>351905</v>
      </c>
      <c r="E18" s="796">
        <v>423038</v>
      </c>
      <c r="F18" s="796">
        <v>367087</v>
      </c>
      <c r="G18" s="796">
        <v>708098</v>
      </c>
      <c r="H18" s="796">
        <v>472381</v>
      </c>
      <c r="I18" s="796">
        <v>547763</v>
      </c>
      <c r="J18" s="796">
        <v>619798</v>
      </c>
      <c r="K18" s="796">
        <v>660798</v>
      </c>
      <c r="L18" s="796">
        <v>582115</v>
      </c>
      <c r="M18" s="796">
        <v>889563</v>
      </c>
      <c r="N18" s="796">
        <v>747278</v>
      </c>
      <c r="O18" s="796">
        <v>928161</v>
      </c>
    </row>
    <row r="19" spans="1:15" x14ac:dyDescent="0.3">
      <c r="A19" s="735" t="s">
        <v>828</v>
      </c>
      <c r="B19" s="737">
        <v>0</v>
      </c>
      <c r="C19" s="796">
        <v>1142</v>
      </c>
      <c r="D19" s="715">
        <v>0</v>
      </c>
      <c r="E19" s="715">
        <v>0</v>
      </c>
      <c r="F19" s="715">
        <v>0</v>
      </c>
      <c r="G19" s="796">
        <v>225304</v>
      </c>
      <c r="H19" s="796">
        <v>18300</v>
      </c>
      <c r="I19" s="715">
        <v>0</v>
      </c>
      <c r="J19" s="715">
        <v>0</v>
      </c>
      <c r="K19" s="715">
        <v>0</v>
      </c>
      <c r="L19" s="715">
        <v>0</v>
      </c>
      <c r="M19" s="796">
        <v>83234</v>
      </c>
      <c r="N19" s="796">
        <v>46128</v>
      </c>
      <c r="O19" s="796">
        <v>11033</v>
      </c>
    </row>
    <row r="20" spans="1:15" x14ac:dyDescent="0.3">
      <c r="A20" s="735" t="s">
        <v>843</v>
      </c>
      <c r="B20" s="737" t="s">
        <v>741</v>
      </c>
      <c r="C20" s="715" t="s">
        <v>741</v>
      </c>
      <c r="D20" s="715" t="s">
        <v>741</v>
      </c>
      <c r="E20" s="796">
        <v>186664</v>
      </c>
      <c r="F20" s="715" t="s">
        <v>741</v>
      </c>
      <c r="G20" s="715" t="s">
        <v>741</v>
      </c>
      <c r="H20" s="715" t="s">
        <v>741</v>
      </c>
      <c r="I20" s="715" t="s">
        <v>741</v>
      </c>
      <c r="J20" s="715" t="s">
        <v>741</v>
      </c>
      <c r="K20" s="715" t="s">
        <v>741</v>
      </c>
      <c r="L20" s="715" t="s">
        <v>741</v>
      </c>
      <c r="M20" s="715" t="s">
        <v>741</v>
      </c>
      <c r="N20" s="715" t="s">
        <v>741</v>
      </c>
      <c r="O20" s="715" t="s">
        <v>741</v>
      </c>
    </row>
    <row r="21" spans="1:15" x14ac:dyDescent="0.3">
      <c r="A21" s="735" t="s">
        <v>830</v>
      </c>
      <c r="B21" s="789">
        <v>228088</v>
      </c>
      <c r="C21" s="796">
        <v>408976</v>
      </c>
      <c r="D21" s="796">
        <v>351905</v>
      </c>
      <c r="E21" s="796">
        <v>236374</v>
      </c>
      <c r="F21" s="796">
        <v>367087</v>
      </c>
      <c r="G21" s="796">
        <v>482794</v>
      </c>
      <c r="H21" s="796">
        <v>454081</v>
      </c>
      <c r="I21" s="796">
        <v>547763</v>
      </c>
      <c r="J21" s="796">
        <v>619798</v>
      </c>
      <c r="K21" s="796">
        <v>660798</v>
      </c>
      <c r="L21" s="796">
        <v>582115</v>
      </c>
      <c r="M21" s="796">
        <v>806329</v>
      </c>
      <c r="N21" s="796">
        <v>701149</v>
      </c>
      <c r="O21" s="796">
        <v>917128</v>
      </c>
    </row>
    <row r="22" spans="1:15" x14ac:dyDescent="0.3">
      <c r="A22" s="733" t="s">
        <v>831</v>
      </c>
      <c r="B22" s="790">
        <v>5848200</v>
      </c>
      <c r="C22" s="798">
        <v>8157800</v>
      </c>
      <c r="D22" s="798">
        <v>8681100</v>
      </c>
      <c r="E22" s="798">
        <v>8846300</v>
      </c>
      <c r="F22" s="798">
        <v>9556600</v>
      </c>
      <c r="G22" s="798">
        <v>14465400</v>
      </c>
      <c r="H22" s="798">
        <v>12645600</v>
      </c>
      <c r="I22" s="798">
        <v>11843700</v>
      </c>
      <c r="J22" s="798">
        <v>9820600</v>
      </c>
      <c r="K22" s="798">
        <v>10851000</v>
      </c>
      <c r="L22" s="798">
        <v>11050000</v>
      </c>
      <c r="M22" s="798">
        <v>12293900</v>
      </c>
      <c r="N22" s="798">
        <v>10393400</v>
      </c>
      <c r="O22" s="798">
        <v>11115900</v>
      </c>
    </row>
    <row r="23" spans="1:15" x14ac:dyDescent="0.3">
      <c r="A23" s="735" t="s">
        <v>832</v>
      </c>
      <c r="B23" s="789">
        <v>2370400</v>
      </c>
      <c r="C23" s="796">
        <v>4646100</v>
      </c>
      <c r="D23" s="796">
        <v>4227400</v>
      </c>
      <c r="E23" s="796">
        <v>3340700</v>
      </c>
      <c r="F23" s="796">
        <v>3328500</v>
      </c>
      <c r="G23" s="796">
        <v>4026700</v>
      </c>
      <c r="H23" s="796">
        <v>3469100</v>
      </c>
      <c r="I23" s="796">
        <v>3445800</v>
      </c>
      <c r="J23" s="796">
        <v>3293600</v>
      </c>
      <c r="K23" s="796">
        <v>3698500</v>
      </c>
      <c r="L23" s="796">
        <v>3861900</v>
      </c>
      <c r="M23" s="796">
        <v>5163100</v>
      </c>
      <c r="N23" s="796">
        <v>5113600</v>
      </c>
      <c r="O23" s="796">
        <v>4817300</v>
      </c>
    </row>
    <row r="24" spans="1:15" x14ac:dyDescent="0.3">
      <c r="A24" s="735" t="s">
        <v>833</v>
      </c>
      <c r="B24" s="789">
        <v>5155400</v>
      </c>
      <c r="C24" s="796">
        <v>8194400</v>
      </c>
      <c r="D24" s="796">
        <v>8701700</v>
      </c>
      <c r="E24" s="796">
        <v>8240600</v>
      </c>
      <c r="F24" s="796">
        <v>9658800</v>
      </c>
      <c r="G24" s="796">
        <v>11072100</v>
      </c>
      <c r="H24" s="796">
        <v>10895600</v>
      </c>
      <c r="I24" s="796">
        <v>11340500</v>
      </c>
      <c r="J24" s="796">
        <v>11588500</v>
      </c>
      <c r="K24" s="796">
        <v>12628300</v>
      </c>
      <c r="L24" s="796">
        <v>12662700</v>
      </c>
      <c r="M24" s="796">
        <v>15957500</v>
      </c>
      <c r="N24" s="796">
        <v>16487600</v>
      </c>
      <c r="O24" s="796">
        <v>17031000</v>
      </c>
    </row>
    <row r="25" spans="1:15" x14ac:dyDescent="0.3">
      <c r="A25" s="735" t="s">
        <v>834</v>
      </c>
      <c r="B25" s="789">
        <v>2785000</v>
      </c>
      <c r="C25" s="796">
        <v>3548300</v>
      </c>
      <c r="D25" s="796">
        <v>4474200</v>
      </c>
      <c r="E25" s="796">
        <v>4899900</v>
      </c>
      <c r="F25" s="796">
        <v>6330300</v>
      </c>
      <c r="G25" s="796">
        <v>7045300</v>
      </c>
      <c r="H25" s="796">
        <v>7426600</v>
      </c>
      <c r="I25" s="796">
        <v>7894700</v>
      </c>
      <c r="J25" s="796">
        <v>8294900</v>
      </c>
      <c r="K25" s="796">
        <v>8929800</v>
      </c>
      <c r="L25" s="796">
        <v>8800800</v>
      </c>
      <c r="M25" s="796">
        <v>10794400</v>
      </c>
      <c r="N25" s="796">
        <v>11373900</v>
      </c>
      <c r="O25" s="796">
        <v>12213700</v>
      </c>
    </row>
    <row r="26" spans="1:15" x14ac:dyDescent="0.3">
      <c r="A26" s="735" t="s">
        <v>835</v>
      </c>
      <c r="B26" s="737">
        <v>0</v>
      </c>
      <c r="C26" s="715">
        <v>0</v>
      </c>
      <c r="D26" s="715">
        <v>0</v>
      </c>
      <c r="E26" s="715">
        <v>0</v>
      </c>
      <c r="F26" s="715">
        <v>0</v>
      </c>
      <c r="G26" s="715">
        <v>0</v>
      </c>
      <c r="H26" s="796">
        <v>1532700</v>
      </c>
      <c r="I26" s="796">
        <v>2343600</v>
      </c>
      <c r="J26" s="796">
        <v>3233400</v>
      </c>
      <c r="K26" s="796">
        <v>2248600</v>
      </c>
      <c r="L26" s="796">
        <v>1796200</v>
      </c>
      <c r="M26" s="796">
        <v>1815500</v>
      </c>
      <c r="N26" s="796">
        <v>1709400</v>
      </c>
      <c r="O26" s="796">
        <v>1366700</v>
      </c>
    </row>
    <row r="27" spans="1:15" x14ac:dyDescent="0.3">
      <c r="A27" s="735" t="s">
        <v>837</v>
      </c>
      <c r="B27" s="737" t="s">
        <v>741</v>
      </c>
      <c r="C27" s="715" t="s">
        <v>741</v>
      </c>
      <c r="D27" s="715" t="s">
        <v>741</v>
      </c>
      <c r="E27" s="715" t="s">
        <v>741</v>
      </c>
      <c r="F27" s="715" t="s">
        <v>741</v>
      </c>
      <c r="G27" s="715" t="s">
        <v>741</v>
      </c>
      <c r="H27" s="796">
        <v>1532700</v>
      </c>
      <c r="I27" s="796">
        <v>2343600</v>
      </c>
      <c r="J27" s="796">
        <v>3233400</v>
      </c>
      <c r="K27" s="796">
        <v>2248600</v>
      </c>
      <c r="L27" s="796">
        <v>1796200</v>
      </c>
      <c r="M27" s="796">
        <v>1815500</v>
      </c>
      <c r="N27" s="796">
        <v>1709400</v>
      </c>
      <c r="O27" s="796">
        <v>1366700</v>
      </c>
    </row>
    <row r="28" spans="1:15" x14ac:dyDescent="0.3">
      <c r="A28" s="735" t="s">
        <v>838</v>
      </c>
      <c r="B28" s="789">
        <v>433793</v>
      </c>
      <c r="C28" s="796">
        <v>3424900</v>
      </c>
      <c r="D28" s="796">
        <v>3128300</v>
      </c>
      <c r="E28" s="796">
        <v>3536500</v>
      </c>
      <c r="F28" s="796">
        <v>4144600</v>
      </c>
      <c r="G28" s="796">
        <v>19283000</v>
      </c>
      <c r="H28" s="796">
        <v>16505900</v>
      </c>
      <c r="I28" s="796">
        <v>14915400</v>
      </c>
      <c r="J28" s="796">
        <v>14202100</v>
      </c>
      <c r="K28" s="796">
        <v>13977500</v>
      </c>
      <c r="L28" s="796">
        <v>12886900</v>
      </c>
      <c r="M28" s="796">
        <v>14878100</v>
      </c>
      <c r="N28" s="796">
        <v>14979800</v>
      </c>
      <c r="O28" s="796">
        <v>16058700</v>
      </c>
    </row>
    <row r="29" spans="1:15" x14ac:dyDescent="0.3">
      <c r="A29" s="735" t="s">
        <v>839</v>
      </c>
      <c r="B29" s="789">
        <v>236614</v>
      </c>
      <c r="C29" s="796">
        <v>3169000</v>
      </c>
      <c r="D29" s="796">
        <v>2923800</v>
      </c>
      <c r="E29" s="796">
        <v>3056600</v>
      </c>
      <c r="F29" s="796">
        <v>3477800</v>
      </c>
      <c r="G29" s="796">
        <v>17225400</v>
      </c>
      <c r="H29" s="796">
        <v>15826500</v>
      </c>
      <c r="I29" s="796">
        <v>14200700</v>
      </c>
      <c r="J29" s="796">
        <v>13655200</v>
      </c>
      <c r="K29" s="796">
        <v>13201600</v>
      </c>
      <c r="L29" s="796">
        <v>11900500</v>
      </c>
      <c r="M29" s="796">
        <v>13335600</v>
      </c>
      <c r="N29" s="796">
        <v>13333700</v>
      </c>
      <c r="O29" s="796">
        <v>13943100</v>
      </c>
    </row>
    <row r="30" spans="1:15" x14ac:dyDescent="0.3">
      <c r="A30" s="738" t="s">
        <v>840</v>
      </c>
      <c r="B30" s="802">
        <v>160940</v>
      </c>
      <c r="C30" s="800">
        <v>2256200</v>
      </c>
      <c r="D30" s="800">
        <v>2232500</v>
      </c>
      <c r="E30" s="800">
        <v>2596100</v>
      </c>
      <c r="F30" s="800">
        <v>3105100</v>
      </c>
      <c r="G30" s="800">
        <v>11438800</v>
      </c>
      <c r="H30" s="800">
        <v>11453800</v>
      </c>
      <c r="I30" s="800">
        <v>11216900</v>
      </c>
      <c r="J30" s="800">
        <v>11673000</v>
      </c>
      <c r="K30" s="800">
        <v>12073100</v>
      </c>
      <c r="L30" s="800">
        <v>11399900</v>
      </c>
      <c r="M30" s="800">
        <v>13058600</v>
      </c>
      <c r="N30" s="800">
        <v>13228300</v>
      </c>
      <c r="O30" s="800">
        <v>13835500</v>
      </c>
    </row>
    <row r="31" spans="1:15" x14ac:dyDescent="0.3">
      <c r="A31" s="738" t="s">
        <v>841</v>
      </c>
      <c r="B31" s="802">
        <v>75674</v>
      </c>
      <c r="C31" s="800">
        <v>912770</v>
      </c>
      <c r="D31" s="800">
        <v>691243</v>
      </c>
      <c r="E31" s="800">
        <v>460574</v>
      </c>
      <c r="F31" s="800">
        <v>372700</v>
      </c>
      <c r="G31" s="800">
        <v>5786600</v>
      </c>
      <c r="H31" s="800">
        <v>4372700</v>
      </c>
      <c r="I31" s="800">
        <v>2983800</v>
      </c>
      <c r="J31" s="800">
        <v>1982200</v>
      </c>
      <c r="K31" s="800">
        <v>1128500</v>
      </c>
      <c r="L31" s="800">
        <v>500574</v>
      </c>
      <c r="M31" s="800">
        <v>277013</v>
      </c>
      <c r="N31" s="800">
        <v>105436</v>
      </c>
      <c r="O31" s="800">
        <v>107573</v>
      </c>
    </row>
    <row r="32" spans="1:15" x14ac:dyDescent="0.3">
      <c r="A32" s="735" t="s">
        <v>843</v>
      </c>
      <c r="B32" s="737" t="s">
        <v>741</v>
      </c>
      <c r="C32" s="715" t="s">
        <v>741</v>
      </c>
      <c r="D32" s="715" t="s">
        <v>741</v>
      </c>
      <c r="E32" s="796">
        <v>328692</v>
      </c>
      <c r="F32" s="796">
        <v>120117</v>
      </c>
      <c r="G32" s="715" t="s">
        <v>741</v>
      </c>
      <c r="H32" s="715" t="s">
        <v>741</v>
      </c>
      <c r="I32" s="715" t="s">
        <v>741</v>
      </c>
      <c r="J32" s="715" t="s">
        <v>741</v>
      </c>
      <c r="K32" s="715" t="s">
        <v>741</v>
      </c>
      <c r="L32" s="715" t="s">
        <v>741</v>
      </c>
      <c r="M32" s="715" t="s">
        <v>741</v>
      </c>
      <c r="N32" s="715" t="s">
        <v>741</v>
      </c>
      <c r="O32" s="715" t="s">
        <v>741</v>
      </c>
    </row>
    <row r="33" spans="1:15" x14ac:dyDescent="0.3">
      <c r="A33" s="735" t="s">
        <v>828</v>
      </c>
      <c r="B33" s="737">
        <v>0</v>
      </c>
      <c r="C33" s="715">
        <v>0</v>
      </c>
      <c r="D33" s="715">
        <v>0</v>
      </c>
      <c r="E33" s="715">
        <v>0</v>
      </c>
      <c r="F33" s="715">
        <v>0</v>
      </c>
      <c r="G33" s="796">
        <v>1150</v>
      </c>
      <c r="H33" s="715">
        <v>0</v>
      </c>
      <c r="I33" s="715">
        <v>0</v>
      </c>
      <c r="J33" s="715">
        <v>0</v>
      </c>
      <c r="K33" s="715">
        <v>0</v>
      </c>
      <c r="L33" s="715">
        <v>0</v>
      </c>
      <c r="M33" s="715">
        <v>0</v>
      </c>
      <c r="N33" s="715">
        <v>0</v>
      </c>
      <c r="O33" s="715">
        <v>0</v>
      </c>
    </row>
    <row r="34" spans="1:15" x14ac:dyDescent="0.3">
      <c r="A34" s="735" t="s">
        <v>846</v>
      </c>
      <c r="B34" s="789">
        <v>197179</v>
      </c>
      <c r="C34" s="796">
        <v>255895</v>
      </c>
      <c r="D34" s="796">
        <v>204516</v>
      </c>
      <c r="E34" s="796">
        <v>151158</v>
      </c>
      <c r="F34" s="796">
        <v>546701</v>
      </c>
      <c r="G34" s="796">
        <v>2056500</v>
      </c>
      <c r="H34" s="796">
        <v>679405</v>
      </c>
      <c r="I34" s="796">
        <v>714764</v>
      </c>
      <c r="J34" s="796">
        <v>546812</v>
      </c>
      <c r="K34" s="796">
        <v>775928</v>
      </c>
      <c r="L34" s="796">
        <v>986425</v>
      </c>
      <c r="M34" s="796">
        <v>1542400</v>
      </c>
      <c r="N34" s="796">
        <v>1646100</v>
      </c>
      <c r="O34" s="796">
        <v>2115600</v>
      </c>
    </row>
    <row r="35" spans="1:15" x14ac:dyDescent="0.3">
      <c r="A35" s="733" t="s">
        <v>847</v>
      </c>
      <c r="B35" s="790">
        <v>2804200</v>
      </c>
      <c r="C35" s="798">
        <v>8071000</v>
      </c>
      <c r="D35" s="798">
        <v>7355700</v>
      </c>
      <c r="E35" s="798">
        <v>6877200</v>
      </c>
      <c r="F35" s="798">
        <v>7473100</v>
      </c>
      <c r="G35" s="798">
        <v>23309800</v>
      </c>
      <c r="H35" s="798">
        <v>21507600</v>
      </c>
      <c r="I35" s="798">
        <v>20704800</v>
      </c>
      <c r="J35" s="798">
        <v>20729000</v>
      </c>
      <c r="K35" s="798">
        <v>19924700</v>
      </c>
      <c r="L35" s="798">
        <v>18545000</v>
      </c>
      <c r="M35" s="798">
        <v>21856700</v>
      </c>
      <c r="N35" s="798">
        <v>21802800</v>
      </c>
      <c r="O35" s="798">
        <v>22242800</v>
      </c>
    </row>
    <row r="36" spans="1:15" x14ac:dyDescent="0.3">
      <c r="A36" s="733" t="s">
        <v>292</v>
      </c>
      <c r="B36" s="790">
        <v>8652400</v>
      </c>
      <c r="C36" s="798">
        <v>16228800</v>
      </c>
      <c r="D36" s="798">
        <v>16036800</v>
      </c>
      <c r="E36" s="798">
        <v>15723400</v>
      </c>
      <c r="F36" s="798">
        <v>17029700</v>
      </c>
      <c r="G36" s="798">
        <v>37775200</v>
      </c>
      <c r="H36" s="798">
        <v>34153300</v>
      </c>
      <c r="I36" s="798">
        <v>32548500</v>
      </c>
      <c r="J36" s="798">
        <v>30549600</v>
      </c>
      <c r="K36" s="798">
        <v>30775700</v>
      </c>
      <c r="L36" s="798">
        <v>29595000</v>
      </c>
      <c r="M36" s="798">
        <v>34150600</v>
      </c>
      <c r="N36" s="798">
        <v>32196200</v>
      </c>
      <c r="O36" s="798">
        <v>33358600</v>
      </c>
    </row>
    <row r="37" spans="1:15" x14ac:dyDescent="0.3">
      <c r="A37" s="733" t="s">
        <v>642</v>
      </c>
      <c r="B37" s="740" t="s">
        <v>642</v>
      </c>
      <c r="C37" s="710" t="s">
        <v>642</v>
      </c>
      <c r="D37" s="710" t="s">
        <v>642</v>
      </c>
      <c r="E37" s="710" t="s">
        <v>642</v>
      </c>
      <c r="F37" s="710" t="s">
        <v>642</v>
      </c>
      <c r="G37" s="710" t="s">
        <v>642</v>
      </c>
      <c r="H37" s="710" t="s">
        <v>642</v>
      </c>
      <c r="I37" s="710" t="s">
        <v>642</v>
      </c>
      <c r="J37" s="710" t="s">
        <v>642</v>
      </c>
      <c r="K37" s="710" t="s">
        <v>642</v>
      </c>
      <c r="L37" s="710" t="s">
        <v>642</v>
      </c>
      <c r="M37" s="710" t="s">
        <v>642</v>
      </c>
      <c r="N37" s="710" t="s">
        <v>642</v>
      </c>
      <c r="O37" s="710" t="s">
        <v>642</v>
      </c>
    </row>
    <row r="38" spans="1:15" x14ac:dyDescent="0.3">
      <c r="A38" s="733" t="s">
        <v>848</v>
      </c>
      <c r="B38" s="740" t="s">
        <v>642</v>
      </c>
      <c r="C38" s="710" t="s">
        <v>642</v>
      </c>
      <c r="D38" s="710" t="s">
        <v>642</v>
      </c>
      <c r="E38" s="710" t="s">
        <v>642</v>
      </c>
      <c r="F38" s="710" t="s">
        <v>642</v>
      </c>
      <c r="G38" s="710" t="s">
        <v>642</v>
      </c>
      <c r="H38" s="710" t="s">
        <v>642</v>
      </c>
      <c r="I38" s="710" t="s">
        <v>642</v>
      </c>
      <c r="J38" s="710" t="s">
        <v>642</v>
      </c>
      <c r="K38" s="710" t="s">
        <v>642</v>
      </c>
      <c r="L38" s="710" t="s">
        <v>642</v>
      </c>
      <c r="M38" s="710" t="s">
        <v>642</v>
      </c>
      <c r="N38" s="710" t="s">
        <v>642</v>
      </c>
      <c r="O38" s="710" t="s">
        <v>642</v>
      </c>
    </row>
    <row r="39" spans="1:15" x14ac:dyDescent="0.3">
      <c r="A39" s="735" t="s">
        <v>849</v>
      </c>
      <c r="B39" s="789">
        <v>2159400</v>
      </c>
      <c r="C39" s="796">
        <v>4318200</v>
      </c>
      <c r="D39" s="796">
        <v>4211400</v>
      </c>
      <c r="E39" s="796">
        <v>3773900</v>
      </c>
      <c r="F39" s="796">
        <v>3143300</v>
      </c>
      <c r="G39" s="796">
        <v>3773800</v>
      </c>
      <c r="H39" s="796">
        <v>4457300</v>
      </c>
      <c r="I39" s="796">
        <v>4473400</v>
      </c>
      <c r="J39" s="796">
        <v>3718800</v>
      </c>
      <c r="K39" s="796">
        <v>4409700</v>
      </c>
      <c r="L39" s="796">
        <v>4743000</v>
      </c>
      <c r="M39" s="796">
        <v>5931700</v>
      </c>
      <c r="N39" s="796">
        <v>4872500</v>
      </c>
      <c r="O39" s="796">
        <v>5220000</v>
      </c>
    </row>
    <row r="40" spans="1:15" x14ac:dyDescent="0.3">
      <c r="A40" s="735" t="s">
        <v>850</v>
      </c>
      <c r="B40" s="789">
        <v>1646700</v>
      </c>
      <c r="C40" s="796">
        <v>3167800</v>
      </c>
      <c r="D40" s="796">
        <v>2273700</v>
      </c>
      <c r="E40" s="796">
        <v>1999500</v>
      </c>
      <c r="F40" s="796">
        <v>2111600</v>
      </c>
      <c r="G40" s="796">
        <v>2170300</v>
      </c>
      <c r="H40" s="796">
        <v>2452300</v>
      </c>
      <c r="I40" s="796">
        <v>2521700</v>
      </c>
      <c r="J40" s="796">
        <v>1815400</v>
      </c>
      <c r="K40" s="796">
        <v>2332600</v>
      </c>
      <c r="L40" s="796">
        <v>2190300</v>
      </c>
      <c r="M40" s="796">
        <v>2473600</v>
      </c>
      <c r="N40" s="796">
        <v>1704100</v>
      </c>
      <c r="O40" s="796">
        <v>1946000</v>
      </c>
    </row>
    <row r="41" spans="1:15" x14ac:dyDescent="0.3">
      <c r="A41" s="735" t="s">
        <v>851</v>
      </c>
      <c r="B41" s="737">
        <v>0</v>
      </c>
      <c r="C41" s="715">
        <v>0</v>
      </c>
      <c r="D41" s="715" t="s">
        <v>741</v>
      </c>
      <c r="E41" s="715" t="s">
        <v>741</v>
      </c>
      <c r="F41" s="715" t="s">
        <v>741</v>
      </c>
      <c r="G41" s="715" t="s">
        <v>741</v>
      </c>
      <c r="H41" s="715" t="s">
        <v>741</v>
      </c>
      <c r="I41" s="715" t="s">
        <v>741</v>
      </c>
      <c r="J41" s="715" t="s">
        <v>741</v>
      </c>
      <c r="K41" s="715" t="s">
        <v>741</v>
      </c>
      <c r="L41" s="715" t="s">
        <v>741</v>
      </c>
      <c r="M41" s="796">
        <v>1130200</v>
      </c>
      <c r="N41" s="796">
        <v>1316600</v>
      </c>
      <c r="O41" s="796">
        <v>724049</v>
      </c>
    </row>
    <row r="42" spans="1:15" x14ac:dyDescent="0.3">
      <c r="A42" s="735" t="s">
        <v>1188</v>
      </c>
      <c r="B42" s="737">
        <v>0</v>
      </c>
      <c r="C42" s="715">
        <v>0</v>
      </c>
      <c r="D42" s="715" t="s">
        <v>741</v>
      </c>
      <c r="E42" s="715" t="s">
        <v>741</v>
      </c>
      <c r="F42" s="715" t="s">
        <v>741</v>
      </c>
      <c r="G42" s="715" t="s">
        <v>741</v>
      </c>
      <c r="H42" s="715" t="s">
        <v>741</v>
      </c>
      <c r="I42" s="715" t="s">
        <v>741</v>
      </c>
      <c r="J42" s="715" t="s">
        <v>741</v>
      </c>
      <c r="K42" s="715" t="s">
        <v>741</v>
      </c>
      <c r="L42" s="715" t="s">
        <v>741</v>
      </c>
      <c r="M42" s="715" t="s">
        <v>741</v>
      </c>
      <c r="N42" s="715" t="s">
        <v>741</v>
      </c>
      <c r="O42" s="715" t="s">
        <v>741</v>
      </c>
    </row>
    <row r="43" spans="1:15" x14ac:dyDescent="0.3">
      <c r="A43" s="735" t="s">
        <v>852</v>
      </c>
      <c r="B43" s="789">
        <v>512664</v>
      </c>
      <c r="C43" s="796">
        <v>1150400</v>
      </c>
      <c r="D43" s="796">
        <v>1937800</v>
      </c>
      <c r="E43" s="796">
        <v>1774300</v>
      </c>
      <c r="F43" s="796">
        <v>1031700</v>
      </c>
      <c r="G43" s="796">
        <v>1603600</v>
      </c>
      <c r="H43" s="796">
        <v>2005000</v>
      </c>
      <c r="I43" s="796">
        <v>1951700</v>
      </c>
      <c r="J43" s="796">
        <v>1903400</v>
      </c>
      <c r="K43" s="796">
        <v>2077100</v>
      </c>
      <c r="L43" s="796">
        <v>2552700</v>
      </c>
      <c r="M43" s="796">
        <v>2327900</v>
      </c>
      <c r="N43" s="796">
        <v>1851700</v>
      </c>
      <c r="O43" s="796">
        <v>2550000</v>
      </c>
    </row>
    <row r="44" spans="1:15" x14ac:dyDescent="0.3">
      <c r="A44" s="735" t="s">
        <v>853</v>
      </c>
      <c r="B44" s="789">
        <v>153480</v>
      </c>
      <c r="C44" s="796">
        <v>262750</v>
      </c>
      <c r="D44" s="796">
        <v>262787</v>
      </c>
      <c r="E44" s="796">
        <v>126810</v>
      </c>
      <c r="F44" s="796">
        <v>456894</v>
      </c>
      <c r="G44" s="796">
        <v>3832500</v>
      </c>
      <c r="H44" s="796">
        <v>266501</v>
      </c>
      <c r="I44" s="796">
        <v>199288</v>
      </c>
      <c r="J44" s="796">
        <v>319746</v>
      </c>
      <c r="K44" s="796">
        <v>386165</v>
      </c>
      <c r="L44" s="796">
        <v>321636</v>
      </c>
      <c r="M44" s="796">
        <v>52021</v>
      </c>
      <c r="N44" s="796">
        <v>1651400</v>
      </c>
      <c r="O44" s="796">
        <v>2471400</v>
      </c>
    </row>
    <row r="45" spans="1:15" x14ac:dyDescent="0.3">
      <c r="A45" s="735" t="s">
        <v>854</v>
      </c>
      <c r="B45" s="737">
        <v>0</v>
      </c>
      <c r="C45" s="715">
        <v>0</v>
      </c>
      <c r="D45" s="715">
        <v>0</v>
      </c>
      <c r="E45" s="715">
        <v>0</v>
      </c>
      <c r="F45" s="796">
        <v>286260</v>
      </c>
      <c r="G45" s="796">
        <v>3442800</v>
      </c>
      <c r="H45" s="715">
        <v>0</v>
      </c>
      <c r="I45" s="715">
        <v>0</v>
      </c>
      <c r="J45" s="715">
        <v>0</v>
      </c>
      <c r="K45" s="715">
        <v>0</v>
      </c>
      <c r="L45" s="715">
        <v>0</v>
      </c>
      <c r="M45" s="715">
        <v>0</v>
      </c>
      <c r="N45" s="715">
        <v>0</v>
      </c>
      <c r="O45" s="715">
        <v>0</v>
      </c>
    </row>
    <row r="46" spans="1:15" x14ac:dyDescent="0.3">
      <c r="A46" s="735" t="s">
        <v>855</v>
      </c>
      <c r="B46" s="737">
        <v>0</v>
      </c>
      <c r="C46" s="715">
        <v>0</v>
      </c>
      <c r="D46" s="715">
        <v>0</v>
      </c>
      <c r="E46" s="715">
        <v>0</v>
      </c>
      <c r="F46" s="715">
        <v>0</v>
      </c>
      <c r="G46" s="715">
        <v>0</v>
      </c>
      <c r="H46" s="715">
        <v>0</v>
      </c>
      <c r="I46" s="715">
        <v>0</v>
      </c>
      <c r="J46" s="715" t="s">
        <v>741</v>
      </c>
      <c r="K46" s="796">
        <v>43174</v>
      </c>
      <c r="L46" s="796">
        <v>37373</v>
      </c>
      <c r="M46" s="796">
        <v>52021</v>
      </c>
      <c r="N46" s="796">
        <v>52718</v>
      </c>
      <c r="O46" s="796">
        <v>57924</v>
      </c>
    </row>
    <row r="47" spans="1:15" x14ac:dyDescent="0.3">
      <c r="A47" s="738" t="s">
        <v>1189</v>
      </c>
      <c r="B47" s="739">
        <v>0</v>
      </c>
      <c r="C47" s="719">
        <v>0</v>
      </c>
      <c r="D47" s="719">
        <v>0</v>
      </c>
      <c r="E47" s="719">
        <v>0</v>
      </c>
      <c r="F47" s="719">
        <v>0</v>
      </c>
      <c r="G47" s="719">
        <v>0</v>
      </c>
      <c r="H47" s="719">
        <v>0</v>
      </c>
      <c r="I47" s="719">
        <v>0</v>
      </c>
      <c r="J47" s="719" t="s">
        <v>741</v>
      </c>
      <c r="K47" s="719">
        <v>0</v>
      </c>
      <c r="L47" s="719">
        <v>0</v>
      </c>
      <c r="M47" s="719">
        <v>0</v>
      </c>
      <c r="N47" s="719">
        <v>0</v>
      </c>
      <c r="O47" s="719">
        <v>0</v>
      </c>
    </row>
    <row r="48" spans="1:15" x14ac:dyDescent="0.3">
      <c r="A48" s="738" t="s">
        <v>1190</v>
      </c>
      <c r="B48" s="739" t="s">
        <v>741</v>
      </c>
      <c r="C48" s="719" t="s">
        <v>741</v>
      </c>
      <c r="D48" s="719" t="s">
        <v>741</v>
      </c>
      <c r="E48" s="719" t="s">
        <v>741</v>
      </c>
      <c r="F48" s="719" t="s">
        <v>741</v>
      </c>
      <c r="G48" s="719" t="s">
        <v>741</v>
      </c>
      <c r="H48" s="719" t="s">
        <v>741</v>
      </c>
      <c r="I48" s="719" t="s">
        <v>741</v>
      </c>
      <c r="J48" s="719" t="s">
        <v>741</v>
      </c>
      <c r="K48" s="800">
        <v>43174</v>
      </c>
      <c r="L48" s="800">
        <v>37373</v>
      </c>
      <c r="M48" s="800">
        <v>52021</v>
      </c>
      <c r="N48" s="800">
        <v>52718</v>
      </c>
      <c r="O48" s="800">
        <v>57924</v>
      </c>
    </row>
    <row r="49" spans="1:15" x14ac:dyDescent="0.3">
      <c r="A49" s="735" t="s">
        <v>856</v>
      </c>
      <c r="B49" s="789">
        <v>153480</v>
      </c>
      <c r="C49" s="796">
        <v>262750</v>
      </c>
      <c r="D49" s="796">
        <v>262787</v>
      </c>
      <c r="E49" s="796">
        <v>126810</v>
      </c>
      <c r="F49" s="796">
        <v>170634</v>
      </c>
      <c r="G49" s="796">
        <v>389684</v>
      </c>
      <c r="H49" s="796">
        <v>266501</v>
      </c>
      <c r="I49" s="796">
        <v>199288</v>
      </c>
      <c r="J49" s="796">
        <v>319746</v>
      </c>
      <c r="K49" s="796">
        <v>342991</v>
      </c>
      <c r="L49" s="796">
        <v>284263</v>
      </c>
      <c r="M49" s="715">
        <v>0</v>
      </c>
      <c r="N49" s="796">
        <v>1598700</v>
      </c>
      <c r="O49" s="796">
        <v>2413500</v>
      </c>
    </row>
    <row r="50" spans="1:15" x14ac:dyDescent="0.3">
      <c r="A50" s="735" t="s">
        <v>857</v>
      </c>
      <c r="B50" s="737">
        <v>0</v>
      </c>
      <c r="C50" s="796">
        <v>25133</v>
      </c>
      <c r="D50" s="796">
        <v>65125</v>
      </c>
      <c r="E50" s="715">
        <v>0</v>
      </c>
      <c r="F50" s="796">
        <v>34800</v>
      </c>
      <c r="G50" s="796">
        <v>381637</v>
      </c>
      <c r="H50" s="796">
        <v>244769</v>
      </c>
      <c r="I50" s="796">
        <v>288355</v>
      </c>
      <c r="J50" s="796">
        <v>383464</v>
      </c>
      <c r="K50" s="796">
        <v>488103</v>
      </c>
      <c r="L50" s="796">
        <v>450743</v>
      </c>
      <c r="M50" s="796">
        <v>827137</v>
      </c>
      <c r="N50" s="796">
        <v>637888</v>
      </c>
      <c r="O50" s="796">
        <v>703361</v>
      </c>
    </row>
    <row r="51" spans="1:15" x14ac:dyDescent="0.3">
      <c r="A51" s="735" t="s">
        <v>858</v>
      </c>
      <c r="B51" s="737">
        <v>0</v>
      </c>
      <c r="C51" s="715">
        <v>0</v>
      </c>
      <c r="D51" s="715">
        <v>0</v>
      </c>
      <c r="E51" s="715">
        <v>0</v>
      </c>
      <c r="F51" s="715">
        <v>0</v>
      </c>
      <c r="G51" s="715">
        <v>0</v>
      </c>
      <c r="H51" s="715">
        <v>0</v>
      </c>
      <c r="I51" s="715">
        <v>0</v>
      </c>
      <c r="J51" s="715">
        <v>0</v>
      </c>
      <c r="K51" s="715">
        <v>0</v>
      </c>
      <c r="L51" s="715">
        <v>0</v>
      </c>
      <c r="M51" s="715">
        <v>0</v>
      </c>
      <c r="N51" s="715">
        <v>0</v>
      </c>
      <c r="O51" s="715">
        <v>0</v>
      </c>
    </row>
    <row r="52" spans="1:15" x14ac:dyDescent="0.3">
      <c r="A52" s="735" t="s">
        <v>859</v>
      </c>
      <c r="B52" s="737">
        <v>0</v>
      </c>
      <c r="C52" s="796">
        <v>25133</v>
      </c>
      <c r="D52" s="796">
        <v>65125</v>
      </c>
      <c r="E52" s="715">
        <v>0</v>
      </c>
      <c r="F52" s="796">
        <v>34800</v>
      </c>
      <c r="G52" s="796">
        <v>188520</v>
      </c>
      <c r="H52" s="796">
        <v>9150</v>
      </c>
      <c r="I52" s="715">
        <v>0</v>
      </c>
      <c r="J52" s="715">
        <v>0</v>
      </c>
      <c r="K52" s="715">
        <v>0</v>
      </c>
      <c r="L52" s="715">
        <v>0</v>
      </c>
      <c r="M52" s="796">
        <v>410967</v>
      </c>
      <c r="N52" s="796">
        <v>253046</v>
      </c>
      <c r="O52" s="796">
        <v>271691</v>
      </c>
    </row>
    <row r="53" spans="1:15" x14ac:dyDescent="0.3">
      <c r="A53" s="735" t="s">
        <v>860</v>
      </c>
      <c r="B53" s="737">
        <v>0</v>
      </c>
      <c r="C53" s="715">
        <v>0</v>
      </c>
      <c r="D53" s="715">
        <v>0</v>
      </c>
      <c r="E53" s="715">
        <v>0</v>
      </c>
      <c r="F53" s="715">
        <v>0</v>
      </c>
      <c r="G53" s="796">
        <v>193118</v>
      </c>
      <c r="H53" s="796">
        <v>235619</v>
      </c>
      <c r="I53" s="796">
        <v>288355</v>
      </c>
      <c r="J53" s="796">
        <v>383464</v>
      </c>
      <c r="K53" s="796">
        <v>488103</v>
      </c>
      <c r="L53" s="796">
        <v>450743</v>
      </c>
      <c r="M53" s="796">
        <v>416170</v>
      </c>
      <c r="N53" s="796">
        <v>384841</v>
      </c>
      <c r="O53" s="796">
        <v>431671</v>
      </c>
    </row>
    <row r="54" spans="1:15" x14ac:dyDescent="0.3">
      <c r="A54" s="733" t="s">
        <v>861</v>
      </c>
      <c r="B54" s="790">
        <v>2312900</v>
      </c>
      <c r="C54" s="798">
        <v>4606100</v>
      </c>
      <c r="D54" s="798">
        <v>4539400</v>
      </c>
      <c r="E54" s="798">
        <v>3900700</v>
      </c>
      <c r="F54" s="798">
        <v>3634900</v>
      </c>
      <c r="G54" s="798">
        <v>7987900</v>
      </c>
      <c r="H54" s="798">
        <v>4968600</v>
      </c>
      <c r="I54" s="798">
        <v>4961000</v>
      </c>
      <c r="J54" s="798">
        <v>4422000</v>
      </c>
      <c r="K54" s="798">
        <v>5284000</v>
      </c>
      <c r="L54" s="798">
        <v>5515400</v>
      </c>
      <c r="M54" s="798">
        <v>6810900</v>
      </c>
      <c r="N54" s="798">
        <v>7161700</v>
      </c>
      <c r="O54" s="798">
        <v>8394800</v>
      </c>
    </row>
    <row r="55" spans="1:15" x14ac:dyDescent="0.3">
      <c r="A55" s="735" t="s">
        <v>862</v>
      </c>
      <c r="B55" s="789">
        <v>159875</v>
      </c>
      <c r="C55" s="796">
        <v>2233400</v>
      </c>
      <c r="D55" s="796">
        <v>1970900</v>
      </c>
      <c r="E55" s="796">
        <v>2346500</v>
      </c>
      <c r="F55" s="796">
        <v>2412400</v>
      </c>
      <c r="G55" s="796">
        <v>15702300</v>
      </c>
      <c r="H55" s="796">
        <v>14775400</v>
      </c>
      <c r="I55" s="796">
        <v>12238900</v>
      </c>
      <c r="J55" s="796">
        <v>11870000</v>
      </c>
      <c r="K55" s="796">
        <v>11390700</v>
      </c>
      <c r="L55" s="796">
        <v>9828000</v>
      </c>
      <c r="M55" s="796">
        <v>9492600</v>
      </c>
      <c r="N55" s="796">
        <v>8040800</v>
      </c>
      <c r="O55" s="796">
        <v>8262400</v>
      </c>
    </row>
    <row r="56" spans="1:15" x14ac:dyDescent="0.3">
      <c r="A56" s="735" t="s">
        <v>863</v>
      </c>
      <c r="B56" s="789">
        <v>159875</v>
      </c>
      <c r="C56" s="796">
        <v>2233400</v>
      </c>
      <c r="D56" s="796">
        <v>1970900</v>
      </c>
      <c r="E56" s="796">
        <v>2346500</v>
      </c>
      <c r="F56" s="796">
        <v>2412400</v>
      </c>
      <c r="G56" s="796">
        <v>15702300</v>
      </c>
      <c r="H56" s="796">
        <v>14775400</v>
      </c>
      <c r="I56" s="796">
        <v>12238900</v>
      </c>
      <c r="J56" s="796">
        <v>11870000</v>
      </c>
      <c r="K56" s="796">
        <v>11140000</v>
      </c>
      <c r="L56" s="796">
        <v>9597000</v>
      </c>
      <c r="M56" s="796">
        <v>9132300</v>
      </c>
      <c r="N56" s="796">
        <v>7719200</v>
      </c>
      <c r="O56" s="796">
        <v>7839000</v>
      </c>
    </row>
    <row r="57" spans="1:15" x14ac:dyDescent="0.3">
      <c r="A57" s="735" t="s">
        <v>864</v>
      </c>
      <c r="B57" s="737">
        <v>0</v>
      </c>
      <c r="C57" s="715">
        <v>0</v>
      </c>
      <c r="D57" s="715">
        <v>0</v>
      </c>
      <c r="E57" s="715">
        <v>0</v>
      </c>
      <c r="F57" s="715">
        <v>0</v>
      </c>
      <c r="G57" s="715">
        <v>0</v>
      </c>
      <c r="H57" s="715">
        <v>0</v>
      </c>
      <c r="I57" s="715">
        <v>0</v>
      </c>
      <c r="J57" s="715" t="s">
        <v>741</v>
      </c>
      <c r="K57" s="796">
        <v>250647</v>
      </c>
      <c r="L57" s="796">
        <v>231034</v>
      </c>
      <c r="M57" s="796">
        <v>360247</v>
      </c>
      <c r="N57" s="796">
        <v>321580</v>
      </c>
      <c r="O57" s="796">
        <v>423396</v>
      </c>
    </row>
    <row r="58" spans="1:15" x14ac:dyDescent="0.3">
      <c r="A58" s="738" t="s">
        <v>1191</v>
      </c>
      <c r="B58" s="739">
        <v>0</v>
      </c>
      <c r="C58" s="719">
        <v>0</v>
      </c>
      <c r="D58" s="719">
        <v>0</v>
      </c>
      <c r="E58" s="719">
        <v>0</v>
      </c>
      <c r="F58" s="719">
        <v>0</v>
      </c>
      <c r="G58" s="719">
        <v>0</v>
      </c>
      <c r="H58" s="719">
        <v>0</v>
      </c>
      <c r="I58" s="719">
        <v>0</v>
      </c>
      <c r="J58" s="719" t="s">
        <v>741</v>
      </c>
      <c r="K58" s="719">
        <v>0</v>
      </c>
      <c r="L58" s="719">
        <v>0</v>
      </c>
      <c r="M58" s="719">
        <v>0</v>
      </c>
      <c r="N58" s="719">
        <v>0</v>
      </c>
      <c r="O58" s="719">
        <v>0</v>
      </c>
    </row>
    <row r="59" spans="1:15" x14ac:dyDescent="0.3">
      <c r="A59" s="738" t="s">
        <v>1192</v>
      </c>
      <c r="B59" s="739" t="s">
        <v>741</v>
      </c>
      <c r="C59" s="719" t="s">
        <v>741</v>
      </c>
      <c r="D59" s="719" t="s">
        <v>741</v>
      </c>
      <c r="E59" s="719" t="s">
        <v>741</v>
      </c>
      <c r="F59" s="719" t="s">
        <v>741</v>
      </c>
      <c r="G59" s="719" t="s">
        <v>741</v>
      </c>
      <c r="H59" s="719" t="s">
        <v>741</v>
      </c>
      <c r="I59" s="719" t="s">
        <v>741</v>
      </c>
      <c r="J59" s="719" t="s">
        <v>741</v>
      </c>
      <c r="K59" s="800">
        <v>250647</v>
      </c>
      <c r="L59" s="800">
        <v>231034</v>
      </c>
      <c r="M59" s="800">
        <v>360247</v>
      </c>
      <c r="N59" s="800">
        <v>321580</v>
      </c>
      <c r="O59" s="800">
        <v>423396</v>
      </c>
    </row>
    <row r="60" spans="1:15" x14ac:dyDescent="0.3">
      <c r="A60" s="735" t="s">
        <v>865</v>
      </c>
      <c r="B60" s="789">
        <v>330407</v>
      </c>
      <c r="C60" s="796">
        <v>628315</v>
      </c>
      <c r="D60" s="796">
        <v>508435</v>
      </c>
      <c r="E60" s="796">
        <v>506226</v>
      </c>
      <c r="F60" s="796">
        <v>633141</v>
      </c>
      <c r="G60" s="796">
        <v>1273700</v>
      </c>
      <c r="H60" s="796">
        <v>1349700</v>
      </c>
      <c r="I60" s="796">
        <v>2510600</v>
      </c>
      <c r="J60" s="796">
        <v>2710900</v>
      </c>
      <c r="K60" s="796">
        <v>2646800</v>
      </c>
      <c r="L60" s="796">
        <v>2109900</v>
      </c>
      <c r="M60" s="796">
        <v>1953400</v>
      </c>
      <c r="N60" s="796">
        <v>1543300</v>
      </c>
      <c r="O60" s="796">
        <v>1466000</v>
      </c>
    </row>
    <row r="61" spans="1:15" x14ac:dyDescent="0.3">
      <c r="A61" s="735" t="s">
        <v>866</v>
      </c>
      <c r="B61" s="737">
        <v>0</v>
      </c>
      <c r="C61" s="715">
        <v>0</v>
      </c>
      <c r="D61" s="715">
        <v>0</v>
      </c>
      <c r="E61" s="715">
        <v>0</v>
      </c>
      <c r="F61" s="715">
        <v>0</v>
      </c>
      <c r="G61" s="715">
        <v>0</v>
      </c>
      <c r="H61" s="715">
        <v>0</v>
      </c>
      <c r="I61" s="715">
        <v>0</v>
      </c>
      <c r="J61" s="715">
        <v>0</v>
      </c>
      <c r="K61" s="715">
        <v>0</v>
      </c>
      <c r="L61" s="715">
        <v>0</v>
      </c>
      <c r="M61" s="715">
        <v>0</v>
      </c>
      <c r="N61" s="715">
        <v>0</v>
      </c>
      <c r="O61" s="715">
        <v>0</v>
      </c>
    </row>
    <row r="62" spans="1:15" x14ac:dyDescent="0.3">
      <c r="A62" s="735" t="s">
        <v>867</v>
      </c>
      <c r="B62" s="737" t="s">
        <v>741</v>
      </c>
      <c r="C62" s="796">
        <v>132517</v>
      </c>
      <c r="D62" s="796">
        <v>75408</v>
      </c>
      <c r="E62" s="796">
        <v>63912</v>
      </c>
      <c r="F62" s="796">
        <v>50517</v>
      </c>
      <c r="G62" s="796">
        <v>131044</v>
      </c>
      <c r="H62" s="796">
        <v>67483</v>
      </c>
      <c r="I62" s="796">
        <v>65687</v>
      </c>
      <c r="J62" s="796">
        <v>164507</v>
      </c>
      <c r="K62" s="796">
        <v>179891</v>
      </c>
      <c r="L62" s="796">
        <v>148360</v>
      </c>
      <c r="M62" s="796">
        <v>135255</v>
      </c>
      <c r="N62" s="796">
        <v>114662</v>
      </c>
      <c r="O62" s="796">
        <v>81369</v>
      </c>
    </row>
    <row r="63" spans="1:15" x14ac:dyDescent="0.3">
      <c r="A63" s="738" t="s">
        <v>868</v>
      </c>
      <c r="B63" s="739">
        <v>0</v>
      </c>
      <c r="C63" s="719">
        <v>0</v>
      </c>
      <c r="D63" s="719">
        <v>0</v>
      </c>
      <c r="E63" s="719">
        <v>0</v>
      </c>
      <c r="F63" s="719">
        <v>0</v>
      </c>
      <c r="G63" s="719">
        <v>0</v>
      </c>
      <c r="H63" s="719">
        <v>0</v>
      </c>
      <c r="I63" s="719">
        <v>0</v>
      </c>
      <c r="J63" s="719">
        <v>0</v>
      </c>
      <c r="K63" s="719">
        <v>0</v>
      </c>
      <c r="L63" s="719">
        <v>0</v>
      </c>
      <c r="M63" s="719">
        <v>0</v>
      </c>
      <c r="N63" s="719">
        <v>0</v>
      </c>
      <c r="O63" s="719">
        <v>0</v>
      </c>
    </row>
    <row r="64" spans="1:15" x14ac:dyDescent="0.3">
      <c r="A64" s="738" t="s">
        <v>869</v>
      </c>
      <c r="B64" s="739" t="s">
        <v>741</v>
      </c>
      <c r="C64" s="800">
        <v>132517</v>
      </c>
      <c r="D64" s="800">
        <v>75408</v>
      </c>
      <c r="E64" s="800">
        <v>63912</v>
      </c>
      <c r="F64" s="800">
        <v>50517</v>
      </c>
      <c r="G64" s="800">
        <v>131044</v>
      </c>
      <c r="H64" s="800">
        <v>67483</v>
      </c>
      <c r="I64" s="800">
        <v>65687</v>
      </c>
      <c r="J64" s="800">
        <v>164507</v>
      </c>
      <c r="K64" s="800">
        <v>179891</v>
      </c>
      <c r="L64" s="800">
        <v>148360</v>
      </c>
      <c r="M64" s="800">
        <v>135255</v>
      </c>
      <c r="N64" s="800">
        <v>114662</v>
      </c>
      <c r="O64" s="800">
        <v>81369</v>
      </c>
    </row>
    <row r="65" spans="1:15" x14ac:dyDescent="0.3">
      <c r="A65" s="735" t="s">
        <v>858</v>
      </c>
      <c r="B65" s="737">
        <v>0</v>
      </c>
      <c r="C65" s="715">
        <v>0</v>
      </c>
      <c r="D65" s="715">
        <v>0</v>
      </c>
      <c r="E65" s="715">
        <v>0</v>
      </c>
      <c r="F65" s="715">
        <v>0</v>
      </c>
      <c r="G65" s="715">
        <v>0</v>
      </c>
      <c r="H65" s="715">
        <v>0</v>
      </c>
      <c r="I65" s="715">
        <v>0</v>
      </c>
      <c r="J65" s="715">
        <v>0</v>
      </c>
      <c r="K65" s="715">
        <v>0</v>
      </c>
      <c r="L65" s="715">
        <v>0</v>
      </c>
      <c r="M65" s="715">
        <v>0</v>
      </c>
      <c r="N65" s="715">
        <v>0</v>
      </c>
      <c r="O65" s="715">
        <v>0</v>
      </c>
    </row>
    <row r="66" spans="1:15" x14ac:dyDescent="0.3">
      <c r="A66" s="735" t="s">
        <v>870</v>
      </c>
      <c r="B66" s="737" t="s">
        <v>741</v>
      </c>
      <c r="C66" s="715" t="s">
        <v>741</v>
      </c>
      <c r="D66" s="715" t="s">
        <v>741</v>
      </c>
      <c r="E66" s="796">
        <v>163331</v>
      </c>
      <c r="F66" s="715" t="s">
        <v>741</v>
      </c>
      <c r="G66" s="715" t="s">
        <v>741</v>
      </c>
      <c r="H66" s="715" t="s">
        <v>741</v>
      </c>
      <c r="I66" s="715" t="s">
        <v>741</v>
      </c>
      <c r="J66" s="715" t="s">
        <v>741</v>
      </c>
      <c r="K66" s="715" t="s">
        <v>741</v>
      </c>
      <c r="L66" s="715" t="s">
        <v>741</v>
      </c>
      <c r="M66" s="715" t="s">
        <v>741</v>
      </c>
      <c r="N66" s="715" t="s">
        <v>741</v>
      </c>
      <c r="O66" s="715" t="s">
        <v>741</v>
      </c>
    </row>
    <row r="67" spans="1:15" x14ac:dyDescent="0.3">
      <c r="A67" s="735" t="s">
        <v>859</v>
      </c>
      <c r="B67" s="737">
        <v>0</v>
      </c>
      <c r="C67" s="715">
        <v>0</v>
      </c>
      <c r="D67" s="715">
        <v>0</v>
      </c>
      <c r="E67" s="715">
        <v>0</v>
      </c>
      <c r="F67" s="715">
        <v>0</v>
      </c>
      <c r="G67" s="796">
        <v>16093</v>
      </c>
      <c r="H67" s="796">
        <v>1144</v>
      </c>
      <c r="I67" s="715">
        <v>0</v>
      </c>
      <c r="J67" s="715">
        <v>0</v>
      </c>
      <c r="K67" s="715">
        <v>0</v>
      </c>
      <c r="L67" s="715">
        <v>0</v>
      </c>
      <c r="M67" s="715">
        <v>0</v>
      </c>
      <c r="N67" s="715">
        <v>0</v>
      </c>
      <c r="O67" s="715">
        <v>0</v>
      </c>
    </row>
    <row r="68" spans="1:15" x14ac:dyDescent="0.3">
      <c r="A68" s="735" t="s">
        <v>871</v>
      </c>
      <c r="B68" s="789">
        <v>330407</v>
      </c>
      <c r="C68" s="796">
        <v>495797</v>
      </c>
      <c r="D68" s="796">
        <v>433026</v>
      </c>
      <c r="E68" s="796">
        <v>278982</v>
      </c>
      <c r="F68" s="796">
        <v>582624</v>
      </c>
      <c r="G68" s="796">
        <v>1126500</v>
      </c>
      <c r="H68" s="796">
        <v>1281000</v>
      </c>
      <c r="I68" s="796">
        <v>2444900</v>
      </c>
      <c r="J68" s="796">
        <v>2546400</v>
      </c>
      <c r="K68" s="796">
        <v>2466900</v>
      </c>
      <c r="L68" s="796">
        <v>1961500</v>
      </c>
      <c r="M68" s="796">
        <v>1818100</v>
      </c>
      <c r="N68" s="796">
        <v>1428700</v>
      </c>
      <c r="O68" s="796">
        <v>1384700</v>
      </c>
    </row>
    <row r="69" spans="1:15" x14ac:dyDescent="0.3">
      <c r="A69" s="733" t="s">
        <v>872</v>
      </c>
      <c r="B69" s="790">
        <v>490282</v>
      </c>
      <c r="C69" s="798">
        <v>2861700</v>
      </c>
      <c r="D69" s="798">
        <v>2479300</v>
      </c>
      <c r="E69" s="798">
        <v>2852700</v>
      </c>
      <c r="F69" s="798">
        <v>3045600</v>
      </c>
      <c r="G69" s="798">
        <v>16976000</v>
      </c>
      <c r="H69" s="798">
        <v>16125000</v>
      </c>
      <c r="I69" s="798">
        <v>14749500</v>
      </c>
      <c r="J69" s="798">
        <v>14580900</v>
      </c>
      <c r="K69" s="798">
        <v>14037500</v>
      </c>
      <c r="L69" s="798">
        <v>11937900</v>
      </c>
      <c r="M69" s="798">
        <v>11446000</v>
      </c>
      <c r="N69" s="798">
        <v>9584100</v>
      </c>
      <c r="O69" s="798">
        <v>9728500</v>
      </c>
    </row>
    <row r="70" spans="1:15" x14ac:dyDescent="0.3">
      <c r="A70" s="733" t="s">
        <v>458</v>
      </c>
      <c r="B70" s="790">
        <v>2803100</v>
      </c>
      <c r="C70" s="798">
        <v>7467800</v>
      </c>
      <c r="D70" s="798">
        <v>7018700</v>
      </c>
      <c r="E70" s="798">
        <v>6753400</v>
      </c>
      <c r="F70" s="798">
        <v>6680500</v>
      </c>
      <c r="G70" s="798">
        <v>24963900</v>
      </c>
      <c r="H70" s="798">
        <v>21093600</v>
      </c>
      <c r="I70" s="798">
        <v>19710600</v>
      </c>
      <c r="J70" s="798">
        <v>19002900</v>
      </c>
      <c r="K70" s="798">
        <v>19321400</v>
      </c>
      <c r="L70" s="798">
        <v>17453300</v>
      </c>
      <c r="M70" s="798">
        <v>18256800</v>
      </c>
      <c r="N70" s="798">
        <v>16745900</v>
      </c>
      <c r="O70" s="798">
        <v>18123300</v>
      </c>
    </row>
    <row r="71" spans="1:15" x14ac:dyDescent="0.3">
      <c r="A71" s="735" t="s">
        <v>873</v>
      </c>
      <c r="B71" s="737">
        <v>0</v>
      </c>
      <c r="C71" s="715">
        <v>0</v>
      </c>
      <c r="D71" s="715">
        <v>0</v>
      </c>
      <c r="E71" s="715">
        <v>0</v>
      </c>
      <c r="F71" s="715">
        <v>0</v>
      </c>
      <c r="G71" s="715">
        <v>0</v>
      </c>
      <c r="H71" s="715">
        <v>0</v>
      </c>
      <c r="I71" s="715">
        <v>0</v>
      </c>
      <c r="J71" s="715">
        <v>0</v>
      </c>
      <c r="K71" s="715">
        <v>0</v>
      </c>
      <c r="L71" s="715">
        <v>0</v>
      </c>
      <c r="M71" s="715">
        <v>0</v>
      </c>
      <c r="N71" s="796">
        <v>1229600</v>
      </c>
      <c r="O71" s="796">
        <v>354439</v>
      </c>
    </row>
    <row r="72" spans="1:15" x14ac:dyDescent="0.3">
      <c r="A72" s="735" t="s">
        <v>874</v>
      </c>
      <c r="B72" s="789">
        <v>1165000</v>
      </c>
      <c r="C72" s="796">
        <v>2543000</v>
      </c>
      <c r="D72" s="796">
        <v>2503300</v>
      </c>
      <c r="E72" s="796">
        <v>2367800</v>
      </c>
      <c r="F72" s="796">
        <v>2729000</v>
      </c>
      <c r="G72" s="796">
        <v>5094600</v>
      </c>
      <c r="H72" s="796">
        <v>5157300</v>
      </c>
      <c r="I72" s="796">
        <v>4739500</v>
      </c>
      <c r="J72" s="796">
        <v>4464900</v>
      </c>
      <c r="K72" s="796">
        <v>4461300</v>
      </c>
      <c r="L72" s="796">
        <v>4089500</v>
      </c>
      <c r="M72" s="796">
        <v>4858800</v>
      </c>
      <c r="N72" s="796">
        <v>5116300</v>
      </c>
      <c r="O72" s="796">
        <v>6519200</v>
      </c>
    </row>
    <row r="73" spans="1:15" x14ac:dyDescent="0.3">
      <c r="A73" s="735" t="s">
        <v>875</v>
      </c>
      <c r="B73" s="789">
        <v>2132</v>
      </c>
      <c r="C73" s="796">
        <v>3427</v>
      </c>
      <c r="D73" s="796">
        <v>3428</v>
      </c>
      <c r="E73" s="796">
        <v>3043</v>
      </c>
      <c r="F73" s="796">
        <v>3368</v>
      </c>
      <c r="G73" s="796">
        <v>3449</v>
      </c>
      <c r="H73" s="796">
        <v>3431</v>
      </c>
      <c r="I73" s="796">
        <v>3340</v>
      </c>
      <c r="J73" s="796">
        <v>3476</v>
      </c>
      <c r="K73" s="796">
        <v>3598</v>
      </c>
      <c r="L73" s="796">
        <v>3398</v>
      </c>
      <c r="M73" s="796">
        <v>3902</v>
      </c>
      <c r="N73" s="796">
        <v>3954</v>
      </c>
      <c r="O73" s="796">
        <v>4137</v>
      </c>
    </row>
    <row r="74" spans="1:15" x14ac:dyDescent="0.3">
      <c r="A74" s="735" t="s">
        <v>876</v>
      </c>
      <c r="B74" s="789">
        <v>1162800</v>
      </c>
      <c r="C74" s="796">
        <v>2539500</v>
      </c>
      <c r="D74" s="796">
        <v>2499900</v>
      </c>
      <c r="E74" s="796">
        <v>2364800</v>
      </c>
      <c r="F74" s="796">
        <v>2725600</v>
      </c>
      <c r="G74" s="796">
        <v>5091200</v>
      </c>
      <c r="H74" s="796">
        <v>5153900</v>
      </c>
      <c r="I74" s="796">
        <v>4736100</v>
      </c>
      <c r="J74" s="796">
        <v>4461400</v>
      </c>
      <c r="K74" s="796">
        <v>4457700</v>
      </c>
      <c r="L74" s="796">
        <v>4086100</v>
      </c>
      <c r="M74" s="796">
        <v>4854900</v>
      </c>
      <c r="N74" s="796">
        <v>5112300</v>
      </c>
      <c r="O74" s="796">
        <v>6515100</v>
      </c>
    </row>
    <row r="75" spans="1:15" x14ac:dyDescent="0.3">
      <c r="A75" s="735" t="s">
        <v>878</v>
      </c>
      <c r="B75" s="737">
        <v>0</v>
      </c>
      <c r="C75" s="796">
        <v>632884</v>
      </c>
      <c r="D75" s="796">
        <v>1156300</v>
      </c>
      <c r="E75" s="796">
        <v>1592700</v>
      </c>
      <c r="F75" s="796">
        <v>2580800</v>
      </c>
      <c r="G75" s="796">
        <v>2572600</v>
      </c>
      <c r="H75" s="796">
        <v>1905500</v>
      </c>
      <c r="I75" s="796">
        <v>1607700</v>
      </c>
      <c r="J75" s="796">
        <v>1469000</v>
      </c>
      <c r="K75" s="796">
        <v>883862</v>
      </c>
      <c r="L75" s="796">
        <v>262745</v>
      </c>
      <c r="M75" s="715">
        <v>0</v>
      </c>
      <c r="N75" s="715">
        <v>0</v>
      </c>
      <c r="O75" s="715">
        <v>0</v>
      </c>
    </row>
    <row r="76" spans="1:15" x14ac:dyDescent="0.3">
      <c r="A76" s="735" t="s">
        <v>879</v>
      </c>
      <c r="B76" s="789">
        <v>4689700</v>
      </c>
      <c r="C76" s="796">
        <v>6868000</v>
      </c>
      <c r="D76" s="796">
        <v>7711100</v>
      </c>
      <c r="E76" s="796">
        <v>8182800</v>
      </c>
      <c r="F76" s="796">
        <v>10223400</v>
      </c>
      <c r="G76" s="796">
        <v>10170900</v>
      </c>
      <c r="H76" s="796">
        <v>9874300</v>
      </c>
      <c r="I76" s="796">
        <v>9749500</v>
      </c>
      <c r="J76" s="796">
        <v>8629700</v>
      </c>
      <c r="K76" s="796">
        <v>8065100</v>
      </c>
      <c r="L76" s="796">
        <v>8538100</v>
      </c>
      <c r="M76" s="796">
        <v>11755500</v>
      </c>
      <c r="N76" s="796">
        <v>9784500</v>
      </c>
      <c r="O76" s="796">
        <v>9343700</v>
      </c>
    </row>
    <row r="77" spans="1:15" x14ac:dyDescent="0.3">
      <c r="A77" s="735" t="s">
        <v>880</v>
      </c>
      <c r="B77" s="789">
        <v>-5329</v>
      </c>
      <c r="C77" s="796">
        <v>-17136</v>
      </c>
      <c r="D77" s="796">
        <v>-39989</v>
      </c>
      <c r="E77" s="796">
        <v>12174</v>
      </c>
      <c r="F77" s="796">
        <v>-22452</v>
      </c>
      <c r="G77" s="796">
        <v>118400</v>
      </c>
      <c r="H77" s="796">
        <v>-66339</v>
      </c>
      <c r="I77" s="796">
        <v>-43420</v>
      </c>
      <c r="J77" s="796">
        <v>-78778</v>
      </c>
      <c r="K77" s="796">
        <v>-188285</v>
      </c>
      <c r="L77" s="796">
        <v>-223106</v>
      </c>
      <c r="M77" s="796">
        <v>-720494</v>
      </c>
      <c r="N77" s="796">
        <v>-680062</v>
      </c>
      <c r="O77" s="796">
        <v>-981948</v>
      </c>
    </row>
    <row r="78" spans="1:15" x14ac:dyDescent="0.3">
      <c r="A78" s="733" t="s">
        <v>881</v>
      </c>
      <c r="B78" s="790">
        <v>5849300</v>
      </c>
      <c r="C78" s="798">
        <v>8761000</v>
      </c>
      <c r="D78" s="798">
        <v>9018100</v>
      </c>
      <c r="E78" s="798">
        <v>8970000</v>
      </c>
      <c r="F78" s="798">
        <v>10349200</v>
      </c>
      <c r="G78" s="798">
        <v>12811300</v>
      </c>
      <c r="H78" s="798">
        <v>13059700</v>
      </c>
      <c r="I78" s="798">
        <v>12837900</v>
      </c>
      <c r="J78" s="798">
        <v>11546800</v>
      </c>
      <c r="K78" s="798">
        <v>11454200</v>
      </c>
      <c r="L78" s="798">
        <v>12141700</v>
      </c>
      <c r="M78" s="798">
        <v>15893800</v>
      </c>
      <c r="N78" s="798">
        <v>15450300</v>
      </c>
      <c r="O78" s="798">
        <v>15235400</v>
      </c>
    </row>
    <row r="79" spans="1:15" x14ac:dyDescent="0.3">
      <c r="A79" s="735" t="s">
        <v>882</v>
      </c>
      <c r="B79" s="737">
        <v>0</v>
      </c>
      <c r="C79" s="715">
        <v>0</v>
      </c>
      <c r="D79" s="715">
        <v>0</v>
      </c>
      <c r="E79" s="715">
        <v>0</v>
      </c>
      <c r="F79" s="715">
        <v>0</v>
      </c>
      <c r="G79" s="715">
        <v>0</v>
      </c>
      <c r="H79" s="715">
        <v>0</v>
      </c>
      <c r="I79" s="715">
        <v>0</v>
      </c>
      <c r="J79" s="715">
        <v>0</v>
      </c>
      <c r="K79" s="715">
        <v>0</v>
      </c>
      <c r="L79" s="715">
        <v>0</v>
      </c>
      <c r="M79" s="715">
        <v>0</v>
      </c>
      <c r="N79" s="715">
        <v>0</v>
      </c>
      <c r="O79" s="715">
        <v>0</v>
      </c>
    </row>
    <row r="80" spans="1:15" x14ac:dyDescent="0.3">
      <c r="A80" s="733" t="s">
        <v>883</v>
      </c>
      <c r="B80" s="790">
        <v>5849300</v>
      </c>
      <c r="C80" s="798">
        <v>8761000</v>
      </c>
      <c r="D80" s="798">
        <v>9018100</v>
      </c>
      <c r="E80" s="798">
        <v>8970000</v>
      </c>
      <c r="F80" s="798">
        <v>10349200</v>
      </c>
      <c r="G80" s="798">
        <v>12811300</v>
      </c>
      <c r="H80" s="798">
        <v>13059700</v>
      </c>
      <c r="I80" s="798">
        <v>12837900</v>
      </c>
      <c r="J80" s="798">
        <v>11546800</v>
      </c>
      <c r="K80" s="798">
        <v>11454200</v>
      </c>
      <c r="L80" s="798">
        <v>12141700</v>
      </c>
      <c r="M80" s="798">
        <v>15893800</v>
      </c>
      <c r="N80" s="798">
        <v>15450300</v>
      </c>
      <c r="O80" s="798">
        <v>15235400</v>
      </c>
    </row>
    <row r="81" spans="1:15" x14ac:dyDescent="0.3">
      <c r="A81" s="733" t="s">
        <v>884</v>
      </c>
      <c r="B81" s="790">
        <v>8652400</v>
      </c>
      <c r="C81" s="798">
        <v>16228800</v>
      </c>
      <c r="D81" s="798">
        <v>16036800</v>
      </c>
      <c r="E81" s="798">
        <v>15723400</v>
      </c>
      <c r="F81" s="798">
        <v>17029700</v>
      </c>
      <c r="G81" s="798">
        <v>37775200</v>
      </c>
      <c r="H81" s="798">
        <v>34153300</v>
      </c>
      <c r="I81" s="798">
        <v>32548500</v>
      </c>
      <c r="J81" s="798">
        <v>30549600</v>
      </c>
      <c r="K81" s="798">
        <v>30775700</v>
      </c>
      <c r="L81" s="798">
        <v>29595000</v>
      </c>
      <c r="M81" s="798">
        <v>34150600</v>
      </c>
      <c r="N81" s="798">
        <v>32196200</v>
      </c>
      <c r="O81" s="798">
        <v>33358600</v>
      </c>
    </row>
    <row r="82" spans="1:15" x14ac:dyDescent="0.3">
      <c r="A82" s="733" t="s">
        <v>642</v>
      </c>
      <c r="B82" s="740" t="s">
        <v>642</v>
      </c>
      <c r="C82" s="710" t="s">
        <v>642</v>
      </c>
      <c r="D82" s="710" t="s">
        <v>642</v>
      </c>
      <c r="E82" s="710" t="s">
        <v>642</v>
      </c>
      <c r="F82" s="710" t="s">
        <v>642</v>
      </c>
      <c r="G82" s="710" t="s">
        <v>642</v>
      </c>
      <c r="H82" s="710" t="s">
        <v>642</v>
      </c>
      <c r="I82" s="710" t="s">
        <v>642</v>
      </c>
      <c r="J82" s="710" t="s">
        <v>642</v>
      </c>
      <c r="K82" s="710" t="s">
        <v>642</v>
      </c>
      <c r="L82" s="710" t="s">
        <v>642</v>
      </c>
      <c r="M82" s="710" t="s">
        <v>642</v>
      </c>
      <c r="N82" s="710" t="s">
        <v>642</v>
      </c>
      <c r="O82" s="710" t="s">
        <v>642</v>
      </c>
    </row>
    <row r="83" spans="1:15" x14ac:dyDescent="0.3">
      <c r="A83" s="733" t="s">
        <v>799</v>
      </c>
      <c r="B83" s="740" t="s">
        <v>642</v>
      </c>
      <c r="C83" s="710" t="s">
        <v>642</v>
      </c>
      <c r="D83" s="710" t="s">
        <v>642</v>
      </c>
      <c r="E83" s="710" t="s">
        <v>642</v>
      </c>
      <c r="F83" s="710" t="s">
        <v>642</v>
      </c>
      <c r="G83" s="710" t="s">
        <v>642</v>
      </c>
      <c r="H83" s="710" t="s">
        <v>642</v>
      </c>
      <c r="I83" s="710" t="s">
        <v>642</v>
      </c>
      <c r="J83" s="710" t="s">
        <v>642</v>
      </c>
      <c r="K83" s="710" t="s">
        <v>642</v>
      </c>
      <c r="L83" s="710" t="s">
        <v>642</v>
      </c>
      <c r="M83" s="710" t="s">
        <v>642</v>
      </c>
      <c r="N83" s="710" t="s">
        <v>642</v>
      </c>
      <c r="O83" s="710" t="s">
        <v>642</v>
      </c>
    </row>
    <row r="84" spans="1:15" x14ac:dyDescent="0.3">
      <c r="A84" s="735" t="s">
        <v>800</v>
      </c>
      <c r="B84" s="737" t="s">
        <v>1182</v>
      </c>
      <c r="C84" s="715" t="s">
        <v>1182</v>
      </c>
      <c r="D84" s="715" t="s">
        <v>1182</v>
      </c>
      <c r="E84" s="715" t="s">
        <v>1182</v>
      </c>
      <c r="F84" s="715" t="s">
        <v>1182</v>
      </c>
      <c r="G84" s="715" t="s">
        <v>1182</v>
      </c>
      <c r="H84" s="715" t="s">
        <v>1182</v>
      </c>
      <c r="I84" s="715" t="s">
        <v>1182</v>
      </c>
      <c r="J84" s="715" t="s">
        <v>1182</v>
      </c>
      <c r="K84" s="715" t="s">
        <v>1182</v>
      </c>
      <c r="L84" s="715" t="s">
        <v>1182</v>
      </c>
      <c r="M84" s="715" t="s">
        <v>1182</v>
      </c>
      <c r="N84" s="715" t="s">
        <v>1182</v>
      </c>
      <c r="O84" s="715" t="s">
        <v>1182</v>
      </c>
    </row>
    <row r="85" spans="1:15" x14ac:dyDescent="0.3">
      <c r="A85" s="735" t="s">
        <v>885</v>
      </c>
      <c r="B85" s="737">
        <v>233</v>
      </c>
      <c r="C85" s="715">
        <v>246</v>
      </c>
      <c r="D85" s="715">
        <v>237</v>
      </c>
      <c r="E85" s="715">
        <v>234</v>
      </c>
      <c r="F85" s="715">
        <v>230</v>
      </c>
      <c r="G85" s="715">
        <v>284</v>
      </c>
      <c r="H85" s="715">
        <v>294</v>
      </c>
      <c r="I85" s="715">
        <v>296</v>
      </c>
      <c r="J85" s="715">
        <v>295</v>
      </c>
      <c r="K85" s="715">
        <v>302</v>
      </c>
      <c r="L85" s="715">
        <v>308</v>
      </c>
      <c r="M85" s="715">
        <v>315</v>
      </c>
      <c r="N85" s="715">
        <v>322</v>
      </c>
      <c r="O85" s="715">
        <v>343</v>
      </c>
    </row>
    <row r="86" spans="1:15" x14ac:dyDescent="0.3">
      <c r="A86" s="735" t="s">
        <v>1193</v>
      </c>
      <c r="B86" s="737">
        <v>0</v>
      </c>
      <c r="C86" s="715">
        <v>15</v>
      </c>
      <c r="D86" s="715">
        <v>24</v>
      </c>
      <c r="E86" s="715">
        <v>27</v>
      </c>
      <c r="F86" s="715">
        <v>31</v>
      </c>
      <c r="G86" s="715">
        <v>28</v>
      </c>
      <c r="H86" s="715">
        <v>18</v>
      </c>
      <c r="I86" s="715">
        <v>16</v>
      </c>
      <c r="J86" s="715">
        <v>17</v>
      </c>
      <c r="K86" s="715">
        <v>10</v>
      </c>
      <c r="L86" s="715">
        <v>4</v>
      </c>
      <c r="M86" s="715">
        <v>0</v>
      </c>
      <c r="N86" s="715">
        <v>0</v>
      </c>
      <c r="O86" s="715">
        <v>0</v>
      </c>
    </row>
    <row r="87" spans="1:15" x14ac:dyDescent="0.3">
      <c r="A87" s="735" t="s">
        <v>886</v>
      </c>
      <c r="B87" s="737">
        <v>0</v>
      </c>
      <c r="C87" s="796">
        <v>132517</v>
      </c>
      <c r="D87" s="796">
        <v>75408</v>
      </c>
      <c r="E87" s="796">
        <v>63912</v>
      </c>
      <c r="F87" s="796">
        <v>50517</v>
      </c>
      <c r="G87" s="796">
        <v>131044</v>
      </c>
      <c r="H87" s="796">
        <v>67483</v>
      </c>
      <c r="I87" s="796">
        <v>65687</v>
      </c>
      <c r="J87" s="796">
        <v>164507</v>
      </c>
      <c r="K87" s="796">
        <v>179891</v>
      </c>
      <c r="L87" s="796">
        <v>148360</v>
      </c>
      <c r="M87" s="796">
        <v>135255</v>
      </c>
      <c r="N87" s="796">
        <v>114662</v>
      </c>
      <c r="O87" s="796">
        <v>81369</v>
      </c>
    </row>
    <row r="88" spans="1:15" x14ac:dyDescent="0.3">
      <c r="A88" s="735" t="s">
        <v>887</v>
      </c>
      <c r="B88" s="789">
        <v>122570</v>
      </c>
      <c r="C88" s="796">
        <v>219339</v>
      </c>
      <c r="D88" s="796">
        <v>194234</v>
      </c>
      <c r="E88" s="796">
        <v>201882</v>
      </c>
      <c r="F88" s="796">
        <v>207679</v>
      </c>
      <c r="G88" s="796">
        <v>378189</v>
      </c>
      <c r="H88" s="796">
        <v>203593</v>
      </c>
      <c r="I88" s="796">
        <v>211535</v>
      </c>
      <c r="J88" s="796">
        <v>337124</v>
      </c>
      <c r="K88" s="796">
        <v>364578</v>
      </c>
      <c r="L88" s="796">
        <v>321636</v>
      </c>
      <c r="M88" s="796">
        <v>479896</v>
      </c>
      <c r="N88" s="796">
        <v>440195</v>
      </c>
      <c r="O88" s="796">
        <v>688191</v>
      </c>
    </row>
    <row r="89" spans="1:15" x14ac:dyDescent="0.3">
      <c r="A89" s="735" t="s">
        <v>1194</v>
      </c>
      <c r="B89" s="737">
        <v>0</v>
      </c>
      <c r="C89" s="715">
        <v>0</v>
      </c>
      <c r="D89" s="715">
        <v>0</v>
      </c>
      <c r="E89" s="715">
        <v>0</v>
      </c>
      <c r="F89" s="715">
        <v>0</v>
      </c>
      <c r="G89" s="715">
        <v>0</v>
      </c>
      <c r="H89" s="715">
        <v>0</v>
      </c>
      <c r="I89" s="715">
        <v>0</v>
      </c>
      <c r="J89" s="715" t="s">
        <v>741</v>
      </c>
      <c r="K89" s="715">
        <v>0</v>
      </c>
      <c r="L89" s="715">
        <v>0</v>
      </c>
      <c r="M89" s="715">
        <v>0</v>
      </c>
      <c r="N89" s="715">
        <v>0</v>
      </c>
      <c r="O89" s="715">
        <v>0</v>
      </c>
    </row>
    <row r="90" spans="1:15" x14ac:dyDescent="0.3">
      <c r="A90" s="735" t="s">
        <v>889</v>
      </c>
      <c r="B90" s="737">
        <v>3</v>
      </c>
      <c r="C90" s="715">
        <v>4</v>
      </c>
      <c r="D90" s="715">
        <v>3</v>
      </c>
      <c r="E90" s="715">
        <v>2</v>
      </c>
      <c r="F90" s="715">
        <v>1</v>
      </c>
      <c r="G90" s="715">
        <v>2</v>
      </c>
      <c r="H90" s="715">
        <v>3</v>
      </c>
      <c r="I90" s="715">
        <v>0</v>
      </c>
      <c r="J90" s="715">
        <v>0</v>
      </c>
      <c r="K90" s="715">
        <v>0</v>
      </c>
      <c r="L90" s="715">
        <v>0</v>
      </c>
      <c r="M90" s="715">
        <v>0</v>
      </c>
      <c r="N90" s="715">
        <v>0</v>
      </c>
      <c r="O90" s="715">
        <v>0</v>
      </c>
    </row>
    <row r="91" spans="1:15" x14ac:dyDescent="0.3">
      <c r="A91" s="735" t="s">
        <v>890</v>
      </c>
      <c r="B91" s="737">
        <v>10</v>
      </c>
      <c r="C91" s="715">
        <v>16</v>
      </c>
      <c r="D91" s="715">
        <v>12</v>
      </c>
      <c r="E91" s="715">
        <v>10</v>
      </c>
      <c r="F91" s="715">
        <v>7</v>
      </c>
      <c r="G91" s="715">
        <v>9</v>
      </c>
      <c r="H91" s="715">
        <v>7</v>
      </c>
      <c r="I91" s="715">
        <v>5</v>
      </c>
      <c r="J91" s="715">
        <v>4</v>
      </c>
      <c r="K91" s="715">
        <v>3</v>
      </c>
      <c r="L91" s="715">
        <v>2</v>
      </c>
      <c r="M91" s="715">
        <v>1</v>
      </c>
      <c r="N91" s="715">
        <v>0</v>
      </c>
      <c r="O91" s="715">
        <v>0</v>
      </c>
    </row>
    <row r="92" spans="1:15" x14ac:dyDescent="0.3">
      <c r="A92" s="735" t="s">
        <v>632</v>
      </c>
      <c r="B92" s="789">
        <v>-3406400</v>
      </c>
      <c r="C92" s="796">
        <v>-1168700</v>
      </c>
      <c r="D92" s="796">
        <v>-2689600</v>
      </c>
      <c r="E92" s="796">
        <v>-2688400</v>
      </c>
      <c r="F92" s="796">
        <v>-3064700</v>
      </c>
      <c r="G92" s="796">
        <v>9904200</v>
      </c>
      <c r="H92" s="796">
        <v>7774300</v>
      </c>
      <c r="I92" s="796">
        <v>6866000</v>
      </c>
      <c r="J92" s="796">
        <v>8187100</v>
      </c>
      <c r="K92" s="796">
        <v>8121500</v>
      </c>
      <c r="L92" s="796">
        <v>6333100</v>
      </c>
      <c r="M92" s="796">
        <v>6518300</v>
      </c>
      <c r="N92" s="796">
        <v>7026000</v>
      </c>
      <c r="O92" s="796">
        <v>8142400</v>
      </c>
    </row>
    <row r="93" spans="1:15" x14ac:dyDescent="0.3">
      <c r="A93" s="735" t="s">
        <v>891</v>
      </c>
      <c r="B93" s="737">
        <v>-58.24</v>
      </c>
      <c r="C93" s="715">
        <v>-13.34</v>
      </c>
      <c r="D93" s="715">
        <v>-29.82</v>
      </c>
      <c r="E93" s="715">
        <v>-29.97</v>
      </c>
      <c r="F93" s="715">
        <v>-29.61</v>
      </c>
      <c r="G93" s="715">
        <v>77.31</v>
      </c>
      <c r="H93" s="715">
        <v>59.53</v>
      </c>
      <c r="I93" s="715">
        <v>53.48</v>
      </c>
      <c r="J93" s="715">
        <v>70.900000000000006</v>
      </c>
      <c r="K93" s="715">
        <v>70.900000000000006</v>
      </c>
      <c r="L93" s="715">
        <v>52.16</v>
      </c>
      <c r="M93" s="715">
        <v>41.01</v>
      </c>
      <c r="N93" s="715">
        <v>45.47</v>
      </c>
      <c r="O93" s="715">
        <v>53.44</v>
      </c>
    </row>
    <row r="94" spans="1:15" x14ac:dyDescent="0.3">
      <c r="A94" s="735" t="s">
        <v>892</v>
      </c>
      <c r="B94" s="737">
        <v>66.69</v>
      </c>
      <c r="C94" s="715">
        <v>42.82</v>
      </c>
      <c r="D94" s="715">
        <v>46.48</v>
      </c>
      <c r="E94" s="715">
        <v>46.68</v>
      </c>
      <c r="F94" s="715">
        <v>50.7</v>
      </c>
      <c r="G94" s="715">
        <v>-21.48</v>
      </c>
      <c r="H94" s="715">
        <v>-15.1</v>
      </c>
      <c r="I94" s="715">
        <v>-7.43</v>
      </c>
      <c r="J94" s="715">
        <v>-12.48</v>
      </c>
      <c r="K94" s="715">
        <v>-9.94</v>
      </c>
      <c r="L94" s="715">
        <v>1.36</v>
      </c>
      <c r="M94" s="715">
        <v>12.29</v>
      </c>
      <c r="N94" s="715">
        <v>4.7</v>
      </c>
      <c r="O94" s="715">
        <v>4.83</v>
      </c>
    </row>
    <row r="95" spans="1:15" x14ac:dyDescent="0.3">
      <c r="A95" s="735" t="s">
        <v>54</v>
      </c>
      <c r="B95" s="737">
        <v>2.5299999999999998</v>
      </c>
      <c r="C95" s="715">
        <v>1.77</v>
      </c>
      <c r="D95" s="715">
        <v>1.91</v>
      </c>
      <c r="E95" s="715">
        <v>2.27</v>
      </c>
      <c r="F95" s="715">
        <v>2.63</v>
      </c>
      <c r="G95" s="715">
        <v>1.81</v>
      </c>
      <c r="H95" s="715">
        <v>2.5499999999999998</v>
      </c>
      <c r="I95" s="715">
        <v>2.39</v>
      </c>
      <c r="J95" s="715">
        <v>2.2200000000000002</v>
      </c>
      <c r="K95" s="715">
        <v>2.0499999999999998</v>
      </c>
      <c r="L95" s="715">
        <v>2</v>
      </c>
      <c r="M95" s="715">
        <v>1.81</v>
      </c>
      <c r="N95" s="715">
        <v>1.45</v>
      </c>
      <c r="O95" s="715">
        <v>1.32</v>
      </c>
    </row>
    <row r="96" spans="1:15" x14ac:dyDescent="0.3">
      <c r="A96" s="735" t="s">
        <v>64</v>
      </c>
      <c r="B96" s="737">
        <v>2.14</v>
      </c>
      <c r="C96" s="715">
        <v>5.9</v>
      </c>
      <c r="D96" s="715">
        <v>9.9499999999999993</v>
      </c>
      <c r="E96" s="715">
        <v>19.59</v>
      </c>
      <c r="F96" s="715">
        <v>23.21</v>
      </c>
      <c r="G96" s="715">
        <v>42.03</v>
      </c>
      <c r="H96" s="715">
        <v>39.520000000000003</v>
      </c>
      <c r="I96" s="715">
        <v>51.62</v>
      </c>
      <c r="J96" s="715">
        <v>72.77</v>
      </c>
      <c r="K96" s="715">
        <v>79.55</v>
      </c>
      <c r="L96" s="715">
        <v>93.46</v>
      </c>
      <c r="M96" s="715">
        <v>97.26</v>
      </c>
      <c r="N96" s="715">
        <v>137.61000000000001</v>
      </c>
      <c r="O96" s="715">
        <v>129.35</v>
      </c>
    </row>
    <row r="97" spans="1:15" x14ac:dyDescent="0.3">
      <c r="A97" s="735" t="s">
        <v>1195</v>
      </c>
      <c r="B97" s="737" t="s">
        <v>741</v>
      </c>
      <c r="C97" s="715" t="s">
        <v>741</v>
      </c>
      <c r="D97" s="796">
        <v>3199100</v>
      </c>
      <c r="E97" s="796">
        <v>3550700</v>
      </c>
      <c r="F97" s="796">
        <v>4827100</v>
      </c>
      <c r="G97" s="796">
        <v>7931600</v>
      </c>
      <c r="H97" s="796">
        <v>5707500</v>
      </c>
      <c r="I97" s="796">
        <v>4620400</v>
      </c>
      <c r="J97" s="796">
        <v>2745600</v>
      </c>
      <c r="K97" s="796">
        <v>2542500</v>
      </c>
      <c r="L97" s="796">
        <v>2253700</v>
      </c>
      <c r="M97" s="796">
        <v>2367000</v>
      </c>
      <c r="N97" s="796">
        <v>1687000</v>
      </c>
      <c r="O97" s="796">
        <v>1972200</v>
      </c>
    </row>
    <row r="98" spans="1:15" x14ac:dyDescent="0.3">
      <c r="A98" s="735" t="s">
        <v>1196</v>
      </c>
      <c r="B98" s="737" t="s">
        <v>741</v>
      </c>
      <c r="C98" s="715" t="s">
        <v>741</v>
      </c>
      <c r="D98" s="715" t="s">
        <v>741</v>
      </c>
      <c r="E98" s="716">
        <v>84072</v>
      </c>
      <c r="F98" s="716">
        <v>76449</v>
      </c>
      <c r="G98" s="716">
        <v>72878</v>
      </c>
      <c r="H98" s="716">
        <v>67600</v>
      </c>
      <c r="I98" s="716">
        <v>71600</v>
      </c>
      <c r="J98" s="716">
        <v>61800</v>
      </c>
      <c r="K98" s="716">
        <v>63800</v>
      </c>
      <c r="L98" s="716">
        <v>65600</v>
      </c>
      <c r="M98" s="716">
        <v>65000</v>
      </c>
      <c r="N98" s="716">
        <v>53000</v>
      </c>
      <c r="O98" s="716">
        <v>51000</v>
      </c>
    </row>
    <row r="99" spans="1:15" ht="52" x14ac:dyDescent="0.3">
      <c r="A99" s="741" t="s">
        <v>811</v>
      </c>
      <c r="B99" s="741" t="s">
        <v>812</v>
      </c>
      <c r="C99" s="724"/>
      <c r="D99" s="724"/>
      <c r="E99" s="724"/>
      <c r="F99" s="724"/>
      <c r="G99" s="724"/>
      <c r="H99" s="723" t="s">
        <v>642</v>
      </c>
      <c r="I99" s="723" t="s">
        <v>642</v>
      </c>
      <c r="J99" s="723" t="s">
        <v>642</v>
      </c>
      <c r="K99" s="723" t="s">
        <v>642</v>
      </c>
      <c r="L99" s="723" t="s">
        <v>642</v>
      </c>
      <c r="M99" s="723" t="s">
        <v>642</v>
      </c>
      <c r="N99" s="723" t="s">
        <v>642</v>
      </c>
      <c r="O99" s="723" t="s">
        <v>642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71"/>
  <sheetViews>
    <sheetView showGridLines="0" workbookViewId="0"/>
  </sheetViews>
  <sheetFormatPr defaultRowHeight="14" x14ac:dyDescent="0.3"/>
  <cols>
    <col min="1" max="1" width="36" bestFit="1" customWidth="1"/>
    <col min="2" max="2" width="36" hidden="1" customWidth="1"/>
    <col min="3" max="5" width="0" hidden="1" customWidth="1"/>
    <col min="6" max="6" width="9.25" hidden="1" customWidth="1"/>
    <col min="7" max="13" width="0" hidden="1" customWidth="1"/>
    <col min="14" max="14" width="9.08203125" bestFit="1" customWidth="1"/>
    <col min="15" max="15" width="9.08203125" hidden="1" customWidth="1"/>
  </cols>
  <sheetData>
    <row r="1" spans="1:16" ht="14.5" x14ac:dyDescent="0.35">
      <c r="A1" s="725" t="s">
        <v>642</v>
      </c>
      <c r="B1" s="725" t="s">
        <v>642</v>
      </c>
      <c r="C1" s="701" t="s">
        <v>642</v>
      </c>
      <c r="D1" s="701" t="s">
        <v>642</v>
      </c>
      <c r="E1" s="701" t="s">
        <v>642</v>
      </c>
      <c r="F1" s="701" t="s">
        <v>642</v>
      </c>
      <c r="G1" s="701" t="s">
        <v>642</v>
      </c>
      <c r="H1" s="701" t="s">
        <v>642</v>
      </c>
      <c r="I1" s="701" t="s">
        <v>642</v>
      </c>
      <c r="J1" s="701" t="s">
        <v>642</v>
      </c>
      <c r="K1" s="701" t="s">
        <v>642</v>
      </c>
      <c r="L1" s="701" t="s">
        <v>642</v>
      </c>
      <c r="M1" s="701" t="s">
        <v>642</v>
      </c>
      <c r="N1" s="701" t="s">
        <v>642</v>
      </c>
      <c r="O1" s="701" t="s">
        <v>642</v>
      </c>
    </row>
    <row r="2" spans="1:16" ht="40" x14ac:dyDescent="0.4">
      <c r="A2" s="726" t="s">
        <v>1178</v>
      </c>
      <c r="B2" s="727"/>
      <c r="C2" s="703"/>
      <c r="D2" s="703"/>
      <c r="E2" s="703"/>
      <c r="F2" s="703"/>
      <c r="G2" s="702" t="s">
        <v>642</v>
      </c>
      <c r="H2" s="702" t="s">
        <v>642</v>
      </c>
      <c r="I2" s="702" t="s">
        <v>642</v>
      </c>
      <c r="J2" s="702" t="s">
        <v>642</v>
      </c>
      <c r="K2" s="702" t="s">
        <v>642</v>
      </c>
      <c r="L2" s="702" t="s">
        <v>642</v>
      </c>
      <c r="M2" s="702" t="s">
        <v>642</v>
      </c>
      <c r="N2" s="702" t="s">
        <v>642</v>
      </c>
      <c r="O2" s="702" t="s">
        <v>642</v>
      </c>
      <c r="P2" s="702" t="s">
        <v>642</v>
      </c>
    </row>
    <row r="3" spans="1:16" x14ac:dyDescent="0.3">
      <c r="A3" s="728" t="s">
        <v>642</v>
      </c>
      <c r="B3" s="728" t="s">
        <v>642</v>
      </c>
      <c r="C3" s="704" t="s">
        <v>642</v>
      </c>
      <c r="D3" s="704" t="s">
        <v>642</v>
      </c>
      <c r="E3" s="704" t="s">
        <v>642</v>
      </c>
      <c r="F3" s="704" t="s">
        <v>642</v>
      </c>
      <c r="G3" s="704" t="s">
        <v>642</v>
      </c>
      <c r="H3" s="704" t="s">
        <v>642</v>
      </c>
      <c r="I3" s="704" t="s">
        <v>642</v>
      </c>
      <c r="J3" s="704" t="s">
        <v>642</v>
      </c>
      <c r="K3" s="704" t="s">
        <v>642</v>
      </c>
      <c r="L3" s="704" t="s">
        <v>642</v>
      </c>
      <c r="M3" s="704" t="s">
        <v>642</v>
      </c>
      <c r="N3" s="704" t="s">
        <v>642</v>
      </c>
      <c r="O3" s="704" t="s">
        <v>642</v>
      </c>
    </row>
    <row r="4" spans="1:16" x14ac:dyDescent="0.3">
      <c r="A4" s="729" t="s">
        <v>1179</v>
      </c>
      <c r="B4" s="730" t="s">
        <v>1186</v>
      </c>
      <c r="C4" s="706" t="s">
        <v>1187</v>
      </c>
      <c r="D4" s="706" t="s">
        <v>724</v>
      </c>
      <c r="E4" s="706" t="s">
        <v>725</v>
      </c>
      <c r="F4" s="706" t="s">
        <v>726</v>
      </c>
      <c r="G4" s="706" t="s">
        <v>727</v>
      </c>
      <c r="H4" s="706" t="s">
        <v>728</v>
      </c>
      <c r="I4" s="706" t="s">
        <v>729</v>
      </c>
      <c r="J4" s="706" t="s">
        <v>730</v>
      </c>
      <c r="K4" s="706" t="s">
        <v>731</v>
      </c>
      <c r="L4" s="706" t="s">
        <v>732</v>
      </c>
      <c r="M4" s="706" t="s">
        <v>733</v>
      </c>
      <c r="N4" s="706" t="s">
        <v>734</v>
      </c>
      <c r="O4" s="706" t="s">
        <v>735</v>
      </c>
    </row>
    <row r="5" spans="1:16" x14ac:dyDescent="0.3">
      <c r="A5" s="731" t="s">
        <v>738</v>
      </c>
      <c r="B5" s="732">
        <v>41089</v>
      </c>
      <c r="C5" s="709">
        <v>41453</v>
      </c>
      <c r="D5" s="709">
        <v>41817</v>
      </c>
      <c r="E5" s="709">
        <v>42188</v>
      </c>
      <c r="F5" s="709">
        <v>42552</v>
      </c>
      <c r="G5" s="709">
        <v>42916</v>
      </c>
      <c r="H5" s="709">
        <v>43280</v>
      </c>
      <c r="I5" s="709">
        <v>43644</v>
      </c>
      <c r="J5" s="709">
        <v>44015</v>
      </c>
      <c r="K5" s="709">
        <v>44379</v>
      </c>
      <c r="L5" s="709">
        <v>44743</v>
      </c>
      <c r="M5" s="709">
        <v>45107</v>
      </c>
      <c r="N5" s="709">
        <v>45471</v>
      </c>
      <c r="O5" s="709">
        <v>45653</v>
      </c>
    </row>
    <row r="6" spans="1:16" x14ac:dyDescent="0.3">
      <c r="A6" s="733" t="s">
        <v>893</v>
      </c>
      <c r="B6" s="740" t="s">
        <v>642</v>
      </c>
      <c r="C6" s="710" t="s">
        <v>642</v>
      </c>
      <c r="D6" s="710" t="s">
        <v>642</v>
      </c>
      <c r="E6" s="710" t="s">
        <v>642</v>
      </c>
      <c r="F6" s="710" t="s">
        <v>642</v>
      </c>
      <c r="G6" s="710" t="s">
        <v>642</v>
      </c>
      <c r="H6" s="710" t="s">
        <v>642</v>
      </c>
      <c r="I6" s="710" t="s">
        <v>642</v>
      </c>
      <c r="J6" s="710" t="s">
        <v>642</v>
      </c>
      <c r="K6" s="710" t="s">
        <v>642</v>
      </c>
      <c r="L6" s="710" t="s">
        <v>642</v>
      </c>
      <c r="M6" s="710" t="s">
        <v>642</v>
      </c>
      <c r="N6" s="710" t="s">
        <v>642</v>
      </c>
      <c r="O6" s="712" t="s">
        <v>642</v>
      </c>
    </row>
    <row r="7" spans="1:16" x14ac:dyDescent="0.3">
      <c r="A7" s="735" t="s">
        <v>894</v>
      </c>
      <c r="B7" s="789">
        <v>1818300</v>
      </c>
      <c r="C7" s="796">
        <v>1085800</v>
      </c>
      <c r="D7" s="796">
        <v>1727100</v>
      </c>
      <c r="E7" s="796">
        <v>1581600</v>
      </c>
      <c r="F7" s="796">
        <v>283846</v>
      </c>
      <c r="G7" s="796">
        <v>452864</v>
      </c>
      <c r="H7" s="796">
        <v>741306</v>
      </c>
      <c r="I7" s="796">
        <v>-855938</v>
      </c>
      <c r="J7" s="796">
        <v>-298955</v>
      </c>
      <c r="K7" s="796">
        <v>931955</v>
      </c>
      <c r="L7" s="796">
        <v>1860000</v>
      </c>
      <c r="M7" s="796">
        <v>-2228300</v>
      </c>
      <c r="N7" s="796">
        <v>-1064400</v>
      </c>
      <c r="O7" s="797">
        <v>2115337</v>
      </c>
    </row>
    <row r="8" spans="1:16" x14ac:dyDescent="0.3">
      <c r="A8" s="735" t="s">
        <v>895</v>
      </c>
      <c r="B8" s="789">
        <v>930569</v>
      </c>
      <c r="C8" s="796">
        <v>1366100</v>
      </c>
      <c r="D8" s="796">
        <v>1328700</v>
      </c>
      <c r="E8" s="796">
        <v>1202700</v>
      </c>
      <c r="F8" s="796">
        <v>1353500</v>
      </c>
      <c r="G8" s="796">
        <v>2427400</v>
      </c>
      <c r="H8" s="796">
        <v>2258000</v>
      </c>
      <c r="I8" s="796">
        <v>2057000</v>
      </c>
      <c r="J8" s="796">
        <v>1872700</v>
      </c>
      <c r="K8" s="796">
        <v>1375800</v>
      </c>
      <c r="L8" s="796">
        <v>1117700</v>
      </c>
      <c r="M8" s="796">
        <v>1095600</v>
      </c>
      <c r="N8" s="796">
        <v>757649</v>
      </c>
      <c r="O8" s="797">
        <v>727829</v>
      </c>
    </row>
    <row r="9" spans="1:16" x14ac:dyDescent="0.3">
      <c r="A9" s="735" t="s">
        <v>896</v>
      </c>
      <c r="B9" s="789">
        <v>424114</v>
      </c>
      <c r="C9" s="796">
        <v>193891</v>
      </c>
      <c r="D9" s="796">
        <v>169826</v>
      </c>
      <c r="E9" s="796">
        <v>381107</v>
      </c>
      <c r="F9" s="796">
        <v>259215</v>
      </c>
      <c r="G9" s="796">
        <v>1136200</v>
      </c>
      <c r="H9" s="796">
        <v>2549000</v>
      </c>
      <c r="I9" s="796">
        <v>599384</v>
      </c>
      <c r="J9" s="796">
        <v>-110016</v>
      </c>
      <c r="K9" s="796">
        <v>-256543</v>
      </c>
      <c r="L9" s="796">
        <v>157605</v>
      </c>
      <c r="M9" s="796">
        <v>228921</v>
      </c>
      <c r="N9" s="796">
        <v>-132055</v>
      </c>
      <c r="O9" s="797">
        <v>-1108369</v>
      </c>
    </row>
    <row r="10" spans="1:16" x14ac:dyDescent="0.3">
      <c r="A10" s="735" t="s">
        <v>897</v>
      </c>
      <c r="B10" s="789">
        <v>103773</v>
      </c>
      <c r="C10" s="796">
        <v>151789</v>
      </c>
      <c r="D10" s="796">
        <v>166622</v>
      </c>
      <c r="E10" s="796">
        <v>174899</v>
      </c>
      <c r="F10" s="796">
        <v>224027</v>
      </c>
      <c r="G10" s="796">
        <v>449442</v>
      </c>
      <c r="H10" s="796">
        <v>414033</v>
      </c>
      <c r="I10" s="796">
        <v>347370</v>
      </c>
      <c r="J10" s="796">
        <v>368313</v>
      </c>
      <c r="K10" s="796">
        <v>360977</v>
      </c>
      <c r="L10" s="796">
        <v>392208</v>
      </c>
      <c r="M10" s="796">
        <v>420791</v>
      </c>
      <c r="N10" s="796">
        <v>393497</v>
      </c>
      <c r="O10" s="797">
        <v>418491</v>
      </c>
    </row>
    <row r="11" spans="1:16" x14ac:dyDescent="0.3">
      <c r="A11" s="735" t="s">
        <v>1197</v>
      </c>
      <c r="B11" s="789">
        <v>38351</v>
      </c>
      <c r="C11" s="796">
        <v>38778</v>
      </c>
      <c r="D11" s="796">
        <v>-13885</v>
      </c>
      <c r="E11" s="796">
        <v>30229</v>
      </c>
      <c r="F11" s="796">
        <v>-174765</v>
      </c>
      <c r="G11" s="796">
        <v>13689</v>
      </c>
      <c r="H11" s="796">
        <v>-382184</v>
      </c>
      <c r="I11" s="796">
        <v>424564</v>
      </c>
      <c r="J11" s="796">
        <v>-98057</v>
      </c>
      <c r="K11" s="796">
        <v>-274705</v>
      </c>
      <c r="L11" s="796">
        <v>137153</v>
      </c>
      <c r="M11" s="796">
        <v>-63516</v>
      </c>
      <c r="N11" s="796">
        <v>-214756</v>
      </c>
      <c r="O11" s="797">
        <v>-91319</v>
      </c>
    </row>
    <row r="12" spans="1:16" x14ac:dyDescent="0.3">
      <c r="A12" s="735" t="s">
        <v>898</v>
      </c>
      <c r="B12" s="789">
        <v>281991</v>
      </c>
      <c r="C12" s="796">
        <v>3324</v>
      </c>
      <c r="D12" s="796">
        <v>17089</v>
      </c>
      <c r="E12" s="796">
        <v>175979</v>
      </c>
      <c r="F12" s="796">
        <v>209952</v>
      </c>
      <c r="G12" s="796">
        <v>673022</v>
      </c>
      <c r="H12" s="796">
        <v>2517100</v>
      </c>
      <c r="I12" s="796">
        <v>-172550</v>
      </c>
      <c r="J12" s="796">
        <v>-380271</v>
      </c>
      <c r="K12" s="796">
        <v>-342814</v>
      </c>
      <c r="L12" s="796">
        <v>-371756</v>
      </c>
      <c r="M12" s="796">
        <v>-128354</v>
      </c>
      <c r="N12" s="796">
        <v>-310796</v>
      </c>
      <c r="O12" s="797">
        <v>-1435658</v>
      </c>
    </row>
    <row r="13" spans="1:16" x14ac:dyDescent="0.3">
      <c r="A13" s="735" t="s">
        <v>899</v>
      </c>
      <c r="B13" s="789">
        <v>286503</v>
      </c>
      <c r="C13" s="796">
        <v>809912</v>
      </c>
      <c r="D13" s="796">
        <v>-217890</v>
      </c>
      <c r="E13" s="796">
        <v>-744941</v>
      </c>
      <c r="F13" s="796">
        <v>429287</v>
      </c>
      <c r="G13" s="796">
        <v>-95820</v>
      </c>
      <c r="H13" s="796">
        <v>-930202</v>
      </c>
      <c r="I13" s="796">
        <v>-44273</v>
      </c>
      <c r="J13" s="796">
        <v>-478329</v>
      </c>
      <c r="K13" s="796">
        <v>103298</v>
      </c>
      <c r="L13" s="796">
        <v>-873446</v>
      </c>
      <c r="M13" s="796">
        <v>363891</v>
      </c>
      <c r="N13" s="796">
        <v>46686</v>
      </c>
      <c r="O13" s="797">
        <v>-576538</v>
      </c>
    </row>
    <row r="14" spans="1:16" x14ac:dyDescent="0.3">
      <c r="A14" s="735" t="s">
        <v>900</v>
      </c>
      <c r="B14" s="789">
        <v>182730</v>
      </c>
      <c r="C14" s="796">
        <v>647043</v>
      </c>
      <c r="D14" s="796">
        <v>-186916</v>
      </c>
      <c r="E14" s="796">
        <v>494468</v>
      </c>
      <c r="F14" s="796">
        <v>546579</v>
      </c>
      <c r="G14" s="796">
        <v>-555529</v>
      </c>
      <c r="H14" s="796">
        <v>-267968</v>
      </c>
      <c r="I14" s="796">
        <v>1127300</v>
      </c>
      <c r="J14" s="796">
        <v>-1405100</v>
      </c>
      <c r="K14" s="796">
        <v>137353</v>
      </c>
      <c r="L14" s="796">
        <v>-656889</v>
      </c>
      <c r="M14" s="796">
        <v>1595800</v>
      </c>
      <c r="N14" s="796">
        <v>-757649</v>
      </c>
      <c r="O14" s="797">
        <v>-1463835</v>
      </c>
    </row>
    <row r="15" spans="1:16" x14ac:dyDescent="0.3">
      <c r="A15" s="735" t="s">
        <v>901</v>
      </c>
      <c r="B15" s="789">
        <v>99261</v>
      </c>
      <c r="C15" s="796">
        <v>24375</v>
      </c>
      <c r="D15" s="715">
        <v>0</v>
      </c>
      <c r="E15" s="796">
        <v>-154386</v>
      </c>
      <c r="F15" s="796">
        <v>358912</v>
      </c>
      <c r="G15" s="796">
        <v>-232706</v>
      </c>
      <c r="H15" s="796">
        <v>-656742</v>
      </c>
      <c r="I15" s="796">
        <v>-384832</v>
      </c>
      <c r="J15" s="796">
        <v>239164</v>
      </c>
      <c r="K15" s="796">
        <v>-619790</v>
      </c>
      <c r="L15" s="796">
        <v>-26468</v>
      </c>
      <c r="M15" s="796">
        <v>-79394</v>
      </c>
      <c r="N15" s="796">
        <v>474864</v>
      </c>
      <c r="O15" s="797">
        <v>-324388</v>
      </c>
    </row>
    <row r="16" spans="1:16" x14ac:dyDescent="0.3">
      <c r="A16" s="735" t="s">
        <v>902</v>
      </c>
      <c r="B16" s="789">
        <v>148891</v>
      </c>
      <c r="C16" s="796">
        <v>-566163</v>
      </c>
      <c r="D16" s="796">
        <v>-34179</v>
      </c>
      <c r="E16" s="796">
        <v>-159784</v>
      </c>
      <c r="F16" s="796">
        <v>-485587</v>
      </c>
      <c r="G16" s="796">
        <v>297727</v>
      </c>
      <c r="H16" s="796">
        <v>41733</v>
      </c>
      <c r="I16" s="796">
        <v>-585762</v>
      </c>
      <c r="J16" s="796">
        <v>319284</v>
      </c>
      <c r="K16" s="796">
        <v>2270</v>
      </c>
      <c r="L16" s="796">
        <v>-249040</v>
      </c>
      <c r="M16" s="796">
        <v>-644419</v>
      </c>
      <c r="N16" s="796">
        <v>353480</v>
      </c>
      <c r="O16" s="797">
        <v>263257</v>
      </c>
    </row>
    <row r="17" spans="1:15" x14ac:dyDescent="0.3">
      <c r="A17" s="735" t="s">
        <v>903</v>
      </c>
      <c r="B17" s="789">
        <v>-144379</v>
      </c>
      <c r="C17" s="796">
        <v>704656</v>
      </c>
      <c r="D17" s="796">
        <v>3204</v>
      </c>
      <c r="E17" s="796">
        <v>-925238</v>
      </c>
      <c r="F17" s="796">
        <v>9383</v>
      </c>
      <c r="G17" s="796">
        <v>394688</v>
      </c>
      <c r="H17" s="796">
        <v>-47224</v>
      </c>
      <c r="I17" s="796">
        <v>-200930</v>
      </c>
      <c r="J17" s="796">
        <v>368313</v>
      </c>
      <c r="K17" s="796">
        <v>583465</v>
      </c>
      <c r="L17" s="796">
        <v>58952</v>
      </c>
      <c r="M17" s="796">
        <v>-508125</v>
      </c>
      <c r="N17" s="796">
        <v>-24010</v>
      </c>
      <c r="O17" s="797">
        <v>961816</v>
      </c>
    </row>
    <row r="18" spans="1:15" x14ac:dyDescent="0.3">
      <c r="A18" s="735" t="s">
        <v>904</v>
      </c>
      <c r="B18" s="737">
        <v>0</v>
      </c>
      <c r="C18" s="715">
        <v>0</v>
      </c>
      <c r="D18" s="715">
        <v>0</v>
      </c>
      <c r="E18" s="715">
        <v>0</v>
      </c>
      <c r="F18" s="715">
        <v>0</v>
      </c>
      <c r="G18" s="715">
        <v>0</v>
      </c>
      <c r="H18" s="715">
        <v>0</v>
      </c>
      <c r="I18" s="715">
        <v>0</v>
      </c>
      <c r="J18" s="715">
        <v>0</v>
      </c>
      <c r="K18" s="715">
        <v>0</v>
      </c>
      <c r="L18" s="715">
        <v>0</v>
      </c>
      <c r="M18" s="715">
        <v>0</v>
      </c>
      <c r="N18" s="715">
        <v>0</v>
      </c>
      <c r="O18" s="717">
        <v>0</v>
      </c>
    </row>
    <row r="19" spans="1:15" x14ac:dyDescent="0.3">
      <c r="A19" s="733" t="s">
        <v>893</v>
      </c>
      <c r="B19" s="790">
        <v>3459500</v>
      </c>
      <c r="C19" s="798">
        <v>3455700</v>
      </c>
      <c r="D19" s="798">
        <v>3007700</v>
      </c>
      <c r="E19" s="798">
        <v>2420500</v>
      </c>
      <c r="F19" s="798">
        <v>2325900</v>
      </c>
      <c r="G19" s="798">
        <v>3920600</v>
      </c>
      <c r="H19" s="798">
        <v>4618100</v>
      </c>
      <c r="I19" s="798">
        <v>1756100</v>
      </c>
      <c r="J19" s="798">
        <v>985357</v>
      </c>
      <c r="K19" s="798">
        <v>2154500</v>
      </c>
      <c r="L19" s="798">
        <v>2261800</v>
      </c>
      <c r="M19" s="798">
        <v>-539882</v>
      </c>
      <c r="N19" s="798">
        <v>-392163</v>
      </c>
      <c r="O19" s="799">
        <v>1173521</v>
      </c>
    </row>
    <row r="20" spans="1:15" x14ac:dyDescent="0.3">
      <c r="A20" s="733" t="s">
        <v>642</v>
      </c>
      <c r="B20" s="740" t="s">
        <v>642</v>
      </c>
      <c r="C20" s="710" t="s">
        <v>642</v>
      </c>
      <c r="D20" s="710" t="s">
        <v>642</v>
      </c>
      <c r="E20" s="710" t="s">
        <v>642</v>
      </c>
      <c r="F20" s="710" t="s">
        <v>642</v>
      </c>
      <c r="G20" s="710" t="s">
        <v>642</v>
      </c>
      <c r="H20" s="710" t="s">
        <v>642</v>
      </c>
      <c r="I20" s="710" t="s">
        <v>642</v>
      </c>
      <c r="J20" s="710" t="s">
        <v>642</v>
      </c>
      <c r="K20" s="710" t="s">
        <v>642</v>
      </c>
      <c r="L20" s="710" t="s">
        <v>642</v>
      </c>
      <c r="M20" s="710" t="s">
        <v>642</v>
      </c>
      <c r="N20" s="710" t="s">
        <v>642</v>
      </c>
      <c r="O20" s="712" t="s">
        <v>642</v>
      </c>
    </row>
    <row r="21" spans="1:15" x14ac:dyDescent="0.3">
      <c r="A21" s="733" t="s">
        <v>905</v>
      </c>
      <c r="B21" s="740" t="s">
        <v>642</v>
      </c>
      <c r="C21" s="710" t="s">
        <v>642</v>
      </c>
      <c r="D21" s="710" t="s">
        <v>642</v>
      </c>
      <c r="E21" s="710" t="s">
        <v>642</v>
      </c>
      <c r="F21" s="710" t="s">
        <v>642</v>
      </c>
      <c r="G21" s="710" t="s">
        <v>642</v>
      </c>
      <c r="H21" s="710" t="s">
        <v>642</v>
      </c>
      <c r="I21" s="710" t="s">
        <v>642</v>
      </c>
      <c r="J21" s="710" t="s">
        <v>642</v>
      </c>
      <c r="K21" s="710" t="s">
        <v>642</v>
      </c>
      <c r="L21" s="710" t="s">
        <v>642</v>
      </c>
      <c r="M21" s="710" t="s">
        <v>642</v>
      </c>
      <c r="N21" s="710" t="s">
        <v>642</v>
      </c>
      <c r="O21" s="712" t="s">
        <v>642</v>
      </c>
    </row>
    <row r="22" spans="1:15" x14ac:dyDescent="0.3">
      <c r="A22" s="735" t="s">
        <v>906</v>
      </c>
      <c r="B22" s="789">
        <v>-723024</v>
      </c>
      <c r="C22" s="796">
        <v>-1054800</v>
      </c>
      <c r="D22" s="796">
        <v>-670761</v>
      </c>
      <c r="E22" s="796">
        <v>-660730</v>
      </c>
      <c r="F22" s="796">
        <v>-684983</v>
      </c>
      <c r="G22" s="796">
        <v>-635379</v>
      </c>
      <c r="H22" s="796">
        <v>-888469</v>
      </c>
      <c r="I22" s="796">
        <v>-859344</v>
      </c>
      <c r="J22" s="796">
        <v>-773697</v>
      </c>
      <c r="K22" s="796">
        <v>-1138600</v>
      </c>
      <c r="L22" s="796">
        <v>-1331800</v>
      </c>
      <c r="M22" s="796">
        <v>-1067900</v>
      </c>
      <c r="N22" s="796">
        <v>-389495</v>
      </c>
      <c r="O22" s="797">
        <v>-572049</v>
      </c>
    </row>
    <row r="23" spans="1:15" x14ac:dyDescent="0.3">
      <c r="A23" s="735" t="s">
        <v>907</v>
      </c>
      <c r="B23" s="789">
        <v>85725</v>
      </c>
      <c r="C23" s="715">
        <v>0</v>
      </c>
      <c r="D23" s="715">
        <v>0</v>
      </c>
      <c r="E23" s="715">
        <v>0</v>
      </c>
      <c r="F23" s="715">
        <v>0</v>
      </c>
      <c r="G23" s="796">
        <v>23955</v>
      </c>
      <c r="H23" s="796">
        <v>28554</v>
      </c>
      <c r="I23" s="796">
        <v>135088</v>
      </c>
      <c r="J23" s="715">
        <v>0</v>
      </c>
      <c r="K23" s="796">
        <v>162326</v>
      </c>
      <c r="L23" s="796">
        <v>18046</v>
      </c>
      <c r="M23" s="796">
        <v>18525</v>
      </c>
      <c r="N23" s="796">
        <v>260108</v>
      </c>
      <c r="O23" s="797">
        <v>8205</v>
      </c>
    </row>
    <row r="24" spans="1:15" x14ac:dyDescent="0.3">
      <c r="A24" s="738" t="s">
        <v>908</v>
      </c>
      <c r="B24" s="802">
        <v>85725</v>
      </c>
      <c r="C24" s="719" t="s">
        <v>741</v>
      </c>
      <c r="D24" s="719">
        <v>0</v>
      </c>
      <c r="E24" s="719">
        <v>0</v>
      </c>
      <c r="F24" s="719">
        <v>0</v>
      </c>
      <c r="G24" s="800">
        <v>23955</v>
      </c>
      <c r="H24" s="800">
        <v>28554</v>
      </c>
      <c r="I24" s="800">
        <v>135088</v>
      </c>
      <c r="J24" s="719">
        <v>0</v>
      </c>
      <c r="K24" s="800">
        <v>162326</v>
      </c>
      <c r="L24" s="800">
        <v>18046</v>
      </c>
      <c r="M24" s="800">
        <v>18525</v>
      </c>
      <c r="N24" s="800">
        <v>260108</v>
      </c>
      <c r="O24" s="801">
        <v>8205</v>
      </c>
    </row>
    <row r="25" spans="1:15" x14ac:dyDescent="0.3">
      <c r="A25" s="738" t="s">
        <v>909</v>
      </c>
      <c r="B25" s="739">
        <v>0</v>
      </c>
      <c r="C25" s="719">
        <v>0</v>
      </c>
      <c r="D25" s="719">
        <v>0</v>
      </c>
      <c r="E25" s="719">
        <v>0</v>
      </c>
      <c r="F25" s="719">
        <v>0</v>
      </c>
      <c r="G25" s="719">
        <v>0</v>
      </c>
      <c r="H25" s="719">
        <v>0</v>
      </c>
      <c r="I25" s="719">
        <v>0</v>
      </c>
      <c r="J25" s="719">
        <v>0</v>
      </c>
      <c r="K25" s="719">
        <v>0</v>
      </c>
      <c r="L25" s="719">
        <v>0</v>
      </c>
      <c r="M25" s="719">
        <v>0</v>
      </c>
      <c r="N25" s="719">
        <v>0</v>
      </c>
      <c r="O25" s="720">
        <v>0</v>
      </c>
    </row>
    <row r="26" spans="1:15" x14ac:dyDescent="0.3">
      <c r="A26" s="735" t="s">
        <v>910</v>
      </c>
      <c r="B26" s="789">
        <v>-808749</v>
      </c>
      <c r="C26" s="796">
        <v>-1054800</v>
      </c>
      <c r="D26" s="796">
        <v>-670761</v>
      </c>
      <c r="E26" s="796">
        <v>-660730</v>
      </c>
      <c r="F26" s="796">
        <v>-684983</v>
      </c>
      <c r="G26" s="796">
        <v>-659334</v>
      </c>
      <c r="H26" s="796">
        <v>-917023</v>
      </c>
      <c r="I26" s="796">
        <v>-994432</v>
      </c>
      <c r="J26" s="796">
        <v>-773697</v>
      </c>
      <c r="K26" s="796">
        <v>-1300900</v>
      </c>
      <c r="L26" s="796">
        <v>-1349900</v>
      </c>
      <c r="M26" s="796">
        <v>-1086400</v>
      </c>
      <c r="N26" s="796">
        <v>-649604</v>
      </c>
      <c r="O26" s="797">
        <v>-580254</v>
      </c>
    </row>
    <row r="27" spans="1:15" x14ac:dyDescent="0.3">
      <c r="A27" s="738" t="s">
        <v>911</v>
      </c>
      <c r="B27" s="802">
        <v>-808749</v>
      </c>
      <c r="C27" s="800">
        <v>-1054800</v>
      </c>
      <c r="D27" s="800">
        <v>-670761</v>
      </c>
      <c r="E27" s="800">
        <v>-660730</v>
      </c>
      <c r="F27" s="800">
        <v>-684983</v>
      </c>
      <c r="G27" s="800">
        <v>-659334</v>
      </c>
      <c r="H27" s="800">
        <v>-917023</v>
      </c>
      <c r="I27" s="800">
        <v>-994432</v>
      </c>
      <c r="J27" s="800">
        <v>-773697</v>
      </c>
      <c r="K27" s="800">
        <v>-1300900</v>
      </c>
      <c r="L27" s="800">
        <v>-1349900</v>
      </c>
      <c r="M27" s="800">
        <v>-1086400</v>
      </c>
      <c r="N27" s="800">
        <v>-649604</v>
      </c>
      <c r="O27" s="801">
        <v>-580254</v>
      </c>
    </row>
    <row r="28" spans="1:15" x14ac:dyDescent="0.3">
      <c r="A28" s="738" t="s">
        <v>912</v>
      </c>
      <c r="B28" s="739">
        <v>0</v>
      </c>
      <c r="C28" s="719">
        <v>0</v>
      </c>
      <c r="D28" s="719">
        <v>0</v>
      </c>
      <c r="E28" s="719">
        <v>0</v>
      </c>
      <c r="F28" s="719">
        <v>0</v>
      </c>
      <c r="G28" s="719">
        <v>0</v>
      </c>
      <c r="H28" s="719">
        <v>0</v>
      </c>
      <c r="I28" s="719">
        <v>0</v>
      </c>
      <c r="J28" s="719">
        <v>0</v>
      </c>
      <c r="K28" s="719">
        <v>0</v>
      </c>
      <c r="L28" s="719">
        <v>0</v>
      </c>
      <c r="M28" s="719">
        <v>0</v>
      </c>
      <c r="N28" s="719">
        <v>0</v>
      </c>
      <c r="O28" s="720">
        <v>0</v>
      </c>
    </row>
    <row r="29" spans="1:15" x14ac:dyDescent="0.3">
      <c r="A29" s="735" t="s">
        <v>913</v>
      </c>
      <c r="B29" s="737">
        <v>0</v>
      </c>
      <c r="C29" s="796">
        <v>-18835</v>
      </c>
      <c r="D29" s="715">
        <v>0</v>
      </c>
      <c r="E29" s="715">
        <v>0</v>
      </c>
      <c r="F29" s="715">
        <v>0</v>
      </c>
      <c r="G29" s="715">
        <v>0</v>
      </c>
      <c r="H29" s="715">
        <v>0</v>
      </c>
      <c r="I29" s="715">
        <v>0</v>
      </c>
      <c r="J29" s="715">
        <v>0</v>
      </c>
      <c r="K29" s="715">
        <v>0</v>
      </c>
      <c r="L29" s="715">
        <v>0</v>
      </c>
      <c r="M29" s="715">
        <v>0</v>
      </c>
      <c r="N29" s="715">
        <v>0</v>
      </c>
      <c r="O29" s="717">
        <v>0</v>
      </c>
    </row>
    <row r="30" spans="1:15" x14ac:dyDescent="0.3">
      <c r="A30" s="735" t="s">
        <v>914</v>
      </c>
      <c r="B30" s="737">
        <v>0</v>
      </c>
      <c r="C30" s="715">
        <v>0</v>
      </c>
      <c r="D30" s="715">
        <v>0</v>
      </c>
      <c r="E30" s="715">
        <v>0</v>
      </c>
      <c r="F30" s="715">
        <v>0</v>
      </c>
      <c r="G30" s="715">
        <v>0</v>
      </c>
      <c r="H30" s="715">
        <v>0</v>
      </c>
      <c r="I30" s="715">
        <v>0</v>
      </c>
      <c r="J30" s="715">
        <v>0</v>
      </c>
      <c r="K30" s="715">
        <v>0</v>
      </c>
      <c r="L30" s="715">
        <v>0</v>
      </c>
      <c r="M30" s="715">
        <v>0</v>
      </c>
      <c r="N30" s="715">
        <v>0</v>
      </c>
      <c r="O30" s="717">
        <v>0</v>
      </c>
    </row>
    <row r="31" spans="1:15" x14ac:dyDescent="0.3">
      <c r="A31" s="735" t="s">
        <v>915</v>
      </c>
      <c r="B31" s="737">
        <v>0</v>
      </c>
      <c r="C31" s="796">
        <v>-18835</v>
      </c>
      <c r="D31" s="715">
        <v>0</v>
      </c>
      <c r="E31" s="715">
        <v>0</v>
      </c>
      <c r="F31" s="715">
        <v>0</v>
      </c>
      <c r="G31" s="715">
        <v>0</v>
      </c>
      <c r="H31" s="715">
        <v>0</v>
      </c>
      <c r="I31" s="715">
        <v>0</v>
      </c>
      <c r="J31" s="715">
        <v>0</v>
      </c>
      <c r="K31" s="715">
        <v>0</v>
      </c>
      <c r="L31" s="715">
        <v>0</v>
      </c>
      <c r="M31" s="715">
        <v>0</v>
      </c>
      <c r="N31" s="715">
        <v>0</v>
      </c>
      <c r="O31" s="717">
        <v>0</v>
      </c>
    </row>
    <row r="32" spans="1:15" x14ac:dyDescent="0.3">
      <c r="A32" s="735" t="s">
        <v>916</v>
      </c>
      <c r="B32" s="789">
        <v>-3977200</v>
      </c>
      <c r="C32" s="796">
        <v>-1108</v>
      </c>
      <c r="D32" s="796">
        <v>-879038</v>
      </c>
      <c r="E32" s="796">
        <v>-277463</v>
      </c>
      <c r="F32" s="796">
        <v>-11535600</v>
      </c>
      <c r="G32" s="715">
        <v>0</v>
      </c>
      <c r="H32" s="796">
        <v>-109823</v>
      </c>
      <c r="I32" s="715">
        <v>0</v>
      </c>
      <c r="J32" s="796">
        <v>-26308</v>
      </c>
      <c r="K32" s="715">
        <v>0</v>
      </c>
      <c r="L32" s="796">
        <v>38499</v>
      </c>
      <c r="M32" s="715">
        <v>0</v>
      </c>
      <c r="N32" s="715">
        <v>0</v>
      </c>
      <c r="O32" s="797">
        <v>266595</v>
      </c>
    </row>
    <row r="33" spans="1:15" x14ac:dyDescent="0.3">
      <c r="A33" s="735" t="s">
        <v>917</v>
      </c>
      <c r="B33" s="737">
        <v>0</v>
      </c>
      <c r="C33" s="715">
        <v>0</v>
      </c>
      <c r="D33" s="715">
        <v>0</v>
      </c>
      <c r="E33" s="715">
        <v>0</v>
      </c>
      <c r="F33" s="715">
        <v>0</v>
      </c>
      <c r="G33" s="715">
        <v>0</v>
      </c>
      <c r="H33" s="715">
        <v>0</v>
      </c>
      <c r="I33" s="715">
        <v>0</v>
      </c>
      <c r="J33" s="715">
        <v>0</v>
      </c>
      <c r="K33" s="715">
        <v>0</v>
      </c>
      <c r="L33" s="796">
        <v>38499</v>
      </c>
      <c r="M33" s="715">
        <v>0</v>
      </c>
      <c r="N33" s="715">
        <v>0</v>
      </c>
      <c r="O33" s="717">
        <v>0</v>
      </c>
    </row>
    <row r="34" spans="1:15" x14ac:dyDescent="0.3">
      <c r="A34" s="735" t="s">
        <v>918</v>
      </c>
      <c r="B34" s="789">
        <v>-3977200</v>
      </c>
      <c r="C34" s="796">
        <v>-1108</v>
      </c>
      <c r="D34" s="796">
        <v>-879038</v>
      </c>
      <c r="E34" s="796">
        <v>-277463</v>
      </c>
      <c r="F34" s="796">
        <v>-11535600</v>
      </c>
      <c r="G34" s="715">
        <v>0</v>
      </c>
      <c r="H34" s="796">
        <v>-109823</v>
      </c>
      <c r="I34" s="715">
        <v>0</v>
      </c>
      <c r="J34" s="796">
        <v>-26308</v>
      </c>
      <c r="K34" s="715">
        <v>0</v>
      </c>
      <c r="L34" s="715">
        <v>0</v>
      </c>
      <c r="M34" s="715">
        <v>0</v>
      </c>
      <c r="N34" s="715">
        <v>0</v>
      </c>
      <c r="O34" s="797">
        <v>266595</v>
      </c>
    </row>
    <row r="35" spans="1:15" x14ac:dyDescent="0.3">
      <c r="A35" s="735" t="s">
        <v>919</v>
      </c>
      <c r="B35" s="737">
        <v>0</v>
      </c>
      <c r="C35" s="715">
        <v>0</v>
      </c>
      <c r="D35" s="715">
        <v>0</v>
      </c>
      <c r="E35" s="715">
        <v>0</v>
      </c>
      <c r="F35" s="715">
        <v>0</v>
      </c>
      <c r="G35" s="715">
        <v>0</v>
      </c>
      <c r="H35" s="715">
        <v>0</v>
      </c>
      <c r="I35" s="715">
        <v>0</v>
      </c>
      <c r="J35" s="715">
        <v>0</v>
      </c>
      <c r="K35" s="715">
        <v>0</v>
      </c>
      <c r="L35" s="715">
        <v>0</v>
      </c>
      <c r="M35" s="715">
        <v>0</v>
      </c>
      <c r="N35" s="715">
        <v>0</v>
      </c>
      <c r="O35" s="717">
        <v>0</v>
      </c>
    </row>
    <row r="36" spans="1:15" x14ac:dyDescent="0.3">
      <c r="A36" s="735" t="s">
        <v>920</v>
      </c>
      <c r="B36" s="737">
        <v>0</v>
      </c>
      <c r="C36" s="715">
        <v>0</v>
      </c>
      <c r="D36" s="796">
        <v>-518024</v>
      </c>
      <c r="E36" s="796">
        <v>-90688</v>
      </c>
      <c r="F36" s="796">
        <v>951235</v>
      </c>
      <c r="G36" s="796">
        <v>-90117</v>
      </c>
      <c r="H36" s="796">
        <v>-819280</v>
      </c>
      <c r="I36" s="796">
        <v>-584626</v>
      </c>
      <c r="J36" s="796">
        <v>1132400</v>
      </c>
      <c r="K36" s="796">
        <v>270165</v>
      </c>
      <c r="L36" s="796">
        <v>-140762</v>
      </c>
      <c r="M36" s="796">
        <v>59546</v>
      </c>
      <c r="N36" s="796">
        <v>353480</v>
      </c>
      <c r="O36" s="797">
        <v>345871</v>
      </c>
    </row>
    <row r="37" spans="1:15" x14ac:dyDescent="0.3">
      <c r="A37" s="735" t="s">
        <v>904</v>
      </c>
      <c r="B37" s="737">
        <v>0</v>
      </c>
      <c r="C37" s="715">
        <v>0</v>
      </c>
      <c r="D37" s="715">
        <v>0</v>
      </c>
      <c r="E37" s="715">
        <v>0</v>
      </c>
      <c r="F37" s="715">
        <v>0</v>
      </c>
      <c r="G37" s="715">
        <v>0</v>
      </c>
      <c r="H37" s="715">
        <v>0</v>
      </c>
      <c r="I37" s="715">
        <v>0</v>
      </c>
      <c r="J37" s="715">
        <v>0</v>
      </c>
      <c r="K37" s="715">
        <v>0</v>
      </c>
      <c r="L37" s="715">
        <v>0</v>
      </c>
      <c r="M37" s="715">
        <v>0</v>
      </c>
      <c r="N37" s="715">
        <v>0</v>
      </c>
      <c r="O37" s="717">
        <v>0</v>
      </c>
    </row>
    <row r="38" spans="1:15" x14ac:dyDescent="0.3">
      <c r="A38" s="733" t="s">
        <v>905</v>
      </c>
      <c r="B38" s="790">
        <v>-4700200</v>
      </c>
      <c r="C38" s="798">
        <v>-1074700</v>
      </c>
      <c r="D38" s="798">
        <v>-2067800</v>
      </c>
      <c r="E38" s="798">
        <v>-1028900</v>
      </c>
      <c r="F38" s="798">
        <v>-11269400</v>
      </c>
      <c r="G38" s="798">
        <v>-725495</v>
      </c>
      <c r="H38" s="798">
        <v>-1817600</v>
      </c>
      <c r="I38" s="798">
        <v>-1444000</v>
      </c>
      <c r="J38" s="798">
        <v>332438</v>
      </c>
      <c r="K38" s="798">
        <v>-868387</v>
      </c>
      <c r="L38" s="798">
        <v>-1434100</v>
      </c>
      <c r="M38" s="798">
        <v>-1008300</v>
      </c>
      <c r="N38" s="798">
        <v>-36015</v>
      </c>
      <c r="O38" s="799">
        <v>36800</v>
      </c>
    </row>
    <row r="39" spans="1:15" x14ac:dyDescent="0.3">
      <c r="A39" s="733" t="s">
        <v>642</v>
      </c>
      <c r="B39" s="740" t="s">
        <v>642</v>
      </c>
      <c r="C39" s="710" t="s">
        <v>642</v>
      </c>
      <c r="D39" s="710" t="s">
        <v>642</v>
      </c>
      <c r="E39" s="710" t="s">
        <v>642</v>
      </c>
      <c r="F39" s="710" t="s">
        <v>642</v>
      </c>
      <c r="G39" s="710" t="s">
        <v>642</v>
      </c>
      <c r="H39" s="710" t="s">
        <v>642</v>
      </c>
      <c r="I39" s="710" t="s">
        <v>642</v>
      </c>
      <c r="J39" s="710" t="s">
        <v>642</v>
      </c>
      <c r="K39" s="710" t="s">
        <v>642</v>
      </c>
      <c r="L39" s="710" t="s">
        <v>642</v>
      </c>
      <c r="M39" s="710" t="s">
        <v>642</v>
      </c>
      <c r="N39" s="710" t="s">
        <v>642</v>
      </c>
      <c r="O39" s="712" t="s">
        <v>642</v>
      </c>
    </row>
    <row r="40" spans="1:15" x14ac:dyDescent="0.3">
      <c r="A40" s="733" t="s">
        <v>921</v>
      </c>
      <c r="B40" s="740" t="s">
        <v>642</v>
      </c>
      <c r="C40" s="710" t="s">
        <v>642</v>
      </c>
      <c r="D40" s="710" t="s">
        <v>642</v>
      </c>
      <c r="E40" s="710" t="s">
        <v>642</v>
      </c>
      <c r="F40" s="710" t="s">
        <v>642</v>
      </c>
      <c r="G40" s="710" t="s">
        <v>642</v>
      </c>
      <c r="H40" s="710" t="s">
        <v>642</v>
      </c>
      <c r="I40" s="710" t="s">
        <v>642</v>
      </c>
      <c r="J40" s="710" t="s">
        <v>642</v>
      </c>
      <c r="K40" s="710" t="s">
        <v>642</v>
      </c>
      <c r="L40" s="710" t="s">
        <v>642</v>
      </c>
      <c r="M40" s="710" t="s">
        <v>642</v>
      </c>
      <c r="N40" s="710" t="s">
        <v>642</v>
      </c>
      <c r="O40" s="712" t="s">
        <v>642</v>
      </c>
    </row>
    <row r="41" spans="1:15" x14ac:dyDescent="0.3">
      <c r="A41" s="735" t="s">
        <v>922</v>
      </c>
      <c r="B41" s="737">
        <v>0</v>
      </c>
      <c r="C41" s="796">
        <v>-200539</v>
      </c>
      <c r="D41" s="796">
        <v>-276635</v>
      </c>
      <c r="E41" s="796">
        <v>-427531</v>
      </c>
      <c r="F41" s="796">
        <v>-544233</v>
      </c>
      <c r="G41" s="796">
        <v>-654771</v>
      </c>
      <c r="H41" s="796">
        <v>-651251</v>
      </c>
      <c r="I41" s="796">
        <v>-662955</v>
      </c>
      <c r="J41" s="796">
        <v>-711514</v>
      </c>
      <c r="K41" s="715">
        <v>0</v>
      </c>
      <c r="L41" s="715">
        <v>0</v>
      </c>
      <c r="M41" s="715">
        <v>0</v>
      </c>
      <c r="N41" s="715">
        <v>0</v>
      </c>
      <c r="O41" s="717">
        <v>0</v>
      </c>
    </row>
    <row r="42" spans="1:15" x14ac:dyDescent="0.3">
      <c r="A42" s="735" t="s">
        <v>923</v>
      </c>
      <c r="B42" s="789">
        <v>1446000</v>
      </c>
      <c r="C42" s="796">
        <v>-254829</v>
      </c>
      <c r="D42" s="796">
        <v>507343</v>
      </c>
      <c r="E42" s="796">
        <v>140351</v>
      </c>
      <c r="F42" s="796">
        <v>13991700</v>
      </c>
      <c r="G42" s="796">
        <v>-4907400</v>
      </c>
      <c r="H42" s="796">
        <v>-3002600</v>
      </c>
      <c r="I42" s="796">
        <v>-205471</v>
      </c>
      <c r="J42" s="796">
        <v>-1174300</v>
      </c>
      <c r="K42" s="796">
        <v>-1005700</v>
      </c>
      <c r="L42" s="796">
        <v>-2077700</v>
      </c>
      <c r="M42" s="715">
        <v>0</v>
      </c>
      <c r="N42" s="796">
        <v>521550</v>
      </c>
      <c r="O42" s="797">
        <v>-1402048</v>
      </c>
    </row>
    <row r="43" spans="1:15" x14ac:dyDescent="0.3">
      <c r="A43" s="735" t="s">
        <v>924</v>
      </c>
      <c r="B43" s="737">
        <v>0</v>
      </c>
      <c r="C43" s="715">
        <v>0</v>
      </c>
      <c r="D43" s="715">
        <v>0</v>
      </c>
      <c r="E43" s="715">
        <v>0</v>
      </c>
      <c r="F43" s="715" t="s">
        <v>741</v>
      </c>
      <c r="G43" s="715" t="s">
        <v>741</v>
      </c>
      <c r="H43" s="715" t="s">
        <v>741</v>
      </c>
      <c r="I43" s="715" t="s">
        <v>741</v>
      </c>
      <c r="J43" s="715" t="s">
        <v>741</v>
      </c>
      <c r="K43" s="715" t="s">
        <v>741</v>
      </c>
      <c r="L43" s="715" t="s">
        <v>741</v>
      </c>
      <c r="M43" s="715">
        <v>0</v>
      </c>
      <c r="N43" s="715" t="s">
        <v>741</v>
      </c>
      <c r="O43" s="717" t="s">
        <v>642</v>
      </c>
    </row>
    <row r="44" spans="1:15" x14ac:dyDescent="0.3">
      <c r="A44" s="735" t="s">
        <v>925</v>
      </c>
      <c r="B44" s="789">
        <v>3130100</v>
      </c>
      <c r="C44" s="715" t="s">
        <v>741</v>
      </c>
      <c r="D44" s="796">
        <v>3195700</v>
      </c>
      <c r="E44" s="796">
        <v>275304</v>
      </c>
      <c r="F44" s="715" t="s">
        <v>741</v>
      </c>
      <c r="G44" s="715" t="s">
        <v>741</v>
      </c>
      <c r="H44" s="715" t="s">
        <v>741</v>
      </c>
      <c r="I44" s="715" t="s">
        <v>741</v>
      </c>
      <c r="J44" s="715" t="s">
        <v>741</v>
      </c>
      <c r="K44" s="715" t="s">
        <v>741</v>
      </c>
      <c r="L44" s="715" t="s">
        <v>741</v>
      </c>
      <c r="M44" s="715">
        <v>0</v>
      </c>
      <c r="N44" s="715" t="s">
        <v>741</v>
      </c>
      <c r="O44" s="717" t="s">
        <v>642</v>
      </c>
    </row>
    <row r="45" spans="1:15" x14ac:dyDescent="0.3">
      <c r="A45" s="735" t="s">
        <v>926</v>
      </c>
      <c r="B45" s="789">
        <v>-1684000</v>
      </c>
      <c r="C45" s="796">
        <v>-254829</v>
      </c>
      <c r="D45" s="796">
        <v>-2688400</v>
      </c>
      <c r="E45" s="796">
        <v>-134953</v>
      </c>
      <c r="F45" s="715" t="s">
        <v>741</v>
      </c>
      <c r="G45" s="715" t="s">
        <v>741</v>
      </c>
      <c r="H45" s="715" t="s">
        <v>741</v>
      </c>
      <c r="I45" s="715" t="s">
        <v>741</v>
      </c>
      <c r="J45" s="715" t="s">
        <v>741</v>
      </c>
      <c r="K45" s="715" t="s">
        <v>741</v>
      </c>
      <c r="L45" s="715" t="s">
        <v>741</v>
      </c>
      <c r="M45" s="715">
        <v>0</v>
      </c>
      <c r="N45" s="715" t="s">
        <v>741</v>
      </c>
      <c r="O45" s="717" t="s">
        <v>642</v>
      </c>
    </row>
    <row r="46" spans="1:15" x14ac:dyDescent="0.3">
      <c r="A46" s="735" t="s">
        <v>927</v>
      </c>
      <c r="B46" s="789">
        <v>-522247</v>
      </c>
      <c r="C46" s="796">
        <v>-705764</v>
      </c>
      <c r="D46" s="796">
        <v>-641922</v>
      </c>
      <c r="E46" s="796">
        <v>-866938</v>
      </c>
      <c r="F46" s="796">
        <v>16421</v>
      </c>
      <c r="G46" s="796">
        <v>262365</v>
      </c>
      <c r="H46" s="796">
        <v>-564491</v>
      </c>
      <c r="I46" s="796">
        <v>-635710</v>
      </c>
      <c r="J46" s="796">
        <v>82512</v>
      </c>
      <c r="K46" s="796">
        <v>152110</v>
      </c>
      <c r="L46" s="796">
        <v>146777</v>
      </c>
      <c r="M46" s="796">
        <v>1288800</v>
      </c>
      <c r="N46" s="796">
        <v>100042</v>
      </c>
      <c r="O46" s="797">
        <v>123449</v>
      </c>
    </row>
    <row r="47" spans="1:15" x14ac:dyDescent="0.3">
      <c r="A47" s="735" t="s">
        <v>928</v>
      </c>
      <c r="B47" s="789">
        <v>159043</v>
      </c>
      <c r="C47" s="796">
        <v>227130</v>
      </c>
      <c r="D47" s="796">
        <v>229639</v>
      </c>
      <c r="E47" s="796">
        <v>180297</v>
      </c>
      <c r="F47" s="796">
        <v>86796</v>
      </c>
      <c r="G47" s="796">
        <v>262365</v>
      </c>
      <c r="H47" s="796">
        <v>84564</v>
      </c>
      <c r="I47" s="796">
        <v>3406</v>
      </c>
      <c r="J47" s="796">
        <v>82512</v>
      </c>
      <c r="K47" s="796">
        <v>152110</v>
      </c>
      <c r="L47" s="796">
        <v>146777</v>
      </c>
      <c r="M47" s="796">
        <v>1288800</v>
      </c>
      <c r="N47" s="796">
        <v>100042</v>
      </c>
      <c r="O47" s="797">
        <v>215350</v>
      </c>
    </row>
    <row r="48" spans="1:15" x14ac:dyDescent="0.3">
      <c r="A48" s="735" t="s">
        <v>929</v>
      </c>
      <c r="B48" s="789">
        <v>-681289</v>
      </c>
      <c r="C48" s="796">
        <v>-932894</v>
      </c>
      <c r="D48" s="796">
        <v>-871562</v>
      </c>
      <c r="E48" s="796">
        <v>-1047200</v>
      </c>
      <c r="F48" s="796">
        <v>-70375</v>
      </c>
      <c r="G48" s="715">
        <v>0</v>
      </c>
      <c r="H48" s="796">
        <v>-649055</v>
      </c>
      <c r="I48" s="796">
        <v>-639116</v>
      </c>
      <c r="J48" s="715">
        <v>0</v>
      </c>
      <c r="K48" s="715">
        <v>0</v>
      </c>
      <c r="L48" s="715">
        <v>0</v>
      </c>
      <c r="M48" s="715">
        <v>0</v>
      </c>
      <c r="N48" s="715">
        <v>0</v>
      </c>
      <c r="O48" s="797">
        <v>-96771</v>
      </c>
    </row>
    <row r="49" spans="1:15" x14ac:dyDescent="0.3">
      <c r="A49" s="735" t="s">
        <v>930</v>
      </c>
      <c r="B49" s="737">
        <v>0</v>
      </c>
      <c r="C49" s="715">
        <v>0</v>
      </c>
      <c r="D49" s="715">
        <v>0</v>
      </c>
      <c r="E49" s="715">
        <v>0</v>
      </c>
      <c r="F49" s="796">
        <v>-853883</v>
      </c>
      <c r="G49" s="796">
        <v>58177</v>
      </c>
      <c r="H49" s="796">
        <v>-64796</v>
      </c>
      <c r="I49" s="796">
        <v>-572139</v>
      </c>
      <c r="J49" s="715">
        <v>0</v>
      </c>
      <c r="K49" s="796">
        <v>-73785</v>
      </c>
      <c r="L49" s="796">
        <v>-135950</v>
      </c>
      <c r="M49" s="796">
        <v>-131001</v>
      </c>
      <c r="N49" s="796">
        <v>-372155</v>
      </c>
      <c r="O49" s="797">
        <v>-156648</v>
      </c>
    </row>
    <row r="50" spans="1:15" x14ac:dyDescent="0.3">
      <c r="A50" s="735" t="s">
        <v>904</v>
      </c>
      <c r="B50" s="737">
        <v>0</v>
      </c>
      <c r="C50" s="715">
        <v>0</v>
      </c>
      <c r="D50" s="715">
        <v>0</v>
      </c>
      <c r="E50" s="715">
        <v>0</v>
      </c>
      <c r="F50" s="715">
        <v>0</v>
      </c>
      <c r="G50" s="715">
        <v>0</v>
      </c>
      <c r="H50" s="715">
        <v>0</v>
      </c>
      <c r="I50" s="715">
        <v>0</v>
      </c>
      <c r="J50" s="715">
        <v>0</v>
      </c>
      <c r="K50" s="715">
        <v>0</v>
      </c>
      <c r="L50" s="715">
        <v>0</v>
      </c>
      <c r="M50" s="715">
        <v>0</v>
      </c>
      <c r="N50" s="715">
        <v>0</v>
      </c>
      <c r="O50" s="717">
        <v>0</v>
      </c>
    </row>
    <row r="51" spans="1:15" x14ac:dyDescent="0.3">
      <c r="A51" s="733" t="s">
        <v>921</v>
      </c>
      <c r="B51" s="790">
        <v>923801</v>
      </c>
      <c r="C51" s="798">
        <v>-1161100</v>
      </c>
      <c r="D51" s="798">
        <v>-411215</v>
      </c>
      <c r="E51" s="798">
        <v>-1154100</v>
      </c>
      <c r="F51" s="798">
        <v>12610000</v>
      </c>
      <c r="G51" s="798">
        <v>-5241600</v>
      </c>
      <c r="H51" s="798">
        <v>-4283100</v>
      </c>
      <c r="I51" s="798">
        <v>-2076300</v>
      </c>
      <c r="J51" s="798">
        <v>-1803300</v>
      </c>
      <c r="K51" s="798">
        <v>-927415</v>
      </c>
      <c r="L51" s="798">
        <v>-2066900</v>
      </c>
      <c r="M51" s="798">
        <v>1157800</v>
      </c>
      <c r="N51" s="798">
        <v>249437</v>
      </c>
      <c r="O51" s="799">
        <v>-1435247</v>
      </c>
    </row>
    <row r="52" spans="1:15" x14ac:dyDescent="0.3">
      <c r="A52" s="733" t="s">
        <v>642</v>
      </c>
      <c r="B52" s="740" t="s">
        <v>642</v>
      </c>
      <c r="C52" s="710" t="s">
        <v>642</v>
      </c>
      <c r="D52" s="710" t="s">
        <v>642</v>
      </c>
      <c r="E52" s="710" t="s">
        <v>642</v>
      </c>
      <c r="F52" s="710" t="s">
        <v>642</v>
      </c>
      <c r="G52" s="710" t="s">
        <v>642</v>
      </c>
      <c r="H52" s="710" t="s">
        <v>642</v>
      </c>
      <c r="I52" s="710" t="s">
        <v>642</v>
      </c>
      <c r="J52" s="710" t="s">
        <v>642</v>
      </c>
      <c r="K52" s="710" t="s">
        <v>642</v>
      </c>
      <c r="L52" s="710" t="s">
        <v>642</v>
      </c>
      <c r="M52" s="710" t="s">
        <v>642</v>
      </c>
      <c r="N52" s="710" t="s">
        <v>642</v>
      </c>
      <c r="O52" s="712" t="s">
        <v>642</v>
      </c>
    </row>
    <row r="53" spans="1:15" x14ac:dyDescent="0.3">
      <c r="A53" s="735" t="s">
        <v>931</v>
      </c>
      <c r="B53" s="789">
        <v>-1128</v>
      </c>
      <c r="C53" s="715">
        <v>0</v>
      </c>
      <c r="D53" s="715">
        <v>0</v>
      </c>
      <c r="E53" s="715">
        <v>0</v>
      </c>
      <c r="F53" s="796">
        <v>1173</v>
      </c>
      <c r="G53" s="796">
        <v>-3422</v>
      </c>
      <c r="H53" s="796">
        <v>1098</v>
      </c>
      <c r="I53" s="796">
        <v>4541</v>
      </c>
      <c r="J53" s="796">
        <v>-1196</v>
      </c>
      <c r="K53" s="796">
        <v>6811</v>
      </c>
      <c r="L53" s="796">
        <v>-15640</v>
      </c>
      <c r="M53" s="796">
        <v>-11909</v>
      </c>
      <c r="N53" s="796">
        <v>-13339</v>
      </c>
      <c r="O53" s="797">
        <v>-12422</v>
      </c>
    </row>
    <row r="54" spans="1:15" x14ac:dyDescent="0.3">
      <c r="A54" s="733" t="s">
        <v>642</v>
      </c>
      <c r="B54" s="740" t="s">
        <v>642</v>
      </c>
      <c r="C54" s="710" t="s">
        <v>642</v>
      </c>
      <c r="D54" s="710" t="s">
        <v>642</v>
      </c>
      <c r="E54" s="710" t="s">
        <v>642</v>
      </c>
      <c r="F54" s="710" t="s">
        <v>642</v>
      </c>
      <c r="G54" s="710" t="s">
        <v>642</v>
      </c>
      <c r="H54" s="710" t="s">
        <v>642</v>
      </c>
      <c r="I54" s="710" t="s">
        <v>642</v>
      </c>
      <c r="J54" s="710" t="s">
        <v>642</v>
      </c>
      <c r="K54" s="710" t="s">
        <v>642</v>
      </c>
      <c r="L54" s="710" t="s">
        <v>642</v>
      </c>
      <c r="M54" s="710" t="s">
        <v>642</v>
      </c>
      <c r="N54" s="710" t="s">
        <v>642</v>
      </c>
      <c r="O54" s="712" t="s">
        <v>642</v>
      </c>
    </row>
    <row r="55" spans="1:15" x14ac:dyDescent="0.3">
      <c r="A55" s="733" t="s">
        <v>304</v>
      </c>
      <c r="B55" s="790">
        <v>-318085</v>
      </c>
      <c r="C55" s="798">
        <v>1219900</v>
      </c>
      <c r="D55" s="798">
        <v>528705</v>
      </c>
      <c r="E55" s="798">
        <v>237517</v>
      </c>
      <c r="F55" s="798">
        <v>3667700</v>
      </c>
      <c r="G55" s="798">
        <v>-2049900</v>
      </c>
      <c r="H55" s="798">
        <v>-1481500</v>
      </c>
      <c r="I55" s="798">
        <v>-1759600</v>
      </c>
      <c r="J55" s="798">
        <v>-486699</v>
      </c>
      <c r="K55" s="798">
        <v>365517</v>
      </c>
      <c r="L55" s="798">
        <v>-1254800</v>
      </c>
      <c r="M55" s="798">
        <v>-402265</v>
      </c>
      <c r="N55" s="798">
        <v>-192080</v>
      </c>
      <c r="O55" s="799">
        <v>-258965</v>
      </c>
    </row>
    <row r="56" spans="1:15" x14ac:dyDescent="0.3">
      <c r="A56" s="733" t="s">
        <v>642</v>
      </c>
      <c r="B56" s="740" t="s">
        <v>642</v>
      </c>
      <c r="C56" s="710" t="s">
        <v>642</v>
      </c>
      <c r="D56" s="710" t="s">
        <v>642</v>
      </c>
      <c r="E56" s="710" t="s">
        <v>642</v>
      </c>
      <c r="F56" s="710" t="s">
        <v>642</v>
      </c>
      <c r="G56" s="710" t="s">
        <v>642</v>
      </c>
      <c r="H56" s="710" t="s">
        <v>642</v>
      </c>
      <c r="I56" s="710" t="s">
        <v>642</v>
      </c>
      <c r="J56" s="710" t="s">
        <v>642</v>
      </c>
      <c r="K56" s="710" t="s">
        <v>642</v>
      </c>
      <c r="L56" s="710" t="s">
        <v>642</v>
      </c>
      <c r="M56" s="710" t="s">
        <v>642</v>
      </c>
      <c r="N56" s="710" t="s">
        <v>642</v>
      </c>
      <c r="O56" s="712" t="s">
        <v>642</v>
      </c>
    </row>
    <row r="57" spans="1:15" x14ac:dyDescent="0.3">
      <c r="A57" s="733" t="s">
        <v>932</v>
      </c>
      <c r="B57" s="790">
        <v>18047</v>
      </c>
      <c r="C57" s="798">
        <v>161761</v>
      </c>
      <c r="D57" s="798">
        <v>150601</v>
      </c>
      <c r="E57" s="798">
        <v>50742</v>
      </c>
      <c r="F57" s="798">
        <v>30496</v>
      </c>
      <c r="G57" s="798">
        <v>209892</v>
      </c>
      <c r="H57" s="798">
        <v>241611</v>
      </c>
      <c r="I57" s="798">
        <v>427969</v>
      </c>
      <c r="J57" s="798">
        <v>407775</v>
      </c>
      <c r="K57" s="798">
        <v>395031</v>
      </c>
      <c r="L57" s="798">
        <v>508909</v>
      </c>
      <c r="M57" s="798">
        <v>234214</v>
      </c>
      <c r="N57" s="798">
        <v>1227200</v>
      </c>
      <c r="O57" s="799">
        <v>1093106</v>
      </c>
    </row>
    <row r="58" spans="1:15" x14ac:dyDescent="0.3">
      <c r="A58" s="733" t="s">
        <v>933</v>
      </c>
      <c r="B58" s="790">
        <v>24815</v>
      </c>
      <c r="C58" s="798">
        <v>54290</v>
      </c>
      <c r="D58" s="798">
        <v>49132</v>
      </c>
      <c r="E58" s="798">
        <v>48583</v>
      </c>
      <c r="F58" s="798">
        <v>132540</v>
      </c>
      <c r="G58" s="798">
        <v>886336</v>
      </c>
      <c r="H58" s="798">
        <v>777548</v>
      </c>
      <c r="I58" s="798">
        <v>489270</v>
      </c>
      <c r="J58" s="798">
        <v>444846</v>
      </c>
      <c r="K58" s="798">
        <v>321246</v>
      </c>
      <c r="L58" s="798">
        <v>294758</v>
      </c>
      <c r="M58" s="798">
        <v>389033</v>
      </c>
      <c r="N58" s="798">
        <v>528220</v>
      </c>
      <c r="O58" s="799">
        <v>532923</v>
      </c>
    </row>
    <row r="59" spans="1:15" x14ac:dyDescent="0.3">
      <c r="A59" s="733" t="s">
        <v>642</v>
      </c>
      <c r="B59" s="740" t="s">
        <v>642</v>
      </c>
      <c r="C59" s="710" t="s">
        <v>642</v>
      </c>
      <c r="D59" s="710" t="s">
        <v>642</v>
      </c>
      <c r="E59" s="710" t="s">
        <v>642</v>
      </c>
      <c r="F59" s="710" t="s">
        <v>642</v>
      </c>
      <c r="G59" s="710" t="s">
        <v>642</v>
      </c>
      <c r="H59" s="710" t="s">
        <v>642</v>
      </c>
      <c r="I59" s="710" t="s">
        <v>642</v>
      </c>
      <c r="J59" s="710" t="s">
        <v>642</v>
      </c>
      <c r="K59" s="710" t="s">
        <v>642</v>
      </c>
      <c r="L59" s="710" t="s">
        <v>642</v>
      </c>
      <c r="M59" s="710" t="s">
        <v>642</v>
      </c>
      <c r="N59" s="710" t="s">
        <v>642</v>
      </c>
      <c r="O59" s="712" t="s">
        <v>642</v>
      </c>
    </row>
    <row r="60" spans="1:15" x14ac:dyDescent="0.3">
      <c r="A60" s="733" t="s">
        <v>799</v>
      </c>
      <c r="B60" s="740" t="s">
        <v>642</v>
      </c>
      <c r="C60" s="710" t="s">
        <v>642</v>
      </c>
      <c r="D60" s="710" t="s">
        <v>642</v>
      </c>
      <c r="E60" s="710" t="s">
        <v>642</v>
      </c>
      <c r="F60" s="710" t="s">
        <v>642</v>
      </c>
      <c r="G60" s="710" t="s">
        <v>642</v>
      </c>
      <c r="H60" s="710" t="s">
        <v>642</v>
      </c>
      <c r="I60" s="710" t="s">
        <v>642</v>
      </c>
      <c r="J60" s="710" t="s">
        <v>642</v>
      </c>
      <c r="K60" s="710" t="s">
        <v>642</v>
      </c>
      <c r="L60" s="710" t="s">
        <v>642</v>
      </c>
      <c r="M60" s="710" t="s">
        <v>642</v>
      </c>
      <c r="N60" s="710" t="s">
        <v>642</v>
      </c>
      <c r="O60" s="712" t="s">
        <v>642</v>
      </c>
    </row>
    <row r="61" spans="1:15" x14ac:dyDescent="0.3">
      <c r="A61" s="735" t="s">
        <v>216</v>
      </c>
      <c r="B61" s="789">
        <v>2928200</v>
      </c>
      <c r="C61" s="796">
        <v>2768800</v>
      </c>
      <c r="D61" s="796">
        <v>3241700</v>
      </c>
      <c r="E61" s="796">
        <v>2942000</v>
      </c>
      <c r="F61" s="796">
        <v>1900100</v>
      </c>
      <c r="G61" s="796">
        <v>4656400</v>
      </c>
      <c r="H61" s="796">
        <v>6230300</v>
      </c>
      <c r="I61" s="796">
        <v>2155700</v>
      </c>
      <c r="J61" s="796">
        <v>2339000</v>
      </c>
      <c r="K61" s="796">
        <v>2817400</v>
      </c>
      <c r="L61" s="796">
        <v>4119400</v>
      </c>
      <c r="M61" s="796">
        <v>-529297</v>
      </c>
      <c r="N61" s="796">
        <v>420175</v>
      </c>
      <c r="O61" s="797">
        <v>4075295</v>
      </c>
    </row>
    <row r="62" spans="1:15" x14ac:dyDescent="0.3">
      <c r="A62" s="735" t="s">
        <v>934</v>
      </c>
      <c r="B62" s="737">
        <v>20.8</v>
      </c>
      <c r="C62" s="715">
        <v>16.28</v>
      </c>
      <c r="D62" s="715">
        <v>20.059999999999999</v>
      </c>
      <c r="E62" s="715">
        <v>18.7</v>
      </c>
      <c r="F62" s="715">
        <v>12.47</v>
      </c>
      <c r="G62" s="715">
        <v>21.38</v>
      </c>
      <c r="H62" s="715">
        <v>27.48</v>
      </c>
      <c r="I62" s="715">
        <v>11.46</v>
      </c>
      <c r="J62" s="715">
        <v>11.69</v>
      </c>
      <c r="K62" s="715">
        <v>14.67</v>
      </c>
      <c r="L62" s="715">
        <v>18.22</v>
      </c>
      <c r="M62" s="715">
        <v>-3.25</v>
      </c>
      <c r="N62" s="715">
        <v>2.42</v>
      </c>
      <c r="O62" s="717">
        <v>19.170000000000002</v>
      </c>
    </row>
    <row r="63" spans="1:15" x14ac:dyDescent="0.3">
      <c r="A63" s="735" t="s">
        <v>936</v>
      </c>
      <c r="B63" s="789">
        <v>3977200</v>
      </c>
      <c r="C63" s="796">
        <v>1108</v>
      </c>
      <c r="D63" s="796">
        <v>879038</v>
      </c>
      <c r="E63" s="796">
        <v>277463</v>
      </c>
      <c r="F63" s="796">
        <v>11535600</v>
      </c>
      <c r="G63" s="715">
        <v>0</v>
      </c>
      <c r="H63" s="796">
        <v>109823</v>
      </c>
      <c r="I63" s="715">
        <v>0</v>
      </c>
      <c r="J63" s="796">
        <v>26308</v>
      </c>
      <c r="K63" s="715">
        <v>0</v>
      </c>
      <c r="L63" s="715">
        <v>0</v>
      </c>
      <c r="M63" s="715" t="s">
        <v>741</v>
      </c>
      <c r="N63" s="715" t="s">
        <v>741</v>
      </c>
      <c r="O63" s="717" t="s">
        <v>642</v>
      </c>
    </row>
    <row r="64" spans="1:15" x14ac:dyDescent="0.3">
      <c r="A64" s="735" t="s">
        <v>1198</v>
      </c>
      <c r="B64" s="789">
        <v>75573</v>
      </c>
      <c r="C64" s="796">
        <v>22159</v>
      </c>
      <c r="D64" s="796">
        <v>29907</v>
      </c>
      <c r="E64" s="796">
        <v>-48583</v>
      </c>
      <c r="F64" s="796">
        <v>-58646</v>
      </c>
      <c r="G64" s="796">
        <v>-141449</v>
      </c>
      <c r="H64" s="796">
        <v>-187798</v>
      </c>
      <c r="I64" s="796">
        <v>-130548</v>
      </c>
      <c r="J64" s="796">
        <v>-86099</v>
      </c>
      <c r="K64" s="715" t="s">
        <v>741</v>
      </c>
      <c r="L64" s="715" t="s">
        <v>741</v>
      </c>
      <c r="M64" s="715" t="s">
        <v>741</v>
      </c>
      <c r="N64" s="715" t="s">
        <v>741</v>
      </c>
      <c r="O64" s="717" t="s">
        <v>642</v>
      </c>
    </row>
    <row r="65" spans="1:15" x14ac:dyDescent="0.3">
      <c r="A65" s="735" t="s">
        <v>937</v>
      </c>
      <c r="B65" s="789">
        <v>2650700</v>
      </c>
      <c r="C65" s="796">
        <v>2400900</v>
      </c>
      <c r="D65" s="796">
        <v>2337000</v>
      </c>
      <c r="E65" s="796">
        <v>1759800</v>
      </c>
      <c r="F65" s="796">
        <v>1640900</v>
      </c>
      <c r="G65" s="796">
        <v>3261300</v>
      </c>
      <c r="H65" s="796">
        <v>3701000</v>
      </c>
      <c r="I65" s="796">
        <v>761717</v>
      </c>
      <c r="J65" s="796">
        <v>211660</v>
      </c>
      <c r="K65" s="796">
        <v>853630</v>
      </c>
      <c r="L65" s="796">
        <v>911945</v>
      </c>
      <c r="M65" s="796">
        <v>-1626300</v>
      </c>
      <c r="N65" s="796">
        <v>-1041800</v>
      </c>
      <c r="O65" s="797">
        <v>594257</v>
      </c>
    </row>
    <row r="66" spans="1:15" x14ac:dyDescent="0.3">
      <c r="A66" s="735" t="s">
        <v>938</v>
      </c>
      <c r="B66" s="737" t="s">
        <v>741</v>
      </c>
      <c r="C66" s="715" t="s">
        <v>741</v>
      </c>
      <c r="D66" s="796">
        <v>2392200</v>
      </c>
      <c r="E66" s="796">
        <v>1808900</v>
      </c>
      <c r="F66" s="715" t="s">
        <v>741</v>
      </c>
      <c r="G66" s="796">
        <v>3760100</v>
      </c>
      <c r="H66" s="796">
        <v>3941400</v>
      </c>
      <c r="I66" s="715" t="s">
        <v>741</v>
      </c>
      <c r="J66" s="715" t="s">
        <v>741</v>
      </c>
      <c r="K66" s="796">
        <v>1181400</v>
      </c>
      <c r="L66" s="796">
        <v>1172600</v>
      </c>
      <c r="M66" s="715" t="s">
        <v>741</v>
      </c>
      <c r="N66" s="715" t="s">
        <v>741</v>
      </c>
      <c r="O66" s="797">
        <v>1046625</v>
      </c>
    </row>
    <row r="67" spans="1:15" x14ac:dyDescent="0.3">
      <c r="A67" s="735" t="s">
        <v>939</v>
      </c>
      <c r="B67" s="789">
        <v>4182500</v>
      </c>
      <c r="C67" s="796">
        <v>2146100</v>
      </c>
      <c r="D67" s="796">
        <v>2844300</v>
      </c>
      <c r="E67" s="796">
        <v>1900100</v>
      </c>
      <c r="F67" s="796">
        <v>15632600</v>
      </c>
      <c r="G67" s="796">
        <v>-1622100</v>
      </c>
      <c r="H67" s="796">
        <v>727029</v>
      </c>
      <c r="I67" s="796">
        <v>691335</v>
      </c>
      <c r="J67" s="796">
        <v>-962636</v>
      </c>
      <c r="K67" s="796">
        <v>10216</v>
      </c>
      <c r="L67" s="796">
        <v>-1147800</v>
      </c>
      <c r="M67" s="796">
        <v>-404912</v>
      </c>
      <c r="N67" s="796">
        <v>-1233800</v>
      </c>
      <c r="O67" s="797">
        <v>-1780580</v>
      </c>
    </row>
    <row r="68" spans="1:15" x14ac:dyDescent="0.3">
      <c r="A68" s="735" t="s">
        <v>940</v>
      </c>
      <c r="B68" s="736">
        <v>10998.81</v>
      </c>
      <c r="C68" s="716">
        <v>9962.36</v>
      </c>
      <c r="D68" s="716">
        <v>9944.6</v>
      </c>
      <c r="E68" s="716">
        <v>7585.29</v>
      </c>
      <c r="F68" s="716">
        <v>6865.73</v>
      </c>
      <c r="G68" s="716">
        <v>11323.98</v>
      </c>
      <c r="H68" s="716">
        <v>12461.41</v>
      </c>
      <c r="I68" s="716">
        <v>2608.62</v>
      </c>
      <c r="J68" s="715">
        <v>710.27</v>
      </c>
      <c r="K68" s="716">
        <v>2798.79</v>
      </c>
      <c r="L68" s="716">
        <v>2922.9</v>
      </c>
      <c r="M68" s="716">
        <v>-5114.04</v>
      </c>
      <c r="N68" s="716">
        <v>-3195.6</v>
      </c>
      <c r="O68" s="718">
        <v>1745.11</v>
      </c>
    </row>
    <row r="69" spans="1:15" x14ac:dyDescent="0.3">
      <c r="A69" s="735" t="s">
        <v>941</v>
      </c>
      <c r="B69" s="737">
        <v>3.13</v>
      </c>
      <c r="C69" s="715">
        <v>6.91</v>
      </c>
      <c r="D69" s="715">
        <v>9.98</v>
      </c>
      <c r="E69" s="715">
        <v>11.51</v>
      </c>
      <c r="F69" s="715">
        <v>7.94</v>
      </c>
      <c r="G69" s="715">
        <v>8.93</v>
      </c>
      <c r="H69" s="715">
        <v>6.82</v>
      </c>
      <c r="I69" s="715">
        <v>20.69</v>
      </c>
      <c r="J69" s="715">
        <v>71.45</v>
      </c>
      <c r="K69" s="715">
        <v>28.48</v>
      </c>
      <c r="L69" s="715">
        <v>17.87</v>
      </c>
      <c r="M69" s="715" t="s">
        <v>741</v>
      </c>
      <c r="N69" s="715" t="s">
        <v>741</v>
      </c>
      <c r="O69" s="717">
        <v>23.85</v>
      </c>
    </row>
    <row r="70" spans="1:15" x14ac:dyDescent="0.3">
      <c r="A70" s="735" t="s">
        <v>246</v>
      </c>
      <c r="B70" s="737">
        <v>1.9</v>
      </c>
      <c r="C70" s="715">
        <v>3.18</v>
      </c>
      <c r="D70" s="715">
        <v>1.74</v>
      </c>
      <c r="E70" s="715">
        <v>1.53</v>
      </c>
      <c r="F70" s="715">
        <v>8.19</v>
      </c>
      <c r="G70" s="715">
        <v>8.66</v>
      </c>
      <c r="H70" s="715">
        <v>6.23</v>
      </c>
      <c r="I70" s="715" t="s">
        <v>741</v>
      </c>
      <c r="J70" s="715" t="s">
        <v>741</v>
      </c>
      <c r="K70" s="715">
        <v>2.31</v>
      </c>
      <c r="L70" s="715">
        <v>1.22</v>
      </c>
      <c r="M70" s="715" t="s">
        <v>741</v>
      </c>
      <c r="N70" s="715" t="s">
        <v>741</v>
      </c>
      <c r="O70" s="717">
        <v>0.68</v>
      </c>
    </row>
    <row r="71" spans="1:15" ht="26" x14ac:dyDescent="0.3">
      <c r="A71" s="741" t="s">
        <v>811</v>
      </c>
      <c r="B71" s="741" t="s">
        <v>812</v>
      </c>
      <c r="C71" s="724"/>
      <c r="D71" s="724"/>
      <c r="E71" s="724"/>
      <c r="F71" s="724"/>
      <c r="G71" s="724"/>
      <c r="H71" s="723" t="s">
        <v>642</v>
      </c>
      <c r="I71" s="723" t="s">
        <v>642</v>
      </c>
      <c r="J71" s="723" t="s">
        <v>642</v>
      </c>
      <c r="K71" s="723" t="s">
        <v>642</v>
      </c>
      <c r="L71" s="723" t="s">
        <v>642</v>
      </c>
      <c r="M71" s="723" t="s">
        <v>642</v>
      </c>
      <c r="N71" s="723" t="s">
        <v>642</v>
      </c>
      <c r="O71" s="723" t="s">
        <v>642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2"/>
  <sheetViews>
    <sheetView workbookViewId="0"/>
  </sheetViews>
  <sheetFormatPr defaultRowHeight="14" x14ac:dyDescent="0.3"/>
  <cols>
    <col min="1" max="1" width="36" bestFit="1" customWidth="1"/>
    <col min="2" max="2" width="36" hidden="1" customWidth="1"/>
    <col min="3" max="3" width="12" hidden="1" customWidth="1"/>
    <col min="4" max="4" width="9.08203125" bestFit="1" customWidth="1"/>
    <col min="5" max="5" width="9.08203125" hidden="1" customWidth="1"/>
    <col min="6" max="7" width="9.75" bestFit="1" customWidth="1"/>
  </cols>
  <sheetData>
    <row r="1" spans="1:8" ht="14.5" x14ac:dyDescent="0.35">
      <c r="A1" s="725" t="s">
        <v>642</v>
      </c>
      <c r="B1" s="725" t="s">
        <v>642</v>
      </c>
      <c r="C1" s="701" t="s">
        <v>642</v>
      </c>
      <c r="D1" s="701" t="s">
        <v>642</v>
      </c>
      <c r="E1" s="701" t="s">
        <v>642</v>
      </c>
      <c r="F1" s="701" t="s">
        <v>642</v>
      </c>
      <c r="G1" s="701" t="s">
        <v>642</v>
      </c>
    </row>
    <row r="2" spans="1:8" ht="60" x14ac:dyDescent="0.4">
      <c r="A2" s="726" t="s">
        <v>1199</v>
      </c>
      <c r="B2" s="727"/>
      <c r="C2" s="703"/>
      <c r="D2" s="703"/>
      <c r="E2" s="703"/>
      <c r="F2" s="703"/>
      <c r="G2" s="702" t="s">
        <v>642</v>
      </c>
      <c r="H2" s="702" t="s">
        <v>642</v>
      </c>
    </row>
    <row r="3" spans="1:8" x14ac:dyDescent="0.3">
      <c r="A3" s="728" t="s">
        <v>642</v>
      </c>
      <c r="B3" s="728" t="s">
        <v>642</v>
      </c>
      <c r="C3" s="704" t="s">
        <v>642</v>
      </c>
      <c r="D3" s="704" t="s">
        <v>642</v>
      </c>
      <c r="E3" s="704" t="s">
        <v>642</v>
      </c>
      <c r="F3" s="704" t="s">
        <v>642</v>
      </c>
      <c r="G3" s="704" t="s">
        <v>642</v>
      </c>
    </row>
    <row r="4" spans="1:8" x14ac:dyDescent="0.3">
      <c r="A4" s="729" t="s">
        <v>723</v>
      </c>
      <c r="B4" s="730" t="s">
        <v>732</v>
      </c>
      <c r="C4" s="706" t="s">
        <v>733</v>
      </c>
      <c r="D4" s="706" t="s">
        <v>734</v>
      </c>
      <c r="E4" s="706" t="s">
        <v>735</v>
      </c>
      <c r="F4" s="706" t="s">
        <v>736</v>
      </c>
      <c r="G4" s="706" t="s">
        <v>737</v>
      </c>
    </row>
    <row r="5" spans="1:8" x14ac:dyDescent="0.3">
      <c r="A5" s="731" t="s">
        <v>738</v>
      </c>
      <c r="B5" s="732">
        <v>44926</v>
      </c>
      <c r="C5" s="709">
        <v>45291</v>
      </c>
      <c r="D5" s="709">
        <v>45657</v>
      </c>
      <c r="E5" s="709">
        <v>45657</v>
      </c>
      <c r="F5" s="709">
        <v>46022</v>
      </c>
      <c r="G5" s="709">
        <v>46387</v>
      </c>
    </row>
    <row r="6" spans="1:8" x14ac:dyDescent="0.3">
      <c r="A6" s="733" t="s">
        <v>215</v>
      </c>
      <c r="B6" s="734">
        <v>302231.40000000002</v>
      </c>
      <c r="C6" s="711">
        <v>258935.5</v>
      </c>
      <c r="D6" s="711">
        <v>300870.90000000002</v>
      </c>
      <c r="E6" s="713">
        <v>300870.90000000002</v>
      </c>
      <c r="F6" s="711">
        <v>320718.40000000002</v>
      </c>
      <c r="G6" s="711">
        <v>341085.7</v>
      </c>
    </row>
    <row r="7" spans="1:8" x14ac:dyDescent="0.3">
      <c r="A7" s="735" t="s">
        <v>739</v>
      </c>
      <c r="B7" s="736">
        <v>302231.40000000002</v>
      </c>
      <c r="C7" s="716">
        <v>258935.5</v>
      </c>
      <c r="D7" s="716">
        <v>300870.90000000002</v>
      </c>
      <c r="E7" s="718">
        <v>300870.90000000002</v>
      </c>
      <c r="F7" s="715" t="s">
        <v>642</v>
      </c>
      <c r="G7" s="715" t="s">
        <v>642</v>
      </c>
    </row>
    <row r="8" spans="1:8" x14ac:dyDescent="0.3">
      <c r="A8" s="735" t="s">
        <v>742</v>
      </c>
      <c r="B8" s="736">
        <v>190041.8</v>
      </c>
      <c r="C8" s="716">
        <v>180388.6</v>
      </c>
      <c r="D8" s="716">
        <v>186562.3</v>
      </c>
      <c r="E8" s="718">
        <v>186562.3</v>
      </c>
      <c r="F8" s="715" t="s">
        <v>642</v>
      </c>
      <c r="G8" s="715" t="s">
        <v>642</v>
      </c>
    </row>
    <row r="9" spans="1:8" x14ac:dyDescent="0.3">
      <c r="A9" s="735" t="s">
        <v>743</v>
      </c>
      <c r="B9" s="736">
        <v>155544.5</v>
      </c>
      <c r="C9" s="716">
        <v>146543</v>
      </c>
      <c r="D9" s="716">
        <v>149458.1</v>
      </c>
      <c r="E9" s="718">
        <v>149458.1</v>
      </c>
      <c r="F9" s="715" t="s">
        <v>642</v>
      </c>
      <c r="G9" s="715" t="s">
        <v>642</v>
      </c>
    </row>
    <row r="10" spans="1:8" x14ac:dyDescent="0.3">
      <c r="A10" s="735" t="s">
        <v>744</v>
      </c>
      <c r="B10" s="736">
        <v>34497.300000000003</v>
      </c>
      <c r="C10" s="716">
        <v>33845.599999999999</v>
      </c>
      <c r="D10" s="716">
        <v>37104.199999999997</v>
      </c>
      <c r="E10" s="718">
        <v>37104.199999999997</v>
      </c>
      <c r="F10" s="715" t="s">
        <v>642</v>
      </c>
      <c r="G10" s="715" t="s">
        <v>642</v>
      </c>
    </row>
    <row r="11" spans="1:8" x14ac:dyDescent="0.3">
      <c r="A11" s="733" t="s">
        <v>276</v>
      </c>
      <c r="B11" s="734">
        <v>112189.6</v>
      </c>
      <c r="C11" s="711">
        <v>78546.899999999994</v>
      </c>
      <c r="D11" s="711">
        <v>114308.6</v>
      </c>
      <c r="E11" s="713">
        <v>114308.6</v>
      </c>
      <c r="F11" s="711">
        <v>117495.2</v>
      </c>
      <c r="G11" s="711">
        <v>132000.1</v>
      </c>
    </row>
    <row r="12" spans="1:8" x14ac:dyDescent="0.3">
      <c r="A12" s="735" t="s">
        <v>746</v>
      </c>
      <c r="B12" s="737">
        <v>0</v>
      </c>
      <c r="C12" s="715">
        <v>0</v>
      </c>
      <c r="D12" s="715">
        <v>0</v>
      </c>
      <c r="E12" s="717">
        <v>0</v>
      </c>
      <c r="F12" s="715" t="s">
        <v>642</v>
      </c>
      <c r="G12" s="715" t="s">
        <v>642</v>
      </c>
    </row>
    <row r="13" spans="1:8" x14ac:dyDescent="0.3">
      <c r="A13" s="735" t="s">
        <v>747</v>
      </c>
      <c r="B13" s="736">
        <v>68813</v>
      </c>
      <c r="C13" s="716">
        <v>71979.899999999994</v>
      </c>
      <c r="D13" s="716">
        <v>81582.7</v>
      </c>
      <c r="E13" s="718">
        <v>81582.7</v>
      </c>
      <c r="F13" s="715" t="s">
        <v>642</v>
      </c>
      <c r="G13" s="715" t="s">
        <v>642</v>
      </c>
    </row>
    <row r="14" spans="1:8" x14ac:dyDescent="0.3">
      <c r="A14" s="735" t="s">
        <v>748</v>
      </c>
      <c r="B14" s="736">
        <v>41654.699999999997</v>
      </c>
      <c r="C14" s="716">
        <v>41302.1</v>
      </c>
      <c r="D14" s="716">
        <v>44178.8</v>
      </c>
      <c r="E14" s="718">
        <v>44178.8</v>
      </c>
      <c r="F14" s="715" t="s">
        <v>642</v>
      </c>
      <c r="G14" s="715" t="s">
        <v>642</v>
      </c>
    </row>
    <row r="15" spans="1:8" x14ac:dyDescent="0.3">
      <c r="A15" s="738" t="s">
        <v>749</v>
      </c>
      <c r="B15" s="757">
        <v>13223.6</v>
      </c>
      <c r="C15" s="721">
        <v>12108.3</v>
      </c>
      <c r="D15" s="721">
        <v>12728.9</v>
      </c>
      <c r="E15" s="722">
        <v>12728.9</v>
      </c>
      <c r="F15" s="719" t="s">
        <v>642</v>
      </c>
      <c r="G15" s="719" t="s">
        <v>642</v>
      </c>
    </row>
    <row r="16" spans="1:8" x14ac:dyDescent="0.3">
      <c r="A16" s="738" t="s">
        <v>750</v>
      </c>
      <c r="B16" s="757">
        <v>28431.1</v>
      </c>
      <c r="C16" s="721">
        <v>29193.8</v>
      </c>
      <c r="D16" s="721">
        <v>31449.9</v>
      </c>
      <c r="E16" s="722">
        <v>31449.9</v>
      </c>
      <c r="F16" s="719" t="s">
        <v>642</v>
      </c>
      <c r="G16" s="719" t="s">
        <v>642</v>
      </c>
    </row>
    <row r="17" spans="1:7" x14ac:dyDescent="0.3">
      <c r="A17" s="735" t="s">
        <v>745</v>
      </c>
      <c r="B17" s="736">
        <v>24919.200000000001</v>
      </c>
      <c r="C17" s="716">
        <v>28339.7</v>
      </c>
      <c r="D17" s="716">
        <v>34998.1</v>
      </c>
      <c r="E17" s="718">
        <v>34998.1</v>
      </c>
      <c r="F17" s="715" t="s">
        <v>642</v>
      </c>
      <c r="G17" s="715" t="s">
        <v>642</v>
      </c>
    </row>
    <row r="18" spans="1:7" x14ac:dyDescent="0.3">
      <c r="A18" s="735" t="s">
        <v>744</v>
      </c>
      <c r="B18" s="736">
        <v>2239.1</v>
      </c>
      <c r="C18" s="716">
        <v>2338.1</v>
      </c>
      <c r="D18" s="716">
        <v>2405.6999999999998</v>
      </c>
      <c r="E18" s="718">
        <v>2405.6999999999998</v>
      </c>
      <c r="F18" s="715" t="s">
        <v>642</v>
      </c>
      <c r="G18" s="715" t="s">
        <v>642</v>
      </c>
    </row>
    <row r="19" spans="1:7" x14ac:dyDescent="0.3">
      <c r="A19" s="735" t="s">
        <v>751</v>
      </c>
      <c r="B19" s="737">
        <v>0</v>
      </c>
      <c r="C19" s="715">
        <v>0</v>
      </c>
      <c r="D19" s="715">
        <v>0</v>
      </c>
      <c r="E19" s="717">
        <v>0</v>
      </c>
      <c r="F19" s="715" t="s">
        <v>642</v>
      </c>
      <c r="G19" s="715" t="s">
        <v>642</v>
      </c>
    </row>
    <row r="20" spans="1:7" x14ac:dyDescent="0.3">
      <c r="A20" s="733" t="s">
        <v>752</v>
      </c>
      <c r="B20" s="734">
        <v>43376.6</v>
      </c>
      <c r="C20" s="711">
        <v>6567</v>
      </c>
      <c r="D20" s="711">
        <v>32726</v>
      </c>
      <c r="E20" s="713">
        <v>32726</v>
      </c>
      <c r="F20" s="711">
        <v>33880.1</v>
      </c>
      <c r="G20" s="711">
        <v>46020.800000000003</v>
      </c>
    </row>
    <row r="21" spans="1:7" x14ac:dyDescent="0.3">
      <c r="A21" s="735" t="s">
        <v>753</v>
      </c>
      <c r="B21" s="736">
        <v>-2966</v>
      </c>
      <c r="C21" s="716">
        <v>-4420.3999999999996</v>
      </c>
      <c r="D21" s="716">
        <v>-4846.1000000000004</v>
      </c>
      <c r="E21" s="718">
        <v>-4846.1000000000004</v>
      </c>
      <c r="F21" s="715" t="s">
        <v>642</v>
      </c>
      <c r="G21" s="715" t="s">
        <v>642</v>
      </c>
    </row>
    <row r="22" spans="1:7" x14ac:dyDescent="0.3">
      <c r="A22" s="735" t="s">
        <v>754</v>
      </c>
      <c r="B22" s="736">
        <v>-1957.5</v>
      </c>
      <c r="C22" s="716">
        <v>-3427.8</v>
      </c>
      <c r="D22" s="716">
        <v>-3915.2</v>
      </c>
      <c r="E22" s="718">
        <v>-3915.2</v>
      </c>
      <c r="F22" s="715" t="s">
        <v>642</v>
      </c>
      <c r="G22" s="715" t="s">
        <v>642</v>
      </c>
    </row>
    <row r="23" spans="1:7" x14ac:dyDescent="0.3">
      <c r="A23" s="738" t="s">
        <v>755</v>
      </c>
      <c r="B23" s="739">
        <v>763</v>
      </c>
      <c r="C23" s="719">
        <v>930.3</v>
      </c>
      <c r="D23" s="719">
        <v>903.9</v>
      </c>
      <c r="E23" s="720">
        <v>903.9</v>
      </c>
      <c r="F23" s="719" t="s">
        <v>642</v>
      </c>
      <c r="G23" s="719" t="s">
        <v>642</v>
      </c>
    </row>
    <row r="24" spans="1:7" x14ac:dyDescent="0.3">
      <c r="A24" s="738" t="s">
        <v>756</v>
      </c>
      <c r="B24" s="757">
        <v>2720.5</v>
      </c>
      <c r="C24" s="721">
        <v>4358</v>
      </c>
      <c r="D24" s="721">
        <v>4819.1000000000004</v>
      </c>
      <c r="E24" s="722">
        <v>4819.1000000000004</v>
      </c>
      <c r="F24" s="719" t="s">
        <v>642</v>
      </c>
      <c r="G24" s="719" t="s">
        <v>642</v>
      </c>
    </row>
    <row r="25" spans="1:7" x14ac:dyDescent="0.3">
      <c r="A25" s="735" t="s">
        <v>757</v>
      </c>
      <c r="B25" s="737">
        <v>-414.6</v>
      </c>
      <c r="C25" s="715">
        <v>-164.2</v>
      </c>
      <c r="D25" s="715">
        <v>-135</v>
      </c>
      <c r="E25" s="717">
        <v>-135</v>
      </c>
      <c r="F25" s="715" t="s">
        <v>642</v>
      </c>
      <c r="G25" s="715" t="s">
        <v>642</v>
      </c>
    </row>
    <row r="26" spans="1:7" x14ac:dyDescent="0.3">
      <c r="A26" s="735" t="s">
        <v>758</v>
      </c>
      <c r="B26" s="737">
        <v>271.8</v>
      </c>
      <c r="C26" s="715">
        <v>102.4</v>
      </c>
      <c r="D26" s="715">
        <v>363</v>
      </c>
      <c r="E26" s="717">
        <v>363</v>
      </c>
      <c r="F26" s="715" t="s">
        <v>642</v>
      </c>
      <c r="G26" s="715" t="s">
        <v>642</v>
      </c>
    </row>
    <row r="27" spans="1:7" x14ac:dyDescent="0.3">
      <c r="A27" s="735" t="s">
        <v>759</v>
      </c>
      <c r="B27" s="736">
        <v>-1090.5999999999999</v>
      </c>
      <c r="C27" s="715">
        <v>-887.6</v>
      </c>
      <c r="D27" s="715">
        <v>-751</v>
      </c>
      <c r="E27" s="717">
        <v>-751</v>
      </c>
      <c r="F27" s="715" t="s">
        <v>642</v>
      </c>
      <c r="G27" s="715" t="s">
        <v>642</v>
      </c>
    </row>
    <row r="28" spans="1:7" x14ac:dyDescent="0.3">
      <c r="A28" s="735" t="s">
        <v>760</v>
      </c>
      <c r="B28" s="737">
        <v>224.9</v>
      </c>
      <c r="C28" s="715">
        <v>-43.3</v>
      </c>
      <c r="D28" s="715">
        <v>-407.9</v>
      </c>
      <c r="E28" s="717">
        <v>-407.9</v>
      </c>
      <c r="F28" s="715" t="s">
        <v>642</v>
      </c>
      <c r="G28" s="715" t="s">
        <v>642</v>
      </c>
    </row>
    <row r="29" spans="1:7" x14ac:dyDescent="0.3">
      <c r="A29" s="733" t="s">
        <v>761</v>
      </c>
      <c r="B29" s="734">
        <v>46342.6</v>
      </c>
      <c r="C29" s="711">
        <v>10987.4</v>
      </c>
      <c r="D29" s="711">
        <v>37572.1</v>
      </c>
      <c r="E29" s="713">
        <v>37572.1</v>
      </c>
      <c r="F29" s="711">
        <v>38032.800000000003</v>
      </c>
      <c r="G29" s="711">
        <v>52023.4</v>
      </c>
    </row>
    <row r="30" spans="1:7" x14ac:dyDescent="0.3">
      <c r="A30" s="735" t="s">
        <v>762</v>
      </c>
      <c r="B30" s="737">
        <v>-97.9</v>
      </c>
      <c r="C30" s="715">
        <v>-18.899999999999999</v>
      </c>
      <c r="D30" s="715">
        <v>42.4</v>
      </c>
      <c r="E30" s="717">
        <v>42.4</v>
      </c>
      <c r="F30" s="715" t="s">
        <v>642</v>
      </c>
      <c r="G30" s="715" t="s">
        <v>642</v>
      </c>
    </row>
    <row r="31" spans="1:7" x14ac:dyDescent="0.3">
      <c r="A31" s="735" t="s">
        <v>763</v>
      </c>
      <c r="B31" s="737">
        <v>-97.9</v>
      </c>
      <c r="C31" s="715">
        <v>-18.899999999999999</v>
      </c>
      <c r="D31" s="715">
        <v>42.4</v>
      </c>
      <c r="E31" s="717">
        <v>42.4</v>
      </c>
      <c r="F31" s="715" t="s">
        <v>642</v>
      </c>
      <c r="G31" s="715" t="s">
        <v>642</v>
      </c>
    </row>
    <row r="32" spans="1:7" x14ac:dyDescent="0.3">
      <c r="A32" s="735" t="s">
        <v>766</v>
      </c>
      <c r="B32" s="737" t="s">
        <v>741</v>
      </c>
      <c r="C32" s="715" t="s">
        <v>741</v>
      </c>
      <c r="D32" s="715" t="s">
        <v>741</v>
      </c>
      <c r="E32" s="717" t="s">
        <v>642</v>
      </c>
      <c r="F32" s="715" t="s">
        <v>642</v>
      </c>
      <c r="G32" s="715" t="s">
        <v>642</v>
      </c>
    </row>
    <row r="33" spans="1:7" x14ac:dyDescent="0.3">
      <c r="A33" s="735" t="s">
        <v>769</v>
      </c>
      <c r="B33" s="737" t="s">
        <v>741</v>
      </c>
      <c r="C33" s="715" t="s">
        <v>741</v>
      </c>
      <c r="D33" s="715" t="s">
        <v>741</v>
      </c>
      <c r="E33" s="717" t="s">
        <v>642</v>
      </c>
      <c r="F33" s="715" t="s">
        <v>642</v>
      </c>
      <c r="G33" s="715" t="s">
        <v>642</v>
      </c>
    </row>
    <row r="34" spans="1:7" x14ac:dyDescent="0.3">
      <c r="A34" s="735" t="s">
        <v>770</v>
      </c>
      <c r="B34" s="737" t="s">
        <v>741</v>
      </c>
      <c r="C34" s="715" t="s">
        <v>741</v>
      </c>
      <c r="D34" s="715" t="s">
        <v>741</v>
      </c>
      <c r="E34" s="717" t="s">
        <v>642</v>
      </c>
      <c r="F34" s="715" t="s">
        <v>642</v>
      </c>
      <c r="G34" s="715" t="s">
        <v>642</v>
      </c>
    </row>
    <row r="35" spans="1:7" x14ac:dyDescent="0.3">
      <c r="A35" s="733" t="s">
        <v>773</v>
      </c>
      <c r="B35" s="734">
        <v>46440.5</v>
      </c>
      <c r="C35" s="711">
        <v>11006.3</v>
      </c>
      <c r="D35" s="711">
        <v>37529.699999999997</v>
      </c>
      <c r="E35" s="713">
        <v>37529.699999999997</v>
      </c>
      <c r="F35" s="711">
        <v>38032.800000000003</v>
      </c>
      <c r="G35" s="711">
        <v>52023.4</v>
      </c>
    </row>
    <row r="36" spans="1:7" x14ac:dyDescent="0.3">
      <c r="A36" s="735" t="s">
        <v>774</v>
      </c>
      <c r="B36" s="736">
        <v>-9213.6</v>
      </c>
      <c r="C36" s="716">
        <v>-4480.8</v>
      </c>
      <c r="D36" s="716">
        <v>3078.4</v>
      </c>
      <c r="E36" s="718">
        <v>3078.4</v>
      </c>
      <c r="F36" s="715" t="s">
        <v>642</v>
      </c>
      <c r="G36" s="715" t="s">
        <v>642</v>
      </c>
    </row>
    <row r="37" spans="1:7" x14ac:dyDescent="0.3">
      <c r="A37" s="735" t="s">
        <v>775</v>
      </c>
      <c r="B37" s="736">
        <v>6889.4</v>
      </c>
      <c r="C37" s="716">
        <v>4935</v>
      </c>
      <c r="D37" s="716">
        <v>7373.9</v>
      </c>
      <c r="E37" s="717" t="s">
        <v>642</v>
      </c>
      <c r="F37" s="715" t="s">
        <v>642</v>
      </c>
      <c r="G37" s="715" t="s">
        <v>642</v>
      </c>
    </row>
    <row r="38" spans="1:7" x14ac:dyDescent="0.3">
      <c r="A38" s="735" t="s">
        <v>776</v>
      </c>
      <c r="B38" s="736">
        <v>-16103</v>
      </c>
      <c r="C38" s="716">
        <v>-9415.7999999999993</v>
      </c>
      <c r="D38" s="716">
        <v>-4295.5</v>
      </c>
      <c r="E38" s="717" t="s">
        <v>642</v>
      </c>
      <c r="F38" s="715" t="s">
        <v>642</v>
      </c>
      <c r="G38" s="715" t="s">
        <v>642</v>
      </c>
    </row>
    <row r="39" spans="1:7" x14ac:dyDescent="0.3">
      <c r="A39" s="735" t="s">
        <v>777</v>
      </c>
      <c r="B39" s="737" t="s">
        <v>741</v>
      </c>
      <c r="C39" s="715" t="s">
        <v>741</v>
      </c>
      <c r="D39" s="715" t="s">
        <v>741</v>
      </c>
      <c r="E39" s="717" t="s">
        <v>642</v>
      </c>
      <c r="F39" s="715" t="s">
        <v>642</v>
      </c>
      <c r="G39" s="715" t="s">
        <v>642</v>
      </c>
    </row>
    <row r="40" spans="1:7" x14ac:dyDescent="0.3">
      <c r="A40" s="733" t="s">
        <v>778</v>
      </c>
      <c r="B40" s="734">
        <v>55654.1</v>
      </c>
      <c r="C40" s="711">
        <v>15487.1</v>
      </c>
      <c r="D40" s="711">
        <v>34451.4</v>
      </c>
      <c r="E40" s="713">
        <v>34451.4</v>
      </c>
      <c r="F40" s="711">
        <v>30868.799999999999</v>
      </c>
      <c r="G40" s="711">
        <v>42114.9</v>
      </c>
    </row>
    <row r="41" spans="1:7" x14ac:dyDescent="0.3">
      <c r="A41" s="735" t="s">
        <v>779</v>
      </c>
      <c r="B41" s="737">
        <v>0</v>
      </c>
      <c r="C41" s="715">
        <v>0</v>
      </c>
      <c r="D41" s="715">
        <v>0</v>
      </c>
      <c r="E41" s="717">
        <v>0</v>
      </c>
      <c r="F41" s="715" t="s">
        <v>642</v>
      </c>
      <c r="G41" s="715" t="s">
        <v>642</v>
      </c>
    </row>
    <row r="42" spans="1:7" x14ac:dyDescent="0.3">
      <c r="A42" s="735" t="s">
        <v>780</v>
      </c>
      <c r="B42" s="737">
        <v>0</v>
      </c>
      <c r="C42" s="715">
        <v>0</v>
      </c>
      <c r="D42" s="715">
        <v>0</v>
      </c>
      <c r="E42" s="717">
        <v>0</v>
      </c>
      <c r="F42" s="715" t="s">
        <v>642</v>
      </c>
      <c r="G42" s="715" t="s">
        <v>642</v>
      </c>
    </row>
    <row r="43" spans="1:7" x14ac:dyDescent="0.3">
      <c r="A43" s="735" t="s">
        <v>781</v>
      </c>
      <c r="B43" s="737">
        <v>0</v>
      </c>
      <c r="C43" s="715">
        <v>0</v>
      </c>
      <c r="D43" s="715">
        <v>0</v>
      </c>
      <c r="E43" s="717">
        <v>0</v>
      </c>
      <c r="F43" s="715" t="s">
        <v>642</v>
      </c>
      <c r="G43" s="715" t="s">
        <v>642</v>
      </c>
    </row>
    <row r="44" spans="1:7" x14ac:dyDescent="0.3">
      <c r="A44" s="733" t="s">
        <v>782</v>
      </c>
      <c r="B44" s="734">
        <v>55654.1</v>
      </c>
      <c r="C44" s="711">
        <v>15487.1</v>
      </c>
      <c r="D44" s="711">
        <v>34451.4</v>
      </c>
      <c r="E44" s="713">
        <v>34451.4</v>
      </c>
      <c r="F44" s="710" t="s">
        <v>642</v>
      </c>
      <c r="G44" s="710" t="s">
        <v>642</v>
      </c>
    </row>
    <row r="45" spans="1:7" x14ac:dyDescent="0.3">
      <c r="A45" s="735" t="s">
        <v>783</v>
      </c>
      <c r="B45" s="737">
        <v>924.1</v>
      </c>
      <c r="C45" s="716">
        <v>1013.7</v>
      </c>
      <c r="D45" s="715">
        <v>830</v>
      </c>
      <c r="E45" s="717">
        <v>830</v>
      </c>
      <c r="F45" s="715" t="s">
        <v>642</v>
      </c>
      <c r="G45" s="715" t="s">
        <v>642</v>
      </c>
    </row>
    <row r="46" spans="1:7" x14ac:dyDescent="0.3">
      <c r="A46" s="733" t="s">
        <v>784</v>
      </c>
      <c r="B46" s="734">
        <v>54730</v>
      </c>
      <c r="C46" s="711">
        <v>14473.4</v>
      </c>
      <c r="D46" s="711">
        <v>33621.4</v>
      </c>
      <c r="E46" s="713">
        <v>33621.4</v>
      </c>
      <c r="F46" s="711">
        <v>30868.799999999999</v>
      </c>
      <c r="G46" s="711">
        <v>42114.9</v>
      </c>
    </row>
    <row r="47" spans="1:7" x14ac:dyDescent="0.3">
      <c r="A47" s="735" t="s">
        <v>785</v>
      </c>
      <c r="B47" s="736">
        <v>1189.0999999999999</v>
      </c>
      <c r="C47" s="716">
        <v>1189.0999999999999</v>
      </c>
      <c r="D47" s="716">
        <v>1189.2</v>
      </c>
      <c r="E47" s="718">
        <v>1189.2</v>
      </c>
      <c r="F47" s="715" t="s">
        <v>642</v>
      </c>
      <c r="G47" s="715" t="s">
        <v>642</v>
      </c>
    </row>
    <row r="48" spans="1:7" x14ac:dyDescent="0.3">
      <c r="A48" s="735" t="s">
        <v>786</v>
      </c>
      <c r="B48" s="736">
        <v>5442.4</v>
      </c>
      <c r="C48" s="715">
        <v>562.70000000000005</v>
      </c>
      <c r="D48" s="716">
        <v>2882.2</v>
      </c>
      <c r="E48" s="718">
        <v>2882.2</v>
      </c>
      <c r="F48" s="715" t="s">
        <v>642</v>
      </c>
      <c r="G48" s="715" t="s">
        <v>642</v>
      </c>
    </row>
    <row r="49" spans="1:7" x14ac:dyDescent="0.3">
      <c r="A49" s="733" t="s">
        <v>787</v>
      </c>
      <c r="B49" s="734">
        <v>48098.5</v>
      </c>
      <c r="C49" s="711">
        <v>12721.6</v>
      </c>
      <c r="D49" s="711">
        <v>29549.9</v>
      </c>
      <c r="E49" s="713">
        <v>29549.9</v>
      </c>
      <c r="F49" s="711">
        <v>30868.799999999999</v>
      </c>
      <c r="G49" s="711">
        <v>42114.9</v>
      </c>
    </row>
    <row r="50" spans="1:7" x14ac:dyDescent="0.3">
      <c r="A50" s="733" t="s">
        <v>642</v>
      </c>
      <c r="B50" s="740" t="s">
        <v>642</v>
      </c>
      <c r="C50" s="710" t="s">
        <v>642</v>
      </c>
      <c r="D50" s="710" t="s">
        <v>642</v>
      </c>
      <c r="E50" s="712" t="s">
        <v>642</v>
      </c>
      <c r="F50" s="710" t="s">
        <v>642</v>
      </c>
      <c r="G50" s="710" t="s">
        <v>642</v>
      </c>
    </row>
    <row r="51" spans="1:7" x14ac:dyDescent="0.3">
      <c r="A51" s="733" t="s">
        <v>788</v>
      </c>
      <c r="B51" s="734">
        <v>48025.1</v>
      </c>
      <c r="C51" s="711">
        <v>12707.3</v>
      </c>
      <c r="D51" s="711">
        <v>29582.1</v>
      </c>
      <c r="E51" s="713">
        <v>29582.1</v>
      </c>
      <c r="F51" s="711">
        <v>30187.3</v>
      </c>
      <c r="G51" s="711">
        <v>41151</v>
      </c>
    </row>
    <row r="52" spans="1:7" x14ac:dyDescent="0.3">
      <c r="A52" s="735" t="s">
        <v>789</v>
      </c>
      <c r="B52" s="737">
        <v>-73.400000000000006</v>
      </c>
      <c r="C52" s="715">
        <v>-14.3</v>
      </c>
      <c r="D52" s="715">
        <v>32.200000000000003</v>
      </c>
      <c r="E52" s="717">
        <v>32.200000000000003</v>
      </c>
      <c r="F52" s="715" t="s">
        <v>642</v>
      </c>
      <c r="G52" s="715" t="s">
        <v>642</v>
      </c>
    </row>
    <row r="53" spans="1:7" x14ac:dyDescent="0.3">
      <c r="A53" s="735" t="s">
        <v>790</v>
      </c>
      <c r="B53" s="737">
        <v>0</v>
      </c>
      <c r="C53" s="715">
        <v>0</v>
      </c>
      <c r="D53" s="715">
        <v>0</v>
      </c>
      <c r="E53" s="717">
        <v>0</v>
      </c>
      <c r="F53" s="715" t="s">
        <v>642</v>
      </c>
      <c r="G53" s="715" t="s">
        <v>642</v>
      </c>
    </row>
    <row r="54" spans="1:7" x14ac:dyDescent="0.3">
      <c r="A54" s="733" t="s">
        <v>642</v>
      </c>
      <c r="B54" s="740" t="s">
        <v>642</v>
      </c>
      <c r="C54" s="710" t="s">
        <v>642</v>
      </c>
      <c r="D54" s="710" t="s">
        <v>642</v>
      </c>
      <c r="E54" s="712" t="s">
        <v>642</v>
      </c>
      <c r="F54" s="710" t="s">
        <v>642</v>
      </c>
      <c r="G54" s="710" t="s">
        <v>642</v>
      </c>
    </row>
    <row r="55" spans="1:7" x14ac:dyDescent="0.3">
      <c r="A55" s="735" t="s">
        <v>791</v>
      </c>
      <c r="B55" s="736">
        <v>5969.8</v>
      </c>
      <c r="C55" s="716">
        <v>5969.8</v>
      </c>
      <c r="D55" s="716">
        <v>5969.7</v>
      </c>
      <c r="E55" s="718">
        <v>5969.3</v>
      </c>
      <c r="F55" s="715" t="s">
        <v>642</v>
      </c>
      <c r="G55" s="715" t="s">
        <v>642</v>
      </c>
    </row>
    <row r="56" spans="1:7" x14ac:dyDescent="0.3">
      <c r="A56" s="733" t="s">
        <v>792</v>
      </c>
      <c r="B56" s="734">
        <v>8057</v>
      </c>
      <c r="C56" s="711">
        <v>2131</v>
      </c>
      <c r="D56" s="711">
        <v>4950</v>
      </c>
      <c r="E56" s="713">
        <v>4949.99</v>
      </c>
      <c r="F56" s="711">
        <v>4664.3900000000003</v>
      </c>
      <c r="G56" s="711">
        <v>6471.23</v>
      </c>
    </row>
    <row r="57" spans="1:7" x14ac:dyDescent="0.3">
      <c r="A57" s="733" t="s">
        <v>793</v>
      </c>
      <c r="B57" s="734">
        <v>8057</v>
      </c>
      <c r="C57" s="711">
        <v>2131</v>
      </c>
      <c r="D57" s="711">
        <v>4950</v>
      </c>
      <c r="E57" s="713">
        <v>4949.99</v>
      </c>
      <c r="F57" s="711">
        <v>4664.3900000000003</v>
      </c>
      <c r="G57" s="711">
        <v>6471.23</v>
      </c>
    </row>
    <row r="58" spans="1:7" x14ac:dyDescent="0.3">
      <c r="A58" s="733" t="s">
        <v>794</v>
      </c>
      <c r="B58" s="734">
        <v>8044.7</v>
      </c>
      <c r="C58" s="711">
        <v>2128.6</v>
      </c>
      <c r="D58" s="711">
        <v>4955.3900000000003</v>
      </c>
      <c r="E58" s="713">
        <v>4955.38</v>
      </c>
      <c r="F58" s="711">
        <v>4620.8500000000004</v>
      </c>
      <c r="G58" s="711">
        <v>6199.9</v>
      </c>
    </row>
    <row r="59" spans="1:7" x14ac:dyDescent="0.3">
      <c r="A59" s="733" t="s">
        <v>642</v>
      </c>
      <c r="B59" s="740" t="s">
        <v>642</v>
      </c>
      <c r="C59" s="710" t="s">
        <v>642</v>
      </c>
      <c r="D59" s="710" t="s">
        <v>642</v>
      </c>
      <c r="E59" s="712" t="s">
        <v>642</v>
      </c>
      <c r="F59" s="710" t="s">
        <v>642</v>
      </c>
      <c r="G59" s="710" t="s">
        <v>642</v>
      </c>
    </row>
    <row r="60" spans="1:7" x14ac:dyDescent="0.3">
      <c r="A60" s="735" t="s">
        <v>795</v>
      </c>
      <c r="B60" s="736">
        <v>5969.8</v>
      </c>
      <c r="C60" s="716">
        <v>5969.8</v>
      </c>
      <c r="D60" s="716">
        <v>5969.7</v>
      </c>
      <c r="E60" s="718">
        <v>5969.3</v>
      </c>
      <c r="F60" s="715" t="s">
        <v>642</v>
      </c>
      <c r="G60" s="715" t="s">
        <v>642</v>
      </c>
    </row>
    <row r="61" spans="1:7" x14ac:dyDescent="0.3">
      <c r="A61" s="733" t="s">
        <v>796</v>
      </c>
      <c r="B61" s="734">
        <v>8057</v>
      </c>
      <c r="C61" s="711">
        <v>2131</v>
      </c>
      <c r="D61" s="711">
        <v>4950</v>
      </c>
      <c r="E61" s="713">
        <v>4949.99</v>
      </c>
      <c r="F61" s="711">
        <v>4664.3900000000003</v>
      </c>
      <c r="G61" s="711">
        <v>6471.23</v>
      </c>
    </row>
    <row r="62" spans="1:7" x14ac:dyDescent="0.3">
      <c r="A62" s="733" t="s">
        <v>797</v>
      </c>
      <c r="B62" s="734">
        <v>8057</v>
      </c>
      <c r="C62" s="711">
        <v>2131</v>
      </c>
      <c r="D62" s="711">
        <v>4950</v>
      </c>
      <c r="E62" s="713">
        <v>4949.99</v>
      </c>
      <c r="F62" s="711">
        <v>4664.3900000000003</v>
      </c>
      <c r="G62" s="711">
        <v>6471.23</v>
      </c>
    </row>
    <row r="63" spans="1:7" x14ac:dyDescent="0.3">
      <c r="A63" s="733" t="s">
        <v>798</v>
      </c>
      <c r="B63" s="734">
        <v>8044.7</v>
      </c>
      <c r="C63" s="711">
        <v>2128.6</v>
      </c>
      <c r="D63" s="711">
        <v>4955.3900000000003</v>
      </c>
      <c r="E63" s="713">
        <v>4955.38</v>
      </c>
      <c r="F63" s="711">
        <v>4620.8500000000004</v>
      </c>
      <c r="G63" s="711">
        <v>6199.9</v>
      </c>
    </row>
    <row r="64" spans="1:7" x14ac:dyDescent="0.3">
      <c r="A64" s="733" t="s">
        <v>642</v>
      </c>
      <c r="B64" s="740" t="s">
        <v>642</v>
      </c>
      <c r="C64" s="710" t="s">
        <v>642</v>
      </c>
      <c r="D64" s="710" t="s">
        <v>642</v>
      </c>
      <c r="E64" s="712" t="s">
        <v>642</v>
      </c>
      <c r="F64" s="710" t="s">
        <v>642</v>
      </c>
      <c r="G64" s="710" t="s">
        <v>642</v>
      </c>
    </row>
    <row r="65" spans="1:7" x14ac:dyDescent="0.3">
      <c r="A65" s="733" t="s">
        <v>799</v>
      </c>
      <c r="B65" s="740" t="s">
        <v>642</v>
      </c>
      <c r="C65" s="710" t="s">
        <v>642</v>
      </c>
      <c r="D65" s="710" t="s">
        <v>642</v>
      </c>
      <c r="E65" s="712" t="s">
        <v>642</v>
      </c>
      <c r="F65" s="710" t="s">
        <v>642</v>
      </c>
      <c r="G65" s="710" t="s">
        <v>642</v>
      </c>
    </row>
    <row r="66" spans="1:7" x14ac:dyDescent="0.3">
      <c r="A66" s="735" t="s">
        <v>800</v>
      </c>
      <c r="B66" s="737" t="s">
        <v>801</v>
      </c>
      <c r="C66" s="715" t="s">
        <v>801</v>
      </c>
      <c r="D66" s="715" t="s">
        <v>801</v>
      </c>
      <c r="E66" s="717" t="s">
        <v>642</v>
      </c>
      <c r="F66" s="715" t="s">
        <v>642</v>
      </c>
      <c r="G66" s="715" t="s">
        <v>642</v>
      </c>
    </row>
    <row r="67" spans="1:7" x14ac:dyDescent="0.3">
      <c r="A67" s="735" t="s">
        <v>216</v>
      </c>
      <c r="B67" s="736">
        <v>82484.3</v>
      </c>
      <c r="C67" s="716">
        <v>45233.5</v>
      </c>
      <c r="D67" s="716">
        <v>75356.800000000003</v>
      </c>
      <c r="E67" s="718">
        <v>75356.800000000003</v>
      </c>
      <c r="F67" s="716">
        <v>78257.399999999994</v>
      </c>
      <c r="G67" s="716">
        <v>92948.5</v>
      </c>
    </row>
    <row r="68" spans="1:7" x14ac:dyDescent="0.3">
      <c r="A68" s="735" t="s">
        <v>802</v>
      </c>
      <c r="B68" s="737">
        <v>27.29</v>
      </c>
      <c r="C68" s="715">
        <v>17.47</v>
      </c>
      <c r="D68" s="715">
        <v>25.05</v>
      </c>
      <c r="E68" s="717">
        <v>25.05</v>
      </c>
      <c r="F68" s="715">
        <v>24.4</v>
      </c>
      <c r="G68" s="715">
        <v>27.25</v>
      </c>
    </row>
    <row r="69" spans="1:7" x14ac:dyDescent="0.3">
      <c r="A69" s="735" t="s">
        <v>803</v>
      </c>
      <c r="B69" s="736">
        <v>46532.2</v>
      </c>
      <c r="C69" s="716">
        <v>9701.1</v>
      </c>
      <c r="D69" s="716">
        <v>35706.800000000003</v>
      </c>
      <c r="E69" s="718">
        <v>35706.800000000003</v>
      </c>
      <c r="F69" s="715" t="s">
        <v>642</v>
      </c>
      <c r="G69" s="715" t="s">
        <v>642</v>
      </c>
    </row>
    <row r="70" spans="1:7" x14ac:dyDescent="0.3">
      <c r="A70" s="735" t="s">
        <v>460</v>
      </c>
      <c r="B70" s="736">
        <v>43376.6</v>
      </c>
      <c r="C70" s="716">
        <v>6567</v>
      </c>
      <c r="D70" s="716">
        <v>32726</v>
      </c>
      <c r="E70" s="718">
        <v>32726</v>
      </c>
      <c r="F70" s="716">
        <v>33880.1</v>
      </c>
      <c r="G70" s="716">
        <v>46020.800000000003</v>
      </c>
    </row>
    <row r="71" spans="1:7" x14ac:dyDescent="0.3">
      <c r="A71" s="735" t="s">
        <v>804</v>
      </c>
      <c r="B71" s="737">
        <v>37.119999999999997</v>
      </c>
      <c r="C71" s="715">
        <v>30.33</v>
      </c>
      <c r="D71" s="715">
        <v>37.99</v>
      </c>
      <c r="E71" s="717">
        <v>37.99</v>
      </c>
      <c r="F71" s="715">
        <v>36.64</v>
      </c>
      <c r="G71" s="715">
        <v>38.700000000000003</v>
      </c>
    </row>
    <row r="72" spans="1:7" x14ac:dyDescent="0.3">
      <c r="A72" s="735" t="s">
        <v>227</v>
      </c>
      <c r="B72" s="737">
        <v>14.35</v>
      </c>
      <c r="C72" s="715">
        <v>2.54</v>
      </c>
      <c r="D72" s="715">
        <v>10.88</v>
      </c>
      <c r="E72" s="717">
        <v>10.88</v>
      </c>
      <c r="F72" s="715">
        <v>10.56</v>
      </c>
      <c r="G72" s="715">
        <v>13.49</v>
      </c>
    </row>
    <row r="73" spans="1:7" x14ac:dyDescent="0.3">
      <c r="A73" s="735" t="s">
        <v>197</v>
      </c>
      <c r="B73" s="737">
        <v>18.079999999999998</v>
      </c>
      <c r="C73" s="715">
        <v>5.58</v>
      </c>
      <c r="D73" s="715">
        <v>11.19</v>
      </c>
      <c r="E73" s="717">
        <v>11.19</v>
      </c>
      <c r="F73" s="715">
        <v>9.41</v>
      </c>
      <c r="G73" s="715">
        <v>12.06</v>
      </c>
    </row>
    <row r="74" spans="1:7" x14ac:dyDescent="0.3">
      <c r="A74" s="735" t="s">
        <v>1183</v>
      </c>
      <c r="B74" s="737" t="s">
        <v>741</v>
      </c>
      <c r="C74" s="716">
        <v>966682199.65999997</v>
      </c>
      <c r="D74" s="715" t="s">
        <v>741</v>
      </c>
      <c r="E74" s="717" t="s">
        <v>642</v>
      </c>
      <c r="F74" s="715" t="s">
        <v>642</v>
      </c>
      <c r="G74" s="715" t="s">
        <v>642</v>
      </c>
    </row>
    <row r="75" spans="1:7" x14ac:dyDescent="0.3">
      <c r="A75" s="735" t="s">
        <v>805</v>
      </c>
      <c r="B75" s="736">
        <v>1444</v>
      </c>
      <c r="C75" s="716">
        <v>1444</v>
      </c>
      <c r="D75" s="716">
        <v>1446</v>
      </c>
      <c r="E75" s="718">
        <v>1446</v>
      </c>
      <c r="F75" s="716">
        <v>1458.34</v>
      </c>
      <c r="G75" s="716">
        <v>1527.41</v>
      </c>
    </row>
    <row r="76" spans="1:7" x14ac:dyDescent="0.3">
      <c r="A76" s="735" t="s">
        <v>806</v>
      </c>
      <c r="B76" s="736">
        <v>8620.4</v>
      </c>
      <c r="C76" s="716">
        <v>8620.4</v>
      </c>
      <c r="D76" s="716">
        <v>8621.5</v>
      </c>
      <c r="E76" s="718">
        <v>8621.5</v>
      </c>
      <c r="F76" s="715" t="s">
        <v>642</v>
      </c>
      <c r="G76" s="715" t="s">
        <v>642</v>
      </c>
    </row>
    <row r="77" spans="1:7" x14ac:dyDescent="0.3">
      <c r="A77" s="735" t="s">
        <v>807</v>
      </c>
      <c r="B77" s="737">
        <v>41.6</v>
      </c>
      <c r="C77" s="715">
        <v>204.8</v>
      </c>
      <c r="D77" s="715">
        <v>515.79999999999995</v>
      </c>
      <c r="E77" s="717" t="s">
        <v>642</v>
      </c>
      <c r="F77" s="715" t="s">
        <v>642</v>
      </c>
      <c r="G77" s="715" t="s">
        <v>642</v>
      </c>
    </row>
    <row r="78" spans="1:7" x14ac:dyDescent="0.3">
      <c r="A78" s="735" t="s">
        <v>808</v>
      </c>
      <c r="B78" s="736">
        <v>37610.300000000003</v>
      </c>
      <c r="C78" s="716">
        <v>38035.599999999999</v>
      </c>
      <c r="D78" s="716">
        <v>41272.300000000003</v>
      </c>
      <c r="E78" s="718">
        <v>41272.300000000003</v>
      </c>
      <c r="F78" s="715" t="s">
        <v>642</v>
      </c>
      <c r="G78" s="715" t="s">
        <v>642</v>
      </c>
    </row>
    <row r="79" spans="1:7" x14ac:dyDescent="0.3">
      <c r="A79" s="735" t="s">
        <v>809</v>
      </c>
      <c r="B79" s="737" t="s">
        <v>741</v>
      </c>
      <c r="C79" s="715" t="s">
        <v>741</v>
      </c>
      <c r="D79" s="715" t="s">
        <v>741</v>
      </c>
      <c r="E79" s="717" t="s">
        <v>642</v>
      </c>
      <c r="F79" s="715" t="s">
        <v>642</v>
      </c>
      <c r="G79" s="715" t="s">
        <v>642</v>
      </c>
    </row>
    <row r="80" spans="1:7" x14ac:dyDescent="0.3">
      <c r="A80" s="735" t="s">
        <v>484</v>
      </c>
      <c r="B80" s="736">
        <v>35952.1</v>
      </c>
      <c r="C80" s="716">
        <v>35532.400000000001</v>
      </c>
      <c r="D80" s="716">
        <v>39650</v>
      </c>
      <c r="E80" s="718">
        <v>39650</v>
      </c>
      <c r="F80" s="715" t="s">
        <v>642</v>
      </c>
      <c r="G80" s="715" t="s">
        <v>642</v>
      </c>
    </row>
    <row r="81" spans="1:7" x14ac:dyDescent="0.3">
      <c r="A81" s="735" t="s">
        <v>810</v>
      </c>
      <c r="B81" s="737">
        <v>211.3</v>
      </c>
      <c r="C81" s="715">
        <v>158.4</v>
      </c>
      <c r="D81" s="715">
        <v>159.30000000000001</v>
      </c>
      <c r="E81" s="717" t="s">
        <v>642</v>
      </c>
      <c r="F81" s="715" t="s">
        <v>642</v>
      </c>
      <c r="G81" s="715" t="s">
        <v>642</v>
      </c>
    </row>
    <row r="82" spans="1:7" ht="26" x14ac:dyDescent="0.3">
      <c r="A82" s="741" t="s">
        <v>811</v>
      </c>
      <c r="B82" s="741" t="s">
        <v>812</v>
      </c>
      <c r="C82" s="724"/>
      <c r="D82" s="724"/>
      <c r="E82" s="724"/>
      <c r="F82" s="724"/>
      <c r="G82" s="723" t="s">
        <v>642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99"/>
  <sheetViews>
    <sheetView workbookViewId="0"/>
  </sheetViews>
  <sheetFormatPr defaultRowHeight="14" x14ac:dyDescent="0.3"/>
  <cols>
    <col min="1" max="1" width="36" bestFit="1" customWidth="1"/>
    <col min="2" max="3" width="10.25" hidden="1" customWidth="1"/>
    <col min="4" max="4" width="10.25" bestFit="1" customWidth="1"/>
  </cols>
  <sheetData>
    <row r="1" spans="1:5" ht="14.5" x14ac:dyDescent="0.35">
      <c r="A1" s="725" t="s">
        <v>642</v>
      </c>
      <c r="B1" s="701" t="s">
        <v>642</v>
      </c>
      <c r="C1" s="701" t="s">
        <v>642</v>
      </c>
      <c r="D1" s="701" t="s">
        <v>642</v>
      </c>
    </row>
    <row r="2" spans="1:5" ht="60" x14ac:dyDescent="0.4">
      <c r="A2" s="726" t="s">
        <v>1199</v>
      </c>
      <c r="B2" s="703"/>
      <c r="C2" s="703"/>
      <c r="D2" s="702" t="s">
        <v>642</v>
      </c>
      <c r="E2" s="702" t="s">
        <v>642</v>
      </c>
    </row>
    <row r="3" spans="1:5" x14ac:dyDescent="0.3">
      <c r="A3" s="728" t="s">
        <v>642</v>
      </c>
      <c r="B3" s="704" t="s">
        <v>642</v>
      </c>
      <c r="C3" s="704" t="s">
        <v>642</v>
      </c>
      <c r="D3" s="704" t="s">
        <v>642</v>
      </c>
    </row>
    <row r="4" spans="1:5" x14ac:dyDescent="0.3">
      <c r="A4" s="729" t="s">
        <v>723</v>
      </c>
      <c r="B4" s="706" t="s">
        <v>732</v>
      </c>
      <c r="C4" s="706" t="s">
        <v>733</v>
      </c>
      <c r="D4" s="706" t="s">
        <v>734</v>
      </c>
    </row>
    <row r="5" spans="1:5" x14ac:dyDescent="0.3">
      <c r="A5" s="731" t="s">
        <v>738</v>
      </c>
      <c r="B5" s="709">
        <v>44926</v>
      </c>
      <c r="C5" s="709">
        <v>45291</v>
      </c>
      <c r="D5" s="709">
        <v>45657</v>
      </c>
    </row>
    <row r="6" spans="1:5" x14ac:dyDescent="0.3">
      <c r="A6" s="733" t="s">
        <v>292</v>
      </c>
      <c r="B6" s="710" t="s">
        <v>642</v>
      </c>
      <c r="C6" s="710" t="s">
        <v>642</v>
      </c>
      <c r="D6" s="710" t="s">
        <v>642</v>
      </c>
    </row>
    <row r="7" spans="1:5" x14ac:dyDescent="0.3">
      <c r="A7" s="735" t="s">
        <v>814</v>
      </c>
      <c r="B7" s="716">
        <v>115227.3</v>
      </c>
      <c r="C7" s="716">
        <v>92407.2</v>
      </c>
      <c r="D7" s="716">
        <v>112651.8</v>
      </c>
    </row>
    <row r="8" spans="1:5" x14ac:dyDescent="0.3">
      <c r="A8" s="735" t="s">
        <v>815</v>
      </c>
      <c r="B8" s="716">
        <v>49680.7</v>
      </c>
      <c r="C8" s="716">
        <v>69080.899999999994</v>
      </c>
      <c r="D8" s="716">
        <v>53705.599999999999</v>
      </c>
    </row>
    <row r="9" spans="1:5" x14ac:dyDescent="0.3">
      <c r="A9" s="735" t="s">
        <v>816</v>
      </c>
      <c r="B9" s="716">
        <v>65546.600000000006</v>
      </c>
      <c r="C9" s="716">
        <v>23326.3</v>
      </c>
      <c r="D9" s="716">
        <v>58946.2</v>
      </c>
    </row>
    <row r="10" spans="1:5" x14ac:dyDescent="0.3">
      <c r="A10" s="735" t="s">
        <v>817</v>
      </c>
      <c r="B10" s="716">
        <v>35721.599999999999</v>
      </c>
      <c r="C10" s="716">
        <v>36647.4</v>
      </c>
      <c r="D10" s="716">
        <v>43623.1</v>
      </c>
    </row>
    <row r="11" spans="1:5" x14ac:dyDescent="0.3">
      <c r="A11" s="735" t="s">
        <v>818</v>
      </c>
      <c r="B11" s="716">
        <v>35721.599999999999</v>
      </c>
      <c r="C11" s="716">
        <v>36647.4</v>
      </c>
      <c r="D11" s="716">
        <v>43623.1</v>
      </c>
    </row>
    <row r="12" spans="1:5" x14ac:dyDescent="0.3">
      <c r="A12" s="735" t="s">
        <v>819</v>
      </c>
      <c r="B12" s="715">
        <v>0</v>
      </c>
      <c r="C12" s="715">
        <v>0</v>
      </c>
      <c r="D12" s="715">
        <v>0</v>
      </c>
    </row>
    <row r="13" spans="1:5" x14ac:dyDescent="0.3">
      <c r="A13" s="735" t="s">
        <v>821</v>
      </c>
      <c r="B13" s="716">
        <v>52187.9</v>
      </c>
      <c r="C13" s="716">
        <v>51625.9</v>
      </c>
      <c r="D13" s="716">
        <v>51754.9</v>
      </c>
    </row>
    <row r="14" spans="1:5" x14ac:dyDescent="0.3">
      <c r="A14" s="735" t="s">
        <v>822</v>
      </c>
      <c r="B14" s="716">
        <v>14979.3</v>
      </c>
      <c r="C14" s="716">
        <v>13697.4</v>
      </c>
      <c r="D14" s="716">
        <v>14146.3</v>
      </c>
    </row>
    <row r="15" spans="1:5" x14ac:dyDescent="0.3">
      <c r="A15" s="735" t="s">
        <v>823</v>
      </c>
      <c r="B15" s="716">
        <v>20077.5</v>
      </c>
      <c r="C15" s="716">
        <v>22198.400000000001</v>
      </c>
      <c r="D15" s="716">
        <v>22340.5</v>
      </c>
    </row>
    <row r="16" spans="1:5" x14ac:dyDescent="0.3">
      <c r="A16" s="735" t="s">
        <v>824</v>
      </c>
      <c r="B16" s="716">
        <v>17131.099999999999</v>
      </c>
      <c r="C16" s="716">
        <v>15730.1</v>
      </c>
      <c r="D16" s="716">
        <v>15268.1</v>
      </c>
    </row>
    <row r="17" spans="1:4" x14ac:dyDescent="0.3">
      <c r="A17" s="735" t="s">
        <v>825</v>
      </c>
      <c r="B17" s="715">
        <v>0</v>
      </c>
      <c r="C17" s="715">
        <v>0</v>
      </c>
      <c r="D17" s="715">
        <v>0</v>
      </c>
    </row>
    <row r="18" spans="1:4" x14ac:dyDescent="0.3">
      <c r="A18" s="735" t="s">
        <v>826</v>
      </c>
      <c r="B18" s="716">
        <v>15333.9</v>
      </c>
      <c r="C18" s="716">
        <v>15256.1</v>
      </c>
      <c r="D18" s="716">
        <v>19032.5</v>
      </c>
    </row>
    <row r="19" spans="1:4" x14ac:dyDescent="0.3">
      <c r="A19" s="735" t="s">
        <v>827</v>
      </c>
      <c r="B19" s="716">
        <v>2867.8</v>
      </c>
      <c r="C19" s="716">
        <v>3366.1</v>
      </c>
      <c r="D19" s="716">
        <v>3362.8</v>
      </c>
    </row>
    <row r="20" spans="1:4" x14ac:dyDescent="0.3">
      <c r="A20" s="735" t="s">
        <v>780</v>
      </c>
      <c r="B20" s="715" t="s">
        <v>741</v>
      </c>
      <c r="C20" s="715">
        <v>217.9</v>
      </c>
      <c r="D20" s="715" t="s">
        <v>741</v>
      </c>
    </row>
    <row r="21" spans="1:4" x14ac:dyDescent="0.3">
      <c r="A21" s="735" t="s">
        <v>830</v>
      </c>
      <c r="B21" s="716">
        <v>12466</v>
      </c>
      <c r="C21" s="716">
        <v>11672.1</v>
      </c>
      <c r="D21" s="716">
        <v>15669.7</v>
      </c>
    </row>
    <row r="22" spans="1:4" x14ac:dyDescent="0.3">
      <c r="A22" s="733" t="s">
        <v>831</v>
      </c>
      <c r="B22" s="711">
        <v>218470.6</v>
      </c>
      <c r="C22" s="711">
        <v>195936.6</v>
      </c>
      <c r="D22" s="711">
        <v>227062.3</v>
      </c>
    </row>
    <row r="23" spans="1:4" x14ac:dyDescent="0.3">
      <c r="A23" s="735" t="s">
        <v>832</v>
      </c>
      <c r="B23" s="716">
        <v>168045.4</v>
      </c>
      <c r="C23" s="716">
        <v>187256.3</v>
      </c>
      <c r="D23" s="716">
        <v>205945.2</v>
      </c>
    </row>
    <row r="24" spans="1:4" x14ac:dyDescent="0.3">
      <c r="A24" s="735" t="s">
        <v>833</v>
      </c>
      <c r="B24" s="716">
        <v>427462.7</v>
      </c>
      <c r="C24" s="716">
        <v>473029.8</v>
      </c>
      <c r="D24" s="716">
        <v>534909.30000000005</v>
      </c>
    </row>
    <row r="25" spans="1:4" x14ac:dyDescent="0.3">
      <c r="A25" s="735" t="s">
        <v>834</v>
      </c>
      <c r="B25" s="716">
        <v>259417.3</v>
      </c>
      <c r="C25" s="716">
        <v>285773.5</v>
      </c>
      <c r="D25" s="716">
        <v>328964.09999999998</v>
      </c>
    </row>
    <row r="26" spans="1:4" x14ac:dyDescent="0.3">
      <c r="A26" s="735" t="s">
        <v>835</v>
      </c>
      <c r="B26" s="716">
        <v>12802.5</v>
      </c>
      <c r="C26" s="716">
        <v>8912.7000000000007</v>
      </c>
      <c r="D26" s="716">
        <v>11756.7</v>
      </c>
    </row>
    <row r="27" spans="1:4" x14ac:dyDescent="0.3">
      <c r="A27" s="735" t="s">
        <v>836</v>
      </c>
      <c r="B27" s="716">
        <v>12802.5</v>
      </c>
      <c r="C27" s="716">
        <v>8912.7000000000007</v>
      </c>
      <c r="D27" s="716">
        <v>11756.7</v>
      </c>
    </row>
    <row r="28" spans="1:4" x14ac:dyDescent="0.3">
      <c r="A28" s="735" t="s">
        <v>838</v>
      </c>
      <c r="B28" s="716">
        <v>49106.1</v>
      </c>
      <c r="C28" s="716">
        <v>63800.5</v>
      </c>
      <c r="D28" s="716">
        <v>69767.8</v>
      </c>
    </row>
    <row r="29" spans="1:4" x14ac:dyDescent="0.3">
      <c r="A29" s="735" t="s">
        <v>839</v>
      </c>
      <c r="B29" s="716">
        <v>20217.8</v>
      </c>
      <c r="C29" s="716">
        <v>22741.9</v>
      </c>
      <c r="D29" s="716">
        <v>23738.6</v>
      </c>
    </row>
    <row r="30" spans="1:4" x14ac:dyDescent="0.3">
      <c r="A30" s="738" t="s">
        <v>840</v>
      </c>
      <c r="B30" s="721">
        <v>6014.4</v>
      </c>
      <c r="C30" s="721">
        <v>6457.6</v>
      </c>
      <c r="D30" s="721">
        <v>7168.5</v>
      </c>
    </row>
    <row r="31" spans="1:4" x14ac:dyDescent="0.3">
      <c r="A31" s="738" t="s">
        <v>841</v>
      </c>
      <c r="B31" s="721">
        <v>14203.3</v>
      </c>
      <c r="C31" s="721">
        <v>16284.2</v>
      </c>
      <c r="D31" s="721">
        <v>16570</v>
      </c>
    </row>
    <row r="32" spans="1:4" x14ac:dyDescent="0.3">
      <c r="A32" s="735" t="s">
        <v>842</v>
      </c>
      <c r="B32" s="715" t="s">
        <v>741</v>
      </c>
      <c r="C32" s="715" t="s">
        <v>741</v>
      </c>
      <c r="D32" s="715" t="s">
        <v>741</v>
      </c>
    </row>
    <row r="33" spans="1:4" x14ac:dyDescent="0.3">
      <c r="A33" s="735" t="s">
        <v>843</v>
      </c>
      <c r="B33" s="716">
        <v>5101.3</v>
      </c>
      <c r="C33" s="716">
        <v>10211.799999999999</v>
      </c>
      <c r="D33" s="716">
        <v>14236.5</v>
      </c>
    </row>
    <row r="34" spans="1:4" x14ac:dyDescent="0.3">
      <c r="A34" s="735" t="s">
        <v>828</v>
      </c>
      <c r="B34" s="715" t="s">
        <v>741</v>
      </c>
      <c r="C34" s="715" t="s">
        <v>741</v>
      </c>
      <c r="D34" s="715">
        <v>0</v>
      </c>
    </row>
    <row r="35" spans="1:4" x14ac:dyDescent="0.3">
      <c r="A35" s="735" t="s">
        <v>844</v>
      </c>
      <c r="B35" s="716">
        <v>5852</v>
      </c>
      <c r="C35" s="716">
        <v>4905.2</v>
      </c>
      <c r="D35" s="716">
        <v>3089.6</v>
      </c>
    </row>
    <row r="36" spans="1:4" x14ac:dyDescent="0.3">
      <c r="A36" s="735" t="s">
        <v>845</v>
      </c>
      <c r="B36" s="716">
        <v>10893.9</v>
      </c>
      <c r="C36" s="716">
        <v>11767.4</v>
      </c>
      <c r="D36" s="716">
        <v>12592.1</v>
      </c>
    </row>
    <row r="37" spans="1:4" x14ac:dyDescent="0.3">
      <c r="A37" s="735" t="s">
        <v>846</v>
      </c>
      <c r="B37" s="716">
        <v>7041.1</v>
      </c>
      <c r="C37" s="716">
        <v>14174.1</v>
      </c>
      <c r="D37" s="716">
        <v>16111.1</v>
      </c>
    </row>
    <row r="38" spans="1:4" x14ac:dyDescent="0.3">
      <c r="A38" s="733" t="s">
        <v>847</v>
      </c>
      <c r="B38" s="711">
        <v>229953.9</v>
      </c>
      <c r="C38" s="711">
        <v>259969.4</v>
      </c>
      <c r="D38" s="711">
        <v>287469.7</v>
      </c>
    </row>
    <row r="39" spans="1:4" x14ac:dyDescent="0.3">
      <c r="A39" s="733" t="s">
        <v>292</v>
      </c>
      <c r="B39" s="711">
        <v>448424.5</v>
      </c>
      <c r="C39" s="711">
        <v>455906</v>
      </c>
      <c r="D39" s="711">
        <v>514531.9</v>
      </c>
    </row>
    <row r="40" spans="1:4" x14ac:dyDescent="0.3">
      <c r="A40" s="733" t="s">
        <v>642</v>
      </c>
      <c r="B40" s="710" t="s">
        <v>642</v>
      </c>
      <c r="C40" s="710" t="s">
        <v>642</v>
      </c>
      <c r="D40" s="710" t="s">
        <v>642</v>
      </c>
    </row>
    <row r="41" spans="1:4" x14ac:dyDescent="0.3">
      <c r="A41" s="733" t="s">
        <v>848</v>
      </c>
      <c r="B41" s="710" t="s">
        <v>642</v>
      </c>
      <c r="C41" s="710" t="s">
        <v>642</v>
      </c>
      <c r="D41" s="710" t="s">
        <v>642</v>
      </c>
    </row>
    <row r="42" spans="1:4" x14ac:dyDescent="0.3">
      <c r="A42" s="735" t="s">
        <v>849</v>
      </c>
      <c r="B42" s="716">
        <v>61698.9</v>
      </c>
      <c r="C42" s="716">
        <v>56015.9</v>
      </c>
      <c r="D42" s="716">
        <v>64871</v>
      </c>
    </row>
    <row r="43" spans="1:4" x14ac:dyDescent="0.3">
      <c r="A43" s="735" t="s">
        <v>850</v>
      </c>
      <c r="B43" s="716">
        <v>10644.7</v>
      </c>
      <c r="C43" s="716">
        <v>11319.8</v>
      </c>
      <c r="D43" s="716">
        <v>12370.2</v>
      </c>
    </row>
    <row r="44" spans="1:4" x14ac:dyDescent="0.3">
      <c r="A44" s="735" t="s">
        <v>851</v>
      </c>
      <c r="B44" s="716">
        <v>4250.3999999999996</v>
      </c>
      <c r="C44" s="716">
        <v>3358.7</v>
      </c>
      <c r="D44" s="716">
        <v>4340.2</v>
      </c>
    </row>
    <row r="45" spans="1:4" x14ac:dyDescent="0.3">
      <c r="A45" s="735" t="s">
        <v>852</v>
      </c>
      <c r="B45" s="716">
        <v>46803.9</v>
      </c>
      <c r="C45" s="716">
        <v>41337.4</v>
      </c>
      <c r="D45" s="716">
        <v>48160.6</v>
      </c>
    </row>
    <row r="46" spans="1:4" x14ac:dyDescent="0.3">
      <c r="A46" s="735" t="s">
        <v>853</v>
      </c>
      <c r="B46" s="716">
        <v>6236.5</v>
      </c>
      <c r="C46" s="716">
        <v>8423.5</v>
      </c>
      <c r="D46" s="716">
        <v>15379.8</v>
      </c>
    </row>
    <row r="47" spans="1:4" x14ac:dyDescent="0.3">
      <c r="A47" s="735" t="s">
        <v>854</v>
      </c>
      <c r="B47" s="716">
        <v>5147.3</v>
      </c>
      <c r="C47" s="716">
        <v>7114.6</v>
      </c>
      <c r="D47" s="716">
        <v>13172.5</v>
      </c>
    </row>
    <row r="48" spans="1:4" x14ac:dyDescent="0.3">
      <c r="A48" s="735" t="s">
        <v>855</v>
      </c>
      <c r="B48" s="715">
        <v>874</v>
      </c>
      <c r="C48" s="715">
        <v>998.4</v>
      </c>
      <c r="D48" s="716">
        <v>1100.5</v>
      </c>
    </row>
    <row r="49" spans="1:4" x14ac:dyDescent="0.3">
      <c r="A49" s="738" t="s">
        <v>1189</v>
      </c>
      <c r="B49" s="719" t="s">
        <v>741</v>
      </c>
      <c r="C49" s="719" t="s">
        <v>741</v>
      </c>
      <c r="D49" s="719" t="s">
        <v>741</v>
      </c>
    </row>
    <row r="50" spans="1:4" x14ac:dyDescent="0.3">
      <c r="A50" s="735" t="s">
        <v>856</v>
      </c>
      <c r="B50" s="715">
        <v>215.1</v>
      </c>
      <c r="C50" s="715">
        <v>310.39999999999998</v>
      </c>
      <c r="D50" s="716">
        <v>1106.8</v>
      </c>
    </row>
    <row r="51" spans="1:4" x14ac:dyDescent="0.3">
      <c r="A51" s="735" t="s">
        <v>857</v>
      </c>
      <c r="B51" s="716">
        <v>10409.4</v>
      </c>
      <c r="C51" s="716">
        <v>11280</v>
      </c>
      <c r="D51" s="716">
        <v>13075.5</v>
      </c>
    </row>
    <row r="52" spans="1:4" x14ac:dyDescent="0.3">
      <c r="A52" s="735" t="s">
        <v>858</v>
      </c>
      <c r="B52" s="716">
        <v>2613.1999999999998</v>
      </c>
      <c r="C52" s="716">
        <v>2385</v>
      </c>
      <c r="D52" s="716">
        <v>2833.2</v>
      </c>
    </row>
    <row r="53" spans="1:4" x14ac:dyDescent="0.3">
      <c r="A53" s="735" t="s">
        <v>859</v>
      </c>
      <c r="B53" s="715" t="s">
        <v>741</v>
      </c>
      <c r="C53" s="715" t="s">
        <v>741</v>
      </c>
      <c r="D53" s="715">
        <v>0</v>
      </c>
    </row>
    <row r="54" spans="1:4" x14ac:dyDescent="0.3">
      <c r="A54" s="735" t="s">
        <v>780</v>
      </c>
      <c r="B54" s="715" t="s">
        <v>741</v>
      </c>
      <c r="C54" s="715">
        <v>61.7</v>
      </c>
      <c r="D54" s="715" t="s">
        <v>741</v>
      </c>
    </row>
    <row r="55" spans="1:4" x14ac:dyDescent="0.3">
      <c r="A55" s="735" t="s">
        <v>860</v>
      </c>
      <c r="B55" s="716">
        <v>7796.3</v>
      </c>
      <c r="C55" s="716">
        <v>8833.2999999999993</v>
      </c>
      <c r="D55" s="716">
        <v>10242.299999999999</v>
      </c>
    </row>
    <row r="56" spans="1:4" x14ac:dyDescent="0.3">
      <c r="A56" s="733" t="s">
        <v>861</v>
      </c>
      <c r="B56" s="711">
        <v>78344.899999999994</v>
      </c>
      <c r="C56" s="711">
        <v>75719.5</v>
      </c>
      <c r="D56" s="711">
        <v>93326.3</v>
      </c>
    </row>
    <row r="57" spans="1:4" x14ac:dyDescent="0.3">
      <c r="A57" s="735" t="s">
        <v>862</v>
      </c>
      <c r="B57" s="716">
        <v>4096.8</v>
      </c>
      <c r="C57" s="716">
        <v>4262.5</v>
      </c>
      <c r="D57" s="716">
        <v>3950.4</v>
      </c>
    </row>
    <row r="58" spans="1:4" x14ac:dyDescent="0.3">
      <c r="A58" s="735" t="s">
        <v>863</v>
      </c>
      <c r="B58" s="715">
        <v>569.9</v>
      </c>
      <c r="C58" s="715">
        <v>537.6</v>
      </c>
      <c r="D58" s="715">
        <v>21.1</v>
      </c>
    </row>
    <row r="59" spans="1:4" x14ac:dyDescent="0.3">
      <c r="A59" s="735" t="s">
        <v>864</v>
      </c>
      <c r="B59" s="716">
        <v>3526.8</v>
      </c>
      <c r="C59" s="716">
        <v>3724.9</v>
      </c>
      <c r="D59" s="716">
        <v>3929.3</v>
      </c>
    </row>
    <row r="60" spans="1:4" x14ac:dyDescent="0.3">
      <c r="A60" s="738" t="s">
        <v>1191</v>
      </c>
      <c r="B60" s="719" t="s">
        <v>741</v>
      </c>
      <c r="C60" s="719" t="s">
        <v>741</v>
      </c>
      <c r="D60" s="719" t="s">
        <v>741</v>
      </c>
    </row>
    <row r="61" spans="1:4" x14ac:dyDescent="0.3">
      <c r="A61" s="735" t="s">
        <v>865</v>
      </c>
      <c r="B61" s="716">
        <v>11233.3</v>
      </c>
      <c r="C61" s="716">
        <v>12246.2</v>
      </c>
      <c r="D61" s="716">
        <v>15063.2</v>
      </c>
    </row>
    <row r="62" spans="1:4" x14ac:dyDescent="0.3">
      <c r="A62" s="735" t="s">
        <v>866</v>
      </c>
      <c r="B62" s="716">
        <v>2753.3</v>
      </c>
      <c r="C62" s="716">
        <v>5488.3</v>
      </c>
      <c r="D62" s="716">
        <v>5510.5</v>
      </c>
    </row>
    <row r="63" spans="1:4" x14ac:dyDescent="0.3">
      <c r="A63" s="735" t="s">
        <v>867</v>
      </c>
      <c r="B63" s="715">
        <v>268.39999999999998</v>
      </c>
      <c r="C63" s="715">
        <v>456.6</v>
      </c>
      <c r="D63" s="715">
        <v>521.4</v>
      </c>
    </row>
    <row r="64" spans="1:4" x14ac:dyDescent="0.3">
      <c r="A64" s="738" t="s">
        <v>868</v>
      </c>
      <c r="B64" s="719">
        <v>268.39999999999998</v>
      </c>
      <c r="C64" s="719">
        <v>456.6</v>
      </c>
      <c r="D64" s="719">
        <v>521.4</v>
      </c>
    </row>
    <row r="65" spans="1:4" x14ac:dyDescent="0.3">
      <c r="A65" s="738" t="s">
        <v>869</v>
      </c>
      <c r="B65" s="719">
        <v>0</v>
      </c>
      <c r="C65" s="719">
        <v>0</v>
      </c>
      <c r="D65" s="719">
        <v>0</v>
      </c>
    </row>
    <row r="66" spans="1:4" x14ac:dyDescent="0.3">
      <c r="A66" s="735" t="s">
        <v>858</v>
      </c>
      <c r="B66" s="715">
        <v>0</v>
      </c>
      <c r="C66" s="715">
        <v>0</v>
      </c>
      <c r="D66" s="715">
        <v>0</v>
      </c>
    </row>
    <row r="67" spans="1:4" x14ac:dyDescent="0.3">
      <c r="A67" s="735" t="s">
        <v>870</v>
      </c>
      <c r="B67" s="716">
        <v>5111.3</v>
      </c>
      <c r="C67" s="715">
        <v>620.5</v>
      </c>
      <c r="D67" s="715">
        <v>528.20000000000005</v>
      </c>
    </row>
    <row r="68" spans="1:4" x14ac:dyDescent="0.3">
      <c r="A68" s="735" t="s">
        <v>859</v>
      </c>
      <c r="B68" s="715" t="s">
        <v>741</v>
      </c>
      <c r="C68" s="715" t="s">
        <v>741</v>
      </c>
      <c r="D68" s="715">
        <v>0</v>
      </c>
    </row>
    <row r="69" spans="1:4" x14ac:dyDescent="0.3">
      <c r="A69" s="735" t="s">
        <v>871</v>
      </c>
      <c r="B69" s="716">
        <v>3100.3</v>
      </c>
      <c r="C69" s="716">
        <v>5680.8</v>
      </c>
      <c r="D69" s="716">
        <v>8503.1</v>
      </c>
    </row>
    <row r="70" spans="1:4" x14ac:dyDescent="0.3">
      <c r="A70" s="733" t="s">
        <v>872</v>
      </c>
      <c r="B70" s="711">
        <v>15330.1</v>
      </c>
      <c r="C70" s="711">
        <v>16508.7</v>
      </c>
      <c r="D70" s="711">
        <v>19013.599999999999</v>
      </c>
    </row>
    <row r="71" spans="1:4" x14ac:dyDescent="0.3">
      <c r="A71" s="733" t="s">
        <v>458</v>
      </c>
      <c r="B71" s="711">
        <v>93674.9</v>
      </c>
      <c r="C71" s="711">
        <v>92228.1</v>
      </c>
      <c r="D71" s="711">
        <v>112339.9</v>
      </c>
    </row>
    <row r="72" spans="1:4" x14ac:dyDescent="0.3">
      <c r="A72" s="735" t="s">
        <v>873</v>
      </c>
      <c r="B72" s="715">
        <v>119.5</v>
      </c>
      <c r="C72" s="715">
        <v>119.5</v>
      </c>
      <c r="D72" s="715">
        <v>119.5</v>
      </c>
    </row>
    <row r="73" spans="1:4" x14ac:dyDescent="0.3">
      <c r="A73" s="735" t="s">
        <v>874</v>
      </c>
      <c r="B73" s="716">
        <v>5181.8999999999996</v>
      </c>
      <c r="C73" s="716">
        <v>5181.8999999999996</v>
      </c>
      <c r="D73" s="716">
        <v>5181.8999999999996</v>
      </c>
    </row>
    <row r="74" spans="1:4" x14ac:dyDescent="0.3">
      <c r="A74" s="735" t="s">
        <v>875</v>
      </c>
      <c r="B74" s="715">
        <v>778</v>
      </c>
      <c r="C74" s="715">
        <v>778</v>
      </c>
      <c r="D74" s="715">
        <v>778</v>
      </c>
    </row>
    <row r="75" spans="1:4" x14ac:dyDescent="0.3">
      <c r="A75" s="735" t="s">
        <v>876</v>
      </c>
      <c r="B75" s="716">
        <v>4403.8999999999996</v>
      </c>
      <c r="C75" s="716">
        <v>4403.8999999999996</v>
      </c>
      <c r="D75" s="716">
        <v>4403.8999999999996</v>
      </c>
    </row>
    <row r="76" spans="1:4" x14ac:dyDescent="0.3">
      <c r="A76" s="735" t="s">
        <v>878</v>
      </c>
      <c r="B76" s="715">
        <v>0</v>
      </c>
      <c r="C76" s="715">
        <v>0</v>
      </c>
      <c r="D76" s="716">
        <v>1811.8</v>
      </c>
    </row>
    <row r="77" spans="1:4" x14ac:dyDescent="0.3">
      <c r="A77" s="735" t="s">
        <v>879</v>
      </c>
      <c r="B77" s="716">
        <v>337946.4</v>
      </c>
      <c r="C77" s="716">
        <v>346652.2</v>
      </c>
      <c r="D77" s="716">
        <v>370513.2</v>
      </c>
    </row>
    <row r="78" spans="1:4" x14ac:dyDescent="0.3">
      <c r="A78" s="735" t="s">
        <v>880</v>
      </c>
      <c r="B78" s="716">
        <v>1938.3</v>
      </c>
      <c r="C78" s="716">
        <v>1280.0999999999999</v>
      </c>
      <c r="D78" s="716">
        <v>17684.8</v>
      </c>
    </row>
    <row r="79" spans="1:4" x14ac:dyDescent="0.3">
      <c r="A79" s="733" t="s">
        <v>881</v>
      </c>
      <c r="B79" s="711">
        <v>345186.1</v>
      </c>
      <c r="C79" s="711">
        <v>353233.8</v>
      </c>
      <c r="D79" s="711">
        <v>391687.6</v>
      </c>
    </row>
    <row r="80" spans="1:4" x14ac:dyDescent="0.3">
      <c r="A80" s="735" t="s">
        <v>882</v>
      </c>
      <c r="B80" s="716">
        <v>9563.5</v>
      </c>
      <c r="C80" s="716">
        <v>10444.1</v>
      </c>
      <c r="D80" s="716">
        <v>10504.5</v>
      </c>
    </row>
    <row r="81" spans="1:4" x14ac:dyDescent="0.3">
      <c r="A81" s="733" t="s">
        <v>883</v>
      </c>
      <c r="B81" s="711">
        <v>354749.6</v>
      </c>
      <c r="C81" s="711">
        <v>363677.9</v>
      </c>
      <c r="D81" s="711">
        <v>402192.1</v>
      </c>
    </row>
    <row r="82" spans="1:4" x14ac:dyDescent="0.3">
      <c r="A82" s="733" t="s">
        <v>884</v>
      </c>
      <c r="B82" s="711">
        <v>448424.5</v>
      </c>
      <c r="C82" s="711">
        <v>455906</v>
      </c>
      <c r="D82" s="711">
        <v>514531.9</v>
      </c>
    </row>
    <row r="83" spans="1:4" x14ac:dyDescent="0.3">
      <c r="A83" s="733" t="s">
        <v>642</v>
      </c>
      <c r="B83" s="710" t="s">
        <v>642</v>
      </c>
      <c r="C83" s="710" t="s">
        <v>642</v>
      </c>
      <c r="D83" s="710" t="s">
        <v>642</v>
      </c>
    </row>
    <row r="84" spans="1:4" x14ac:dyDescent="0.3">
      <c r="A84" s="733" t="s">
        <v>799</v>
      </c>
      <c r="B84" s="710" t="s">
        <v>642</v>
      </c>
      <c r="C84" s="710" t="s">
        <v>642</v>
      </c>
      <c r="D84" s="710" t="s">
        <v>642</v>
      </c>
    </row>
    <row r="85" spans="1:4" x14ac:dyDescent="0.3">
      <c r="A85" s="735" t="s">
        <v>800</v>
      </c>
      <c r="B85" s="715" t="s">
        <v>801</v>
      </c>
      <c r="C85" s="715" t="s">
        <v>801</v>
      </c>
      <c r="D85" s="715" t="s">
        <v>801</v>
      </c>
    </row>
    <row r="86" spans="1:4" x14ac:dyDescent="0.3">
      <c r="A86" s="735" t="s">
        <v>885</v>
      </c>
      <c r="B86" s="716">
        <v>5969.8</v>
      </c>
      <c r="C86" s="716">
        <v>5969.8</v>
      </c>
      <c r="D86" s="716">
        <v>5940.1</v>
      </c>
    </row>
    <row r="87" spans="1:4" x14ac:dyDescent="0.3">
      <c r="A87" s="735" t="s">
        <v>886</v>
      </c>
      <c r="B87" s="715">
        <v>268.39999999999998</v>
      </c>
      <c r="C87" s="715">
        <v>456.6</v>
      </c>
      <c r="D87" s="715">
        <v>521.4</v>
      </c>
    </row>
    <row r="88" spans="1:4" x14ac:dyDescent="0.3">
      <c r="A88" s="735" t="s">
        <v>887</v>
      </c>
      <c r="B88" s="715" t="s">
        <v>741</v>
      </c>
      <c r="C88" s="715" t="s">
        <v>741</v>
      </c>
      <c r="D88" s="715" t="s">
        <v>741</v>
      </c>
    </row>
    <row r="89" spans="1:4" x14ac:dyDescent="0.3">
      <c r="A89" s="735" t="s">
        <v>1194</v>
      </c>
      <c r="B89" s="715" t="s">
        <v>741</v>
      </c>
      <c r="C89" s="715" t="s">
        <v>741</v>
      </c>
      <c r="D89" s="715" t="s">
        <v>741</v>
      </c>
    </row>
    <row r="90" spans="1:4" x14ac:dyDescent="0.3">
      <c r="A90" s="735" t="s">
        <v>888</v>
      </c>
      <c r="B90" s="716">
        <v>5814080</v>
      </c>
      <c r="C90" s="716">
        <v>4672130</v>
      </c>
      <c r="D90" s="716">
        <v>5160297</v>
      </c>
    </row>
    <row r="91" spans="1:4" x14ac:dyDescent="0.3">
      <c r="A91" s="735" t="s">
        <v>889</v>
      </c>
      <c r="B91" s="715">
        <v>0</v>
      </c>
      <c r="C91" s="715">
        <v>0</v>
      </c>
      <c r="D91" s="715">
        <v>0</v>
      </c>
    </row>
    <row r="92" spans="1:4" x14ac:dyDescent="0.3">
      <c r="A92" s="735" t="s">
        <v>890</v>
      </c>
      <c r="B92" s="715">
        <v>0</v>
      </c>
      <c r="C92" s="715">
        <v>0</v>
      </c>
      <c r="D92" s="715">
        <v>0</v>
      </c>
    </row>
    <row r="93" spans="1:4" x14ac:dyDescent="0.3">
      <c r="A93" s="735" t="s">
        <v>632</v>
      </c>
      <c r="B93" s="716">
        <v>-104894</v>
      </c>
      <c r="C93" s="716">
        <v>-79721.3</v>
      </c>
      <c r="D93" s="716">
        <v>-93321.600000000006</v>
      </c>
    </row>
    <row r="94" spans="1:4" x14ac:dyDescent="0.3">
      <c r="A94" s="735" t="s">
        <v>891</v>
      </c>
      <c r="B94" s="715">
        <v>-29.57</v>
      </c>
      <c r="C94" s="715">
        <v>-21.92</v>
      </c>
      <c r="D94" s="715">
        <v>-23.2</v>
      </c>
    </row>
    <row r="95" spans="1:4" x14ac:dyDescent="0.3">
      <c r="A95" s="735" t="s">
        <v>892</v>
      </c>
      <c r="B95" s="715">
        <v>75.86</v>
      </c>
      <c r="C95" s="715">
        <v>76.27</v>
      </c>
      <c r="D95" s="715">
        <v>74.95</v>
      </c>
    </row>
    <row r="96" spans="1:4" x14ac:dyDescent="0.3">
      <c r="A96" s="735" t="s">
        <v>54</v>
      </c>
      <c r="B96" s="715">
        <v>2.79</v>
      </c>
      <c r="C96" s="715">
        <v>2.59</v>
      </c>
      <c r="D96" s="715">
        <v>2.4300000000000002</v>
      </c>
    </row>
    <row r="97" spans="1:4" x14ac:dyDescent="0.3">
      <c r="A97" s="735" t="s">
        <v>64</v>
      </c>
      <c r="B97" s="715">
        <v>114.12</v>
      </c>
      <c r="C97" s="715">
        <v>133.74</v>
      </c>
      <c r="D97" s="715">
        <v>127.01</v>
      </c>
    </row>
    <row r="98" spans="1:4" x14ac:dyDescent="0.3">
      <c r="A98" s="735" t="s">
        <v>1196</v>
      </c>
      <c r="B98" s="715" t="s">
        <v>741</v>
      </c>
      <c r="C98" s="716">
        <v>267860</v>
      </c>
      <c r="D98" s="715" t="s">
        <v>741</v>
      </c>
    </row>
    <row r="99" spans="1:4" x14ac:dyDescent="0.3">
      <c r="A99" s="741" t="s">
        <v>811</v>
      </c>
      <c r="B99" s="724"/>
      <c r="C99" s="724"/>
      <c r="D99" s="723" t="s">
        <v>642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69"/>
  <sheetViews>
    <sheetView workbookViewId="0">
      <selection activeCell="D1" sqref="D1"/>
    </sheetView>
  </sheetViews>
  <sheetFormatPr defaultRowHeight="14" x14ac:dyDescent="0.3"/>
  <cols>
    <col min="1" max="1" width="36" bestFit="1" customWidth="1"/>
    <col min="2" max="3" width="9.25" hidden="1" customWidth="1"/>
    <col min="4" max="4" width="9.25" bestFit="1" customWidth="1"/>
    <col min="5" max="5" width="9.25" hidden="1" customWidth="1"/>
  </cols>
  <sheetData>
    <row r="1" spans="1:6" ht="14.5" x14ac:dyDescent="0.35">
      <c r="A1" s="725" t="s">
        <v>642</v>
      </c>
      <c r="B1" s="701" t="s">
        <v>642</v>
      </c>
      <c r="C1" s="701" t="s">
        <v>642</v>
      </c>
      <c r="D1" s="701" t="s">
        <v>642</v>
      </c>
      <c r="E1" s="701" t="s">
        <v>642</v>
      </c>
    </row>
    <row r="2" spans="1:6" ht="60" x14ac:dyDescent="0.4">
      <c r="A2" s="726" t="s">
        <v>1199</v>
      </c>
      <c r="B2" s="703"/>
      <c r="C2" s="703"/>
      <c r="D2" s="703"/>
      <c r="E2" s="702" t="s">
        <v>642</v>
      </c>
      <c r="F2" s="702" t="s">
        <v>642</v>
      </c>
    </row>
    <row r="3" spans="1:6" x14ac:dyDescent="0.3">
      <c r="A3" s="728" t="s">
        <v>642</v>
      </c>
      <c r="B3" s="704" t="s">
        <v>642</v>
      </c>
      <c r="C3" s="704" t="s">
        <v>642</v>
      </c>
      <c r="D3" s="704" t="s">
        <v>642</v>
      </c>
      <c r="E3" s="704" t="s">
        <v>642</v>
      </c>
    </row>
    <row r="4" spans="1:6" x14ac:dyDescent="0.3">
      <c r="A4" s="729" t="s">
        <v>723</v>
      </c>
      <c r="B4" s="706" t="s">
        <v>732</v>
      </c>
      <c r="C4" s="706" t="s">
        <v>733</v>
      </c>
      <c r="D4" s="706" t="s">
        <v>734</v>
      </c>
      <c r="E4" s="706" t="s">
        <v>735</v>
      </c>
    </row>
    <row r="5" spans="1:6" x14ac:dyDescent="0.3">
      <c r="A5" s="731" t="s">
        <v>738</v>
      </c>
      <c r="B5" s="709">
        <v>44926</v>
      </c>
      <c r="C5" s="709">
        <v>45291</v>
      </c>
      <c r="D5" s="709">
        <v>45657</v>
      </c>
      <c r="E5" s="709">
        <v>45657</v>
      </c>
    </row>
    <row r="6" spans="1:6" x14ac:dyDescent="0.3">
      <c r="A6" s="733" t="s">
        <v>893</v>
      </c>
      <c r="B6" s="710" t="s">
        <v>642</v>
      </c>
      <c r="C6" s="710" t="s">
        <v>642</v>
      </c>
      <c r="D6" s="710" t="s">
        <v>642</v>
      </c>
      <c r="E6" s="712" t="s">
        <v>642</v>
      </c>
    </row>
    <row r="7" spans="1:6" x14ac:dyDescent="0.3">
      <c r="A7" s="735" t="s">
        <v>894</v>
      </c>
      <c r="B7" s="716">
        <v>54730</v>
      </c>
      <c r="C7" s="716">
        <v>14473.4</v>
      </c>
      <c r="D7" s="716">
        <v>33621.4</v>
      </c>
      <c r="E7" s="718">
        <v>33621.4</v>
      </c>
    </row>
    <row r="8" spans="1:6" x14ac:dyDescent="0.3">
      <c r="A8" s="735" t="s">
        <v>895</v>
      </c>
      <c r="B8" s="716">
        <v>39107.699999999997</v>
      </c>
      <c r="C8" s="716">
        <v>38666.6</v>
      </c>
      <c r="D8" s="716">
        <v>42630.8</v>
      </c>
      <c r="E8" s="718">
        <v>42630.8</v>
      </c>
    </row>
    <row r="9" spans="1:6" x14ac:dyDescent="0.3">
      <c r="A9" s="735" t="s">
        <v>896</v>
      </c>
      <c r="B9" s="716">
        <v>-20430.400000000001</v>
      </c>
      <c r="C9" s="716">
        <v>-2373.1</v>
      </c>
      <c r="D9" s="715">
        <v>-243.8</v>
      </c>
      <c r="E9" s="717">
        <v>-243.8</v>
      </c>
    </row>
    <row r="10" spans="1:6" x14ac:dyDescent="0.3">
      <c r="A10" s="735" t="s">
        <v>898</v>
      </c>
      <c r="B10" s="716">
        <v>-20430.400000000001</v>
      </c>
      <c r="C10" s="716">
        <v>-2373.1</v>
      </c>
      <c r="D10" s="715">
        <v>-243.8</v>
      </c>
      <c r="E10" s="717">
        <v>-243.8</v>
      </c>
    </row>
    <row r="11" spans="1:6" x14ac:dyDescent="0.3">
      <c r="A11" s="735" t="s">
        <v>899</v>
      </c>
      <c r="B11" s="716">
        <v>-11225.9</v>
      </c>
      <c r="C11" s="716">
        <v>-6629.4</v>
      </c>
      <c r="D11" s="716">
        <v>-3025.7</v>
      </c>
      <c r="E11" s="718">
        <v>-3025.7</v>
      </c>
    </row>
    <row r="12" spans="1:6" x14ac:dyDescent="0.3">
      <c r="A12" s="735" t="s">
        <v>900</v>
      </c>
      <c r="B12" s="716">
        <v>7856.3</v>
      </c>
      <c r="C12" s="715">
        <v>-90.2</v>
      </c>
      <c r="D12" s="716">
        <v>-2496.1</v>
      </c>
      <c r="E12" s="718">
        <v>-2496.1</v>
      </c>
    </row>
    <row r="13" spans="1:6" x14ac:dyDescent="0.3">
      <c r="A13" s="735" t="s">
        <v>901</v>
      </c>
      <c r="B13" s="716">
        <v>-13311.1</v>
      </c>
      <c r="C13" s="716">
        <v>-3206.6</v>
      </c>
      <c r="D13" s="716">
        <v>2541.4</v>
      </c>
      <c r="E13" s="718">
        <v>2541.4</v>
      </c>
    </row>
    <row r="14" spans="1:6" x14ac:dyDescent="0.3">
      <c r="A14" s="735" t="s">
        <v>902</v>
      </c>
      <c r="B14" s="716">
        <v>-5298.5</v>
      </c>
      <c r="C14" s="715">
        <v>318.39999999999998</v>
      </c>
      <c r="D14" s="716">
        <v>-2573.6</v>
      </c>
      <c r="E14" s="718">
        <v>-2573.6</v>
      </c>
    </row>
    <row r="15" spans="1:6" x14ac:dyDescent="0.3">
      <c r="A15" s="735" t="s">
        <v>903</v>
      </c>
      <c r="B15" s="715">
        <v>-472.5</v>
      </c>
      <c r="C15" s="716">
        <v>-3651</v>
      </c>
      <c r="D15" s="715">
        <v>-497.4</v>
      </c>
      <c r="E15" s="717">
        <v>-497.4</v>
      </c>
    </row>
    <row r="16" spans="1:6" x14ac:dyDescent="0.3">
      <c r="A16" s="735" t="s">
        <v>904</v>
      </c>
      <c r="B16" s="715">
        <v>0</v>
      </c>
      <c r="C16" s="715">
        <v>0</v>
      </c>
      <c r="D16" s="715">
        <v>0</v>
      </c>
      <c r="E16" s="717">
        <v>0</v>
      </c>
    </row>
    <row r="17" spans="1:5" x14ac:dyDescent="0.3">
      <c r="A17" s="733" t="s">
        <v>893</v>
      </c>
      <c r="B17" s="711">
        <v>62181.3</v>
      </c>
      <c r="C17" s="711">
        <v>44137.4</v>
      </c>
      <c r="D17" s="711">
        <v>72982.600000000006</v>
      </c>
      <c r="E17" s="713">
        <v>72982.600000000006</v>
      </c>
    </row>
    <row r="18" spans="1:5" x14ac:dyDescent="0.3">
      <c r="A18" s="733" t="s">
        <v>642</v>
      </c>
      <c r="B18" s="710" t="s">
        <v>642</v>
      </c>
      <c r="C18" s="710" t="s">
        <v>642</v>
      </c>
      <c r="D18" s="710" t="s">
        <v>642</v>
      </c>
      <c r="E18" s="712" t="s">
        <v>642</v>
      </c>
    </row>
    <row r="19" spans="1:5" x14ac:dyDescent="0.3">
      <c r="A19" s="733" t="s">
        <v>905</v>
      </c>
      <c r="B19" s="710" t="s">
        <v>642</v>
      </c>
      <c r="C19" s="710" t="s">
        <v>642</v>
      </c>
      <c r="D19" s="710" t="s">
        <v>642</v>
      </c>
      <c r="E19" s="712" t="s">
        <v>642</v>
      </c>
    </row>
    <row r="20" spans="1:5" x14ac:dyDescent="0.3">
      <c r="A20" s="735" t="s">
        <v>906</v>
      </c>
      <c r="B20" s="716">
        <v>-52885.4</v>
      </c>
      <c r="C20" s="716">
        <v>-60424.1</v>
      </c>
      <c r="D20" s="716">
        <v>-53468</v>
      </c>
      <c r="E20" s="718">
        <v>-53468</v>
      </c>
    </row>
    <row r="21" spans="1:5" x14ac:dyDescent="0.3">
      <c r="A21" s="735" t="s">
        <v>907</v>
      </c>
      <c r="B21" s="715">
        <v>241.3</v>
      </c>
      <c r="C21" s="715">
        <v>110.1</v>
      </c>
      <c r="D21" s="715">
        <v>273.60000000000002</v>
      </c>
      <c r="E21" s="717">
        <v>273.60000000000002</v>
      </c>
    </row>
    <row r="22" spans="1:5" x14ac:dyDescent="0.3">
      <c r="A22" s="738" t="s">
        <v>908</v>
      </c>
      <c r="B22" s="719">
        <v>217.9</v>
      </c>
      <c r="C22" s="719">
        <v>98.3</v>
      </c>
      <c r="D22" s="719">
        <v>257.8</v>
      </c>
      <c r="E22" s="720">
        <v>257.8</v>
      </c>
    </row>
    <row r="23" spans="1:5" x14ac:dyDescent="0.3">
      <c r="A23" s="738" t="s">
        <v>909</v>
      </c>
      <c r="B23" s="719">
        <v>23.5</v>
      </c>
      <c r="C23" s="719">
        <v>11.7</v>
      </c>
      <c r="D23" s="719">
        <v>15.9</v>
      </c>
      <c r="E23" s="720">
        <v>15.9</v>
      </c>
    </row>
    <row r="24" spans="1:5" x14ac:dyDescent="0.3">
      <c r="A24" s="735" t="s">
        <v>910</v>
      </c>
      <c r="B24" s="716">
        <v>-53126.7</v>
      </c>
      <c r="C24" s="716">
        <v>-60534.2</v>
      </c>
      <c r="D24" s="716">
        <v>-53741.599999999999</v>
      </c>
      <c r="E24" s="718">
        <v>-53741.599999999999</v>
      </c>
    </row>
    <row r="25" spans="1:5" x14ac:dyDescent="0.3">
      <c r="A25" s="738" t="s">
        <v>911</v>
      </c>
      <c r="B25" s="721">
        <v>-49430.400000000001</v>
      </c>
      <c r="C25" s="721">
        <v>-57611.3</v>
      </c>
      <c r="D25" s="721">
        <v>-51406.400000000001</v>
      </c>
      <c r="E25" s="722">
        <v>-51406.400000000001</v>
      </c>
    </row>
    <row r="26" spans="1:5" x14ac:dyDescent="0.3">
      <c r="A26" s="738" t="s">
        <v>912</v>
      </c>
      <c r="B26" s="721">
        <v>-3696.3</v>
      </c>
      <c r="C26" s="721">
        <v>-2922.9</v>
      </c>
      <c r="D26" s="721">
        <v>-2335.3000000000002</v>
      </c>
      <c r="E26" s="722">
        <v>-2335.3000000000002</v>
      </c>
    </row>
    <row r="27" spans="1:5" x14ac:dyDescent="0.3">
      <c r="A27" s="735" t="s">
        <v>913</v>
      </c>
      <c r="B27" s="716">
        <v>4345.6000000000004</v>
      </c>
      <c r="C27" s="716">
        <v>5588.2</v>
      </c>
      <c r="D27" s="715">
        <v>626.5</v>
      </c>
      <c r="E27" s="717">
        <v>626.5</v>
      </c>
    </row>
    <row r="28" spans="1:5" x14ac:dyDescent="0.3">
      <c r="A28" s="735" t="s">
        <v>914</v>
      </c>
      <c r="B28" s="716">
        <v>8935.2999999999993</v>
      </c>
      <c r="C28" s="716">
        <v>11151</v>
      </c>
      <c r="D28" s="716">
        <v>4799.7</v>
      </c>
      <c r="E28" s="718">
        <v>4799.7</v>
      </c>
    </row>
    <row r="29" spans="1:5" x14ac:dyDescent="0.3">
      <c r="A29" s="735" t="s">
        <v>915</v>
      </c>
      <c r="B29" s="716">
        <v>-4589.7</v>
      </c>
      <c r="C29" s="716">
        <v>-5562.7</v>
      </c>
      <c r="D29" s="716">
        <v>-4173.2</v>
      </c>
      <c r="E29" s="718">
        <v>-4173.2</v>
      </c>
    </row>
    <row r="30" spans="1:5" x14ac:dyDescent="0.3">
      <c r="A30" s="735" t="s">
        <v>916</v>
      </c>
      <c r="B30" s="715">
        <v>-926.1</v>
      </c>
      <c r="C30" s="715">
        <v>-401.7</v>
      </c>
      <c r="D30" s="715">
        <v>-120.7</v>
      </c>
      <c r="E30" s="717">
        <v>-120.7</v>
      </c>
    </row>
    <row r="31" spans="1:5" x14ac:dyDescent="0.3">
      <c r="A31" s="735" t="s">
        <v>917</v>
      </c>
      <c r="B31" s="715">
        <v>0</v>
      </c>
      <c r="C31" s="715">
        <v>0</v>
      </c>
      <c r="D31" s="715">
        <v>0</v>
      </c>
      <c r="E31" s="717">
        <v>0</v>
      </c>
    </row>
    <row r="32" spans="1:5" x14ac:dyDescent="0.3">
      <c r="A32" s="735" t="s">
        <v>918</v>
      </c>
      <c r="B32" s="715">
        <v>-31.4</v>
      </c>
      <c r="C32" s="715">
        <v>-356.5</v>
      </c>
      <c r="D32" s="715">
        <v>-142.19999999999999</v>
      </c>
      <c r="E32" s="717">
        <v>-142.19999999999999</v>
      </c>
    </row>
    <row r="33" spans="1:5" x14ac:dyDescent="0.3">
      <c r="A33" s="735" t="s">
        <v>919</v>
      </c>
      <c r="B33" s="715">
        <v>-894.7</v>
      </c>
      <c r="C33" s="715">
        <v>-45.2</v>
      </c>
      <c r="D33" s="715">
        <v>21.5</v>
      </c>
      <c r="E33" s="717">
        <v>21.5</v>
      </c>
    </row>
    <row r="34" spans="1:5" x14ac:dyDescent="0.3">
      <c r="A34" s="735" t="s">
        <v>920</v>
      </c>
      <c r="B34" s="716">
        <v>17863.099999999999</v>
      </c>
      <c r="C34" s="716">
        <v>38314.800000000003</v>
      </c>
      <c r="D34" s="716">
        <v>-32419.5</v>
      </c>
      <c r="E34" s="718">
        <v>-32419.5</v>
      </c>
    </row>
    <row r="35" spans="1:5" x14ac:dyDescent="0.3">
      <c r="A35" s="735" t="s">
        <v>904</v>
      </c>
      <c r="B35" s="715">
        <v>0</v>
      </c>
      <c r="C35" s="715">
        <v>0</v>
      </c>
      <c r="D35" s="715">
        <v>0</v>
      </c>
      <c r="E35" s="717">
        <v>0</v>
      </c>
    </row>
    <row r="36" spans="1:5" x14ac:dyDescent="0.3">
      <c r="A36" s="733" t="s">
        <v>905</v>
      </c>
      <c r="B36" s="711">
        <v>-31602.799999999999</v>
      </c>
      <c r="C36" s="711">
        <v>-16922.8</v>
      </c>
      <c r="D36" s="711">
        <v>-85381.7</v>
      </c>
      <c r="E36" s="713">
        <v>-85381.7</v>
      </c>
    </row>
    <row r="37" spans="1:5" x14ac:dyDescent="0.3">
      <c r="A37" s="733" t="s">
        <v>642</v>
      </c>
      <c r="B37" s="710" t="s">
        <v>642</v>
      </c>
      <c r="C37" s="710" t="s">
        <v>642</v>
      </c>
      <c r="D37" s="710" t="s">
        <v>642</v>
      </c>
      <c r="E37" s="712" t="s">
        <v>642</v>
      </c>
    </row>
    <row r="38" spans="1:5" x14ac:dyDescent="0.3">
      <c r="A38" s="733" t="s">
        <v>921</v>
      </c>
      <c r="B38" s="710" t="s">
        <v>642</v>
      </c>
      <c r="C38" s="710" t="s">
        <v>642</v>
      </c>
      <c r="D38" s="710" t="s">
        <v>642</v>
      </c>
      <c r="E38" s="712" t="s">
        <v>642</v>
      </c>
    </row>
    <row r="39" spans="1:5" x14ac:dyDescent="0.3">
      <c r="A39" s="735" t="s">
        <v>922</v>
      </c>
      <c r="B39" s="716">
        <v>-9814.4</v>
      </c>
      <c r="C39" s="716">
        <v>-9864.5</v>
      </c>
      <c r="D39" s="716">
        <v>-10888.7</v>
      </c>
      <c r="E39" s="718">
        <v>-10888.7</v>
      </c>
    </row>
    <row r="40" spans="1:5" x14ac:dyDescent="0.3">
      <c r="A40" s="735" t="s">
        <v>923</v>
      </c>
      <c r="B40" s="716">
        <v>-9575.6</v>
      </c>
      <c r="C40" s="716">
        <v>1280.5</v>
      </c>
      <c r="D40" s="716">
        <v>4911.8</v>
      </c>
      <c r="E40" s="718">
        <v>4911.8</v>
      </c>
    </row>
    <row r="41" spans="1:5" x14ac:dyDescent="0.3">
      <c r="A41" s="735" t="s">
        <v>924</v>
      </c>
      <c r="B41" s="716">
        <v>-8339.1</v>
      </c>
      <c r="C41" s="716">
        <v>2145.4</v>
      </c>
      <c r="D41" s="716">
        <v>5871.3</v>
      </c>
      <c r="E41" s="718">
        <v>5871.3</v>
      </c>
    </row>
    <row r="42" spans="1:5" x14ac:dyDescent="0.3">
      <c r="A42" s="735" t="s">
        <v>925</v>
      </c>
      <c r="B42" s="715">
        <v>272</v>
      </c>
      <c r="C42" s="715">
        <v>354.7</v>
      </c>
      <c r="D42" s="715">
        <v>405</v>
      </c>
      <c r="E42" s="717">
        <v>405</v>
      </c>
    </row>
    <row r="43" spans="1:5" x14ac:dyDescent="0.3">
      <c r="A43" s="735" t="s">
        <v>926</v>
      </c>
      <c r="B43" s="716">
        <v>-1508.5</v>
      </c>
      <c r="C43" s="716">
        <v>-1219.5999999999999</v>
      </c>
      <c r="D43" s="716">
        <v>-1364.5</v>
      </c>
      <c r="E43" s="718">
        <v>-1364.5</v>
      </c>
    </row>
    <row r="44" spans="1:5" x14ac:dyDescent="0.3">
      <c r="A44" s="735" t="s">
        <v>927</v>
      </c>
      <c r="B44" s="715">
        <v>0</v>
      </c>
      <c r="C44" s="715">
        <v>0</v>
      </c>
      <c r="D44" s="716">
        <v>-1811.8</v>
      </c>
      <c r="E44" s="718">
        <v>-1811.8</v>
      </c>
    </row>
    <row r="45" spans="1:5" x14ac:dyDescent="0.3">
      <c r="A45" s="735" t="s">
        <v>928</v>
      </c>
      <c r="B45" s="715">
        <v>0</v>
      </c>
      <c r="C45" s="715">
        <v>0</v>
      </c>
      <c r="D45" s="715">
        <v>0</v>
      </c>
      <c r="E45" s="717">
        <v>0</v>
      </c>
    </row>
    <row r="46" spans="1:5" x14ac:dyDescent="0.3">
      <c r="A46" s="735" t="s">
        <v>929</v>
      </c>
      <c r="B46" s="715">
        <v>0</v>
      </c>
      <c r="C46" s="715">
        <v>0</v>
      </c>
      <c r="D46" s="716">
        <v>-1811.8</v>
      </c>
      <c r="E46" s="718">
        <v>-1811.8</v>
      </c>
    </row>
    <row r="47" spans="1:5" x14ac:dyDescent="0.3">
      <c r="A47" s="735" t="s">
        <v>930</v>
      </c>
      <c r="B47" s="715">
        <v>0</v>
      </c>
      <c r="C47" s="715">
        <v>-23.3</v>
      </c>
      <c r="D47" s="715">
        <v>-8.5</v>
      </c>
      <c r="E47" s="717">
        <v>-8.5</v>
      </c>
    </row>
    <row r="48" spans="1:5" x14ac:dyDescent="0.3">
      <c r="A48" s="735" t="s">
        <v>904</v>
      </c>
      <c r="B48" s="715">
        <v>0</v>
      </c>
      <c r="C48" s="715">
        <v>0</v>
      </c>
      <c r="D48" s="715">
        <v>0</v>
      </c>
      <c r="E48" s="717">
        <v>0</v>
      </c>
    </row>
    <row r="49" spans="1:5" x14ac:dyDescent="0.3">
      <c r="A49" s="733" t="s">
        <v>921</v>
      </c>
      <c r="B49" s="711">
        <v>-19390</v>
      </c>
      <c r="C49" s="711">
        <v>-8607.2000000000007</v>
      </c>
      <c r="D49" s="711">
        <v>-7797.2</v>
      </c>
      <c r="E49" s="713">
        <v>-7797.2</v>
      </c>
    </row>
    <row r="50" spans="1:5" x14ac:dyDescent="0.3">
      <c r="A50" s="733" t="s">
        <v>642</v>
      </c>
      <c r="B50" s="710" t="s">
        <v>642</v>
      </c>
      <c r="C50" s="710" t="s">
        <v>642</v>
      </c>
      <c r="D50" s="710" t="s">
        <v>642</v>
      </c>
      <c r="E50" s="712" t="s">
        <v>642</v>
      </c>
    </row>
    <row r="51" spans="1:5" x14ac:dyDescent="0.3">
      <c r="A51" s="735" t="s">
        <v>931</v>
      </c>
      <c r="B51" s="715">
        <v>-539.20000000000005</v>
      </c>
      <c r="C51" s="715">
        <v>792.8</v>
      </c>
      <c r="D51" s="716">
        <v>4821</v>
      </c>
      <c r="E51" s="718">
        <v>4821</v>
      </c>
    </row>
    <row r="52" spans="1:5" x14ac:dyDescent="0.3">
      <c r="A52" s="733" t="s">
        <v>642</v>
      </c>
      <c r="B52" s="710" t="s">
        <v>642</v>
      </c>
      <c r="C52" s="710" t="s">
        <v>642</v>
      </c>
      <c r="D52" s="710" t="s">
        <v>642</v>
      </c>
      <c r="E52" s="712" t="s">
        <v>642</v>
      </c>
    </row>
    <row r="53" spans="1:5" x14ac:dyDescent="0.3">
      <c r="A53" s="733" t="s">
        <v>304</v>
      </c>
      <c r="B53" s="711">
        <v>10649.3</v>
      </c>
      <c r="C53" s="711">
        <v>19400.2</v>
      </c>
      <c r="D53" s="711">
        <v>-15375.3</v>
      </c>
      <c r="E53" s="713">
        <v>-15375.3</v>
      </c>
    </row>
    <row r="54" spans="1:5" x14ac:dyDescent="0.3">
      <c r="A54" s="733" t="s">
        <v>642</v>
      </c>
      <c r="B54" s="710" t="s">
        <v>642</v>
      </c>
      <c r="C54" s="710" t="s">
        <v>642</v>
      </c>
      <c r="D54" s="710" t="s">
        <v>642</v>
      </c>
      <c r="E54" s="712" t="s">
        <v>642</v>
      </c>
    </row>
    <row r="55" spans="1:5" x14ac:dyDescent="0.3">
      <c r="A55" s="733" t="s">
        <v>932</v>
      </c>
      <c r="B55" s="711">
        <v>11498.9</v>
      </c>
      <c r="C55" s="711">
        <v>6621</v>
      </c>
      <c r="D55" s="711">
        <v>6450</v>
      </c>
      <c r="E55" s="713">
        <v>6450</v>
      </c>
    </row>
    <row r="56" spans="1:5" x14ac:dyDescent="0.3">
      <c r="A56" s="733" t="s">
        <v>933</v>
      </c>
      <c r="B56" s="710">
        <v>714.5</v>
      </c>
      <c r="C56" s="710">
        <v>844.7</v>
      </c>
      <c r="D56" s="710">
        <v>675</v>
      </c>
      <c r="E56" s="712">
        <v>675</v>
      </c>
    </row>
    <row r="57" spans="1:5" x14ac:dyDescent="0.3">
      <c r="A57" s="733" t="s">
        <v>642</v>
      </c>
      <c r="B57" s="710" t="s">
        <v>642</v>
      </c>
      <c r="C57" s="710" t="s">
        <v>642</v>
      </c>
      <c r="D57" s="710" t="s">
        <v>642</v>
      </c>
      <c r="E57" s="712" t="s">
        <v>642</v>
      </c>
    </row>
    <row r="58" spans="1:5" x14ac:dyDescent="0.3">
      <c r="A58" s="733" t="s">
        <v>799</v>
      </c>
      <c r="B58" s="710" t="s">
        <v>642</v>
      </c>
      <c r="C58" s="710" t="s">
        <v>642</v>
      </c>
      <c r="D58" s="710" t="s">
        <v>642</v>
      </c>
      <c r="E58" s="712" t="s">
        <v>642</v>
      </c>
    </row>
    <row r="59" spans="1:5" x14ac:dyDescent="0.3">
      <c r="A59" s="735" t="s">
        <v>216</v>
      </c>
      <c r="B59" s="716">
        <v>82484.3</v>
      </c>
      <c r="C59" s="716">
        <v>45233.5</v>
      </c>
      <c r="D59" s="716">
        <v>75356.800000000003</v>
      </c>
      <c r="E59" s="718">
        <v>75356.800000000003</v>
      </c>
    </row>
    <row r="60" spans="1:5" x14ac:dyDescent="0.3">
      <c r="A60" s="735" t="s">
        <v>934</v>
      </c>
      <c r="B60" s="715">
        <v>27.29</v>
      </c>
      <c r="C60" s="715">
        <v>17.47</v>
      </c>
      <c r="D60" s="715">
        <v>25.05</v>
      </c>
      <c r="E60" s="717">
        <v>25.05</v>
      </c>
    </row>
    <row r="61" spans="1:5" x14ac:dyDescent="0.3">
      <c r="A61" s="735" t="s">
        <v>935</v>
      </c>
      <c r="B61" s="716">
        <v>2136.8000000000002</v>
      </c>
      <c r="C61" s="716">
        <v>4786</v>
      </c>
      <c r="D61" s="716">
        <v>4008.4</v>
      </c>
      <c r="E61" s="718">
        <v>4008.4</v>
      </c>
    </row>
    <row r="62" spans="1:5" x14ac:dyDescent="0.3">
      <c r="A62" s="735" t="s">
        <v>936</v>
      </c>
      <c r="B62" s="715">
        <v>31.4</v>
      </c>
      <c r="C62" s="715">
        <v>356.5</v>
      </c>
      <c r="D62" s="715">
        <v>142.19999999999999</v>
      </c>
      <c r="E62" s="717" t="s">
        <v>642</v>
      </c>
    </row>
    <row r="63" spans="1:5" x14ac:dyDescent="0.3">
      <c r="A63" s="735" t="s">
        <v>937</v>
      </c>
      <c r="B63" s="716">
        <v>12750.9</v>
      </c>
      <c r="C63" s="716">
        <v>-13473.9</v>
      </c>
      <c r="D63" s="716">
        <v>21576.3</v>
      </c>
      <c r="E63" s="718">
        <v>21576.3</v>
      </c>
    </row>
    <row r="64" spans="1:5" x14ac:dyDescent="0.3">
      <c r="A64" s="735" t="s">
        <v>938</v>
      </c>
      <c r="B64" s="715" t="s">
        <v>741</v>
      </c>
      <c r="C64" s="715" t="s">
        <v>741</v>
      </c>
      <c r="D64" s="716">
        <v>22406</v>
      </c>
      <c r="E64" s="718">
        <v>22411.200000000001</v>
      </c>
    </row>
    <row r="65" spans="1:5" x14ac:dyDescent="0.3">
      <c r="A65" s="735" t="s">
        <v>939</v>
      </c>
      <c r="B65" s="716">
        <v>2204.1</v>
      </c>
      <c r="C65" s="716">
        <v>-13284.1</v>
      </c>
      <c r="D65" s="716">
        <v>25556.6</v>
      </c>
      <c r="E65" s="718">
        <v>25556.6</v>
      </c>
    </row>
    <row r="66" spans="1:5" x14ac:dyDescent="0.3">
      <c r="A66" s="735" t="s">
        <v>940</v>
      </c>
      <c r="B66" s="716">
        <v>2135.91</v>
      </c>
      <c r="C66" s="716">
        <v>-2257.0100000000002</v>
      </c>
      <c r="D66" s="716">
        <v>3614.31</v>
      </c>
      <c r="E66" s="718">
        <v>3614.33</v>
      </c>
    </row>
    <row r="67" spans="1:5" x14ac:dyDescent="0.3">
      <c r="A67" s="735" t="s">
        <v>941</v>
      </c>
      <c r="B67" s="715">
        <v>25.89</v>
      </c>
      <c r="C67" s="715" t="s">
        <v>741</v>
      </c>
      <c r="D67" s="715">
        <v>14.72</v>
      </c>
      <c r="E67" s="717">
        <v>15.99</v>
      </c>
    </row>
    <row r="68" spans="1:5" x14ac:dyDescent="0.3">
      <c r="A68" s="735" t="s">
        <v>246</v>
      </c>
      <c r="B68" s="715">
        <v>1.1399999999999999</v>
      </c>
      <c r="C68" s="715">
        <v>3.05</v>
      </c>
      <c r="D68" s="715">
        <v>2.17</v>
      </c>
      <c r="E68" s="717">
        <v>2.91</v>
      </c>
    </row>
    <row r="69" spans="1:5" x14ac:dyDescent="0.3">
      <c r="A69" s="741" t="s">
        <v>811</v>
      </c>
      <c r="B69" s="724"/>
      <c r="C69" s="724"/>
      <c r="D69" s="724"/>
      <c r="E69" s="723" t="s">
        <v>642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80"/>
  <sheetViews>
    <sheetView workbookViewId="0"/>
  </sheetViews>
  <sheetFormatPr defaultRowHeight="14" x14ac:dyDescent="0.3"/>
  <cols>
    <col min="1" max="1" width="36" bestFit="1" customWidth="1"/>
    <col min="2" max="2" width="15.58203125" hidden="1" customWidth="1"/>
    <col min="3" max="3" width="12" hidden="1" customWidth="1"/>
    <col min="4" max="4" width="12" bestFit="1" customWidth="1"/>
    <col min="5" max="5" width="9.08203125" bestFit="1" customWidth="1"/>
    <col min="6" max="7" width="9.75" bestFit="1" customWidth="1"/>
  </cols>
  <sheetData>
    <row r="1" spans="1:8" ht="14.5" x14ac:dyDescent="0.35">
      <c r="A1" s="725" t="s">
        <v>642</v>
      </c>
      <c r="B1" s="725" t="s">
        <v>642</v>
      </c>
      <c r="C1" s="701" t="s">
        <v>642</v>
      </c>
      <c r="D1" s="701" t="s">
        <v>642</v>
      </c>
      <c r="E1" s="701" t="s">
        <v>642</v>
      </c>
      <c r="F1" s="701" t="s">
        <v>642</v>
      </c>
      <c r="G1" s="701" t="s">
        <v>642</v>
      </c>
    </row>
    <row r="2" spans="1:8" ht="40" x14ac:dyDescent="0.4">
      <c r="A2" s="726" t="s">
        <v>1200</v>
      </c>
      <c r="B2" s="727"/>
      <c r="C2" s="703"/>
      <c r="D2" s="703"/>
      <c r="E2" s="703"/>
      <c r="F2" s="702" t="s">
        <v>642</v>
      </c>
      <c r="G2" s="702" t="s">
        <v>642</v>
      </c>
      <c r="H2" s="702" t="s">
        <v>642</v>
      </c>
    </row>
    <row r="3" spans="1:8" x14ac:dyDescent="0.3">
      <c r="A3" s="728" t="s">
        <v>642</v>
      </c>
      <c r="B3" s="728" t="s">
        <v>642</v>
      </c>
      <c r="C3" s="704" t="s">
        <v>642</v>
      </c>
      <c r="D3" s="704" t="s">
        <v>642</v>
      </c>
      <c r="E3" s="704" t="s">
        <v>642</v>
      </c>
      <c r="F3" s="704" t="s">
        <v>642</v>
      </c>
      <c r="G3" s="704" t="s">
        <v>642</v>
      </c>
    </row>
    <row r="4" spans="1:8" x14ac:dyDescent="0.3">
      <c r="A4" s="729" t="s">
        <v>723</v>
      </c>
      <c r="B4" s="730" t="s">
        <v>732</v>
      </c>
      <c r="C4" s="706" t="s">
        <v>733</v>
      </c>
      <c r="D4" s="706" t="s">
        <v>734</v>
      </c>
      <c r="E4" s="706" t="s">
        <v>735</v>
      </c>
      <c r="F4" s="706" t="s">
        <v>736</v>
      </c>
      <c r="G4" s="706" t="s">
        <v>737</v>
      </c>
    </row>
    <row r="5" spans="1:8" x14ac:dyDescent="0.3">
      <c r="A5" s="731" t="s">
        <v>738</v>
      </c>
      <c r="B5" s="732">
        <v>44805</v>
      </c>
      <c r="C5" s="709">
        <v>45169</v>
      </c>
      <c r="D5" s="709">
        <v>45533</v>
      </c>
      <c r="E5" s="709">
        <v>45715</v>
      </c>
      <c r="F5" s="709">
        <v>45900</v>
      </c>
      <c r="G5" s="709">
        <v>46265</v>
      </c>
    </row>
    <row r="6" spans="1:8" x14ac:dyDescent="0.3">
      <c r="A6" s="733" t="s">
        <v>215</v>
      </c>
      <c r="B6" s="734">
        <v>37846.699999999997</v>
      </c>
      <c r="C6" s="711">
        <v>20534.2</v>
      </c>
      <c r="D6" s="711">
        <v>33766.9</v>
      </c>
      <c r="E6" s="713">
        <v>43340.9</v>
      </c>
      <c r="F6" s="711">
        <v>52093.4</v>
      </c>
      <c r="G6" s="711">
        <v>66567.399999999994</v>
      </c>
    </row>
    <row r="7" spans="1:8" x14ac:dyDescent="0.3">
      <c r="A7" s="735" t="s">
        <v>739</v>
      </c>
      <c r="B7" s="736">
        <v>37846.699999999997</v>
      </c>
      <c r="C7" s="716">
        <v>20534.2</v>
      </c>
      <c r="D7" s="716">
        <v>33766.9</v>
      </c>
      <c r="E7" s="718">
        <v>43367</v>
      </c>
      <c r="F7" s="715" t="s">
        <v>642</v>
      </c>
      <c r="G7" s="715" t="s">
        <v>642</v>
      </c>
    </row>
    <row r="8" spans="1:8" x14ac:dyDescent="0.3">
      <c r="A8" s="735" t="s">
        <v>742</v>
      </c>
      <c r="B8" s="736">
        <v>20772.8</v>
      </c>
      <c r="C8" s="716">
        <v>22430.400000000001</v>
      </c>
      <c r="D8" s="716">
        <v>26243.3</v>
      </c>
      <c r="E8" s="718">
        <v>28298.9</v>
      </c>
      <c r="F8" s="715" t="s">
        <v>642</v>
      </c>
      <c r="G8" s="715" t="s">
        <v>642</v>
      </c>
    </row>
    <row r="9" spans="1:8" x14ac:dyDescent="0.3">
      <c r="A9" s="735" t="s">
        <v>743</v>
      </c>
      <c r="B9" s="736">
        <v>20772.8</v>
      </c>
      <c r="C9" s="716">
        <v>22430.400000000001</v>
      </c>
      <c r="D9" s="716">
        <v>26243.3</v>
      </c>
      <c r="E9" s="718">
        <v>28298.400000000001</v>
      </c>
      <c r="F9" s="715" t="s">
        <v>642</v>
      </c>
      <c r="G9" s="715" t="s">
        <v>642</v>
      </c>
    </row>
    <row r="10" spans="1:8" x14ac:dyDescent="0.3">
      <c r="A10" s="733" t="s">
        <v>276</v>
      </c>
      <c r="B10" s="734">
        <v>17074</v>
      </c>
      <c r="C10" s="711">
        <v>-1896.2</v>
      </c>
      <c r="D10" s="711">
        <v>7523.6</v>
      </c>
      <c r="E10" s="713">
        <v>15041.9</v>
      </c>
      <c r="F10" s="711">
        <v>19891.400000000001</v>
      </c>
      <c r="G10" s="711">
        <v>29070</v>
      </c>
    </row>
    <row r="11" spans="1:8" x14ac:dyDescent="0.3">
      <c r="A11" s="735" t="s">
        <v>746</v>
      </c>
      <c r="B11" s="737">
        <v>0</v>
      </c>
      <c r="C11" s="715">
        <v>0</v>
      </c>
      <c r="D11" s="715">
        <v>0</v>
      </c>
      <c r="E11" s="717">
        <v>0</v>
      </c>
      <c r="F11" s="715" t="s">
        <v>642</v>
      </c>
      <c r="G11" s="715" t="s">
        <v>642</v>
      </c>
    </row>
    <row r="12" spans="1:8" x14ac:dyDescent="0.3">
      <c r="A12" s="735" t="s">
        <v>747</v>
      </c>
      <c r="B12" s="736">
        <v>5090.3999999999996</v>
      </c>
      <c r="C12" s="716">
        <v>5274.9</v>
      </c>
      <c r="D12" s="716">
        <v>6092.9</v>
      </c>
      <c r="E12" s="718">
        <v>6514.3</v>
      </c>
      <c r="F12" s="715" t="s">
        <v>642</v>
      </c>
      <c r="G12" s="715" t="s">
        <v>642</v>
      </c>
    </row>
    <row r="13" spans="1:8" x14ac:dyDescent="0.3">
      <c r="A13" s="735" t="s">
        <v>748</v>
      </c>
      <c r="B13" s="736">
        <v>1311.7</v>
      </c>
      <c r="C13" s="716">
        <v>1215.7</v>
      </c>
      <c r="D13" s="716">
        <v>1518.2</v>
      </c>
      <c r="E13" s="718">
        <v>1603.4</v>
      </c>
      <c r="F13" s="715" t="s">
        <v>642</v>
      </c>
      <c r="G13" s="715" t="s">
        <v>642</v>
      </c>
    </row>
    <row r="14" spans="1:8" x14ac:dyDescent="0.3">
      <c r="A14" s="735" t="s">
        <v>745</v>
      </c>
      <c r="B14" s="736">
        <v>3832.9</v>
      </c>
      <c r="C14" s="716">
        <v>4114.8</v>
      </c>
      <c r="D14" s="716">
        <v>4612.3</v>
      </c>
      <c r="E14" s="718">
        <v>4898.6000000000004</v>
      </c>
      <c r="F14" s="715" t="s">
        <v>642</v>
      </c>
      <c r="G14" s="715" t="s">
        <v>642</v>
      </c>
    </row>
    <row r="15" spans="1:8" x14ac:dyDescent="0.3">
      <c r="A15" s="735" t="s">
        <v>751</v>
      </c>
      <c r="B15" s="737">
        <v>-54.1</v>
      </c>
      <c r="C15" s="715">
        <v>-55.5</v>
      </c>
      <c r="D15" s="715">
        <v>-37.700000000000003</v>
      </c>
      <c r="E15" s="717">
        <v>13.9</v>
      </c>
      <c r="F15" s="715" t="s">
        <v>642</v>
      </c>
      <c r="G15" s="715" t="s">
        <v>642</v>
      </c>
    </row>
    <row r="16" spans="1:8" x14ac:dyDescent="0.3">
      <c r="A16" s="733" t="s">
        <v>752</v>
      </c>
      <c r="B16" s="734">
        <v>11983.5</v>
      </c>
      <c r="C16" s="711">
        <v>-7171.1</v>
      </c>
      <c r="D16" s="711">
        <v>1430.8</v>
      </c>
      <c r="E16" s="713">
        <v>8527.6</v>
      </c>
      <c r="F16" s="711">
        <v>13129.1</v>
      </c>
      <c r="G16" s="711">
        <v>21969.200000000001</v>
      </c>
    </row>
    <row r="17" spans="1:7" x14ac:dyDescent="0.3">
      <c r="A17" s="735" t="s">
        <v>753</v>
      </c>
      <c r="B17" s="737">
        <v>59.1</v>
      </c>
      <c r="C17" s="715">
        <v>-115</v>
      </c>
      <c r="D17" s="715">
        <v>86.1</v>
      </c>
      <c r="E17" s="717">
        <v>73.5</v>
      </c>
      <c r="F17" s="715" t="s">
        <v>642</v>
      </c>
      <c r="G17" s="715" t="s">
        <v>642</v>
      </c>
    </row>
    <row r="18" spans="1:7" x14ac:dyDescent="0.3">
      <c r="A18" s="735" t="s">
        <v>754</v>
      </c>
      <c r="B18" s="737">
        <v>152.6</v>
      </c>
      <c r="C18" s="715">
        <v>-105.7</v>
      </c>
      <c r="D18" s="715">
        <v>44.4</v>
      </c>
      <c r="E18" s="717">
        <v>46.6</v>
      </c>
      <c r="F18" s="715" t="s">
        <v>642</v>
      </c>
      <c r="G18" s="715" t="s">
        <v>642</v>
      </c>
    </row>
    <row r="19" spans="1:7" x14ac:dyDescent="0.3">
      <c r="A19" s="738" t="s">
        <v>755</v>
      </c>
      <c r="B19" s="739">
        <v>270.7</v>
      </c>
      <c r="C19" s="719">
        <v>512.70000000000005</v>
      </c>
      <c r="D19" s="719">
        <v>755.7</v>
      </c>
      <c r="E19" s="720">
        <v>714</v>
      </c>
      <c r="F19" s="719" t="s">
        <v>642</v>
      </c>
      <c r="G19" s="719" t="s">
        <v>642</v>
      </c>
    </row>
    <row r="20" spans="1:7" x14ac:dyDescent="0.3">
      <c r="A20" s="738" t="s">
        <v>756</v>
      </c>
      <c r="B20" s="739">
        <v>118.1</v>
      </c>
      <c r="C20" s="719">
        <v>618.4</v>
      </c>
      <c r="D20" s="719">
        <v>711.3</v>
      </c>
      <c r="E20" s="720">
        <v>666.9</v>
      </c>
      <c r="F20" s="719" t="s">
        <v>642</v>
      </c>
      <c r="G20" s="719" t="s">
        <v>642</v>
      </c>
    </row>
    <row r="21" spans="1:7" x14ac:dyDescent="0.3">
      <c r="A21" s="735" t="s">
        <v>758</v>
      </c>
      <c r="B21" s="737">
        <v>0</v>
      </c>
      <c r="C21" s="715">
        <v>0</v>
      </c>
      <c r="D21" s="715">
        <v>0</v>
      </c>
      <c r="E21" s="717" t="s">
        <v>642</v>
      </c>
      <c r="F21" s="715" t="s">
        <v>642</v>
      </c>
      <c r="G21" s="715" t="s">
        <v>642</v>
      </c>
    </row>
    <row r="22" spans="1:7" x14ac:dyDescent="0.3">
      <c r="A22" s="735" t="s">
        <v>760</v>
      </c>
      <c r="B22" s="737">
        <v>-93.5</v>
      </c>
      <c r="C22" s="715">
        <v>-9.1999999999999993</v>
      </c>
      <c r="D22" s="715">
        <v>41.7</v>
      </c>
      <c r="E22" s="717">
        <v>26.9</v>
      </c>
      <c r="F22" s="715" t="s">
        <v>642</v>
      </c>
      <c r="G22" s="715" t="s">
        <v>642</v>
      </c>
    </row>
    <row r="23" spans="1:7" x14ac:dyDescent="0.3">
      <c r="A23" s="733" t="s">
        <v>761</v>
      </c>
      <c r="B23" s="734">
        <v>11924.5</v>
      </c>
      <c r="C23" s="711">
        <v>-7056.1</v>
      </c>
      <c r="D23" s="711">
        <v>1344.7</v>
      </c>
      <c r="E23" s="713">
        <v>8454.2999999999993</v>
      </c>
      <c r="F23" s="711">
        <v>13022.7</v>
      </c>
      <c r="G23" s="711">
        <v>21477.7</v>
      </c>
    </row>
    <row r="24" spans="1:7" x14ac:dyDescent="0.3">
      <c r="A24" s="735" t="s">
        <v>762</v>
      </c>
      <c r="B24" s="737">
        <v>147.69999999999999</v>
      </c>
      <c r="C24" s="715">
        <v>420.2</v>
      </c>
      <c r="D24" s="715">
        <v>-322.7</v>
      </c>
      <c r="E24" s="717">
        <v>-34.6</v>
      </c>
      <c r="F24" s="715" t="s">
        <v>642</v>
      </c>
      <c r="G24" s="715" t="s">
        <v>642</v>
      </c>
    </row>
    <row r="25" spans="1:7" x14ac:dyDescent="0.3">
      <c r="A25" s="735" t="s">
        <v>1180</v>
      </c>
      <c r="B25" s="737" t="s">
        <v>741</v>
      </c>
      <c r="C25" s="715" t="s">
        <v>741</v>
      </c>
      <c r="D25" s="715" t="s">
        <v>741</v>
      </c>
      <c r="E25" s="717" t="s">
        <v>642</v>
      </c>
      <c r="F25" s="715" t="s">
        <v>642</v>
      </c>
      <c r="G25" s="715" t="s">
        <v>642</v>
      </c>
    </row>
    <row r="26" spans="1:7" x14ac:dyDescent="0.3">
      <c r="A26" s="735" t="s">
        <v>1201</v>
      </c>
      <c r="B26" s="737" t="s">
        <v>741</v>
      </c>
      <c r="C26" s="715" t="s">
        <v>741</v>
      </c>
      <c r="D26" s="715" t="s">
        <v>741</v>
      </c>
      <c r="E26" s="717" t="s">
        <v>642</v>
      </c>
      <c r="F26" s="715" t="s">
        <v>642</v>
      </c>
      <c r="G26" s="715" t="s">
        <v>642</v>
      </c>
    </row>
    <row r="27" spans="1:7" x14ac:dyDescent="0.3">
      <c r="A27" s="735" t="s">
        <v>763</v>
      </c>
      <c r="B27" s="737">
        <v>-50.4</v>
      </c>
      <c r="C27" s="715">
        <v>-71.400000000000006</v>
      </c>
      <c r="D27" s="715">
        <v>-79.3</v>
      </c>
      <c r="E27" s="717" t="s">
        <v>642</v>
      </c>
      <c r="F27" s="715" t="s">
        <v>642</v>
      </c>
      <c r="G27" s="715" t="s">
        <v>642</v>
      </c>
    </row>
    <row r="28" spans="1:7" x14ac:dyDescent="0.3">
      <c r="A28" s="735" t="s">
        <v>764</v>
      </c>
      <c r="B28" s="737">
        <v>102.1</v>
      </c>
      <c r="C28" s="715" t="s">
        <v>741</v>
      </c>
      <c r="D28" s="715" t="s">
        <v>741</v>
      </c>
      <c r="E28" s="717" t="s">
        <v>642</v>
      </c>
      <c r="F28" s="715" t="s">
        <v>642</v>
      </c>
      <c r="G28" s="715" t="s">
        <v>642</v>
      </c>
    </row>
    <row r="29" spans="1:7" x14ac:dyDescent="0.3">
      <c r="A29" s="735" t="s">
        <v>765</v>
      </c>
      <c r="B29" s="737" t="s">
        <v>741</v>
      </c>
      <c r="C29" s="715">
        <v>18.5</v>
      </c>
      <c r="D29" s="715" t="s">
        <v>741</v>
      </c>
      <c r="E29" s="717" t="s">
        <v>642</v>
      </c>
      <c r="F29" s="715" t="s">
        <v>642</v>
      </c>
      <c r="G29" s="715" t="s">
        <v>642</v>
      </c>
    </row>
    <row r="30" spans="1:7" x14ac:dyDescent="0.3">
      <c r="A30" s="735" t="s">
        <v>1202</v>
      </c>
      <c r="B30" s="737" t="s">
        <v>741</v>
      </c>
      <c r="C30" s="715">
        <v>133.5</v>
      </c>
      <c r="D30" s="715" t="s">
        <v>741</v>
      </c>
      <c r="E30" s="717" t="s">
        <v>642</v>
      </c>
      <c r="F30" s="715" t="s">
        <v>642</v>
      </c>
      <c r="G30" s="715" t="s">
        <v>642</v>
      </c>
    </row>
    <row r="31" spans="1:7" x14ac:dyDescent="0.3">
      <c r="A31" s="735" t="s">
        <v>768</v>
      </c>
      <c r="B31" s="737" t="s">
        <v>741</v>
      </c>
      <c r="C31" s="715">
        <v>89.9</v>
      </c>
      <c r="D31" s="715" t="s">
        <v>741</v>
      </c>
      <c r="E31" s="717" t="s">
        <v>642</v>
      </c>
      <c r="F31" s="715" t="s">
        <v>642</v>
      </c>
      <c r="G31" s="715" t="s">
        <v>642</v>
      </c>
    </row>
    <row r="32" spans="1:7" x14ac:dyDescent="0.3">
      <c r="A32" s="735" t="s">
        <v>1181</v>
      </c>
      <c r="B32" s="737" t="s">
        <v>741</v>
      </c>
      <c r="C32" s="715">
        <v>215.4</v>
      </c>
      <c r="D32" s="715" t="s">
        <v>741</v>
      </c>
      <c r="E32" s="717" t="s">
        <v>642</v>
      </c>
      <c r="F32" s="715" t="s">
        <v>642</v>
      </c>
      <c r="G32" s="715" t="s">
        <v>642</v>
      </c>
    </row>
    <row r="33" spans="1:7" x14ac:dyDescent="0.3">
      <c r="A33" s="735" t="s">
        <v>769</v>
      </c>
      <c r="B33" s="737" t="s">
        <v>741</v>
      </c>
      <c r="C33" s="715" t="s">
        <v>741</v>
      </c>
      <c r="D33" s="715" t="s">
        <v>741</v>
      </c>
      <c r="E33" s="717" t="s">
        <v>642</v>
      </c>
      <c r="F33" s="715" t="s">
        <v>642</v>
      </c>
      <c r="G33" s="715" t="s">
        <v>642</v>
      </c>
    </row>
    <row r="34" spans="1:7" x14ac:dyDescent="0.3">
      <c r="A34" s="735" t="s">
        <v>772</v>
      </c>
      <c r="B34" s="737">
        <v>96</v>
      </c>
      <c r="C34" s="715">
        <v>34.4</v>
      </c>
      <c r="D34" s="715">
        <v>-243.4</v>
      </c>
      <c r="E34" s="717">
        <v>18.100000000000001</v>
      </c>
      <c r="F34" s="715" t="s">
        <v>642</v>
      </c>
      <c r="G34" s="715" t="s">
        <v>642</v>
      </c>
    </row>
    <row r="35" spans="1:7" x14ac:dyDescent="0.3">
      <c r="A35" s="733" t="s">
        <v>773</v>
      </c>
      <c r="B35" s="734">
        <v>11776.8</v>
      </c>
      <c r="C35" s="711">
        <v>-7476.3</v>
      </c>
      <c r="D35" s="711">
        <v>1667.4</v>
      </c>
      <c r="E35" s="713">
        <v>8488.9</v>
      </c>
      <c r="F35" s="711">
        <v>13022.7</v>
      </c>
      <c r="G35" s="711">
        <v>21477.7</v>
      </c>
    </row>
    <row r="36" spans="1:7" x14ac:dyDescent="0.3">
      <c r="A36" s="735" t="s">
        <v>774</v>
      </c>
      <c r="B36" s="736">
        <v>1092.7</v>
      </c>
      <c r="C36" s="715">
        <v>233.9</v>
      </c>
      <c r="D36" s="715">
        <v>606.5</v>
      </c>
      <c r="E36" s="718">
        <v>2020.2</v>
      </c>
      <c r="F36" s="715" t="s">
        <v>642</v>
      </c>
      <c r="G36" s="715" t="s">
        <v>642</v>
      </c>
    </row>
    <row r="37" spans="1:7" x14ac:dyDescent="0.3">
      <c r="A37" s="735" t="s">
        <v>775</v>
      </c>
      <c r="B37" s="737">
        <v>730.9</v>
      </c>
      <c r="C37" s="715">
        <v>243.1</v>
      </c>
      <c r="D37" s="715">
        <v>559.4</v>
      </c>
      <c r="E37" s="717" t="s">
        <v>642</v>
      </c>
      <c r="F37" s="715" t="s">
        <v>642</v>
      </c>
      <c r="G37" s="715" t="s">
        <v>642</v>
      </c>
    </row>
    <row r="38" spans="1:7" x14ac:dyDescent="0.3">
      <c r="A38" s="735" t="s">
        <v>776</v>
      </c>
      <c r="B38" s="737">
        <v>361.8</v>
      </c>
      <c r="C38" s="715">
        <v>-9.1999999999999993</v>
      </c>
      <c r="D38" s="715">
        <v>47.1</v>
      </c>
      <c r="E38" s="717" t="s">
        <v>642</v>
      </c>
      <c r="F38" s="715" t="s">
        <v>642</v>
      </c>
      <c r="G38" s="715" t="s">
        <v>642</v>
      </c>
    </row>
    <row r="39" spans="1:7" x14ac:dyDescent="0.3">
      <c r="A39" s="735" t="s">
        <v>1203</v>
      </c>
      <c r="B39" s="737">
        <v>-4.9000000000000004</v>
      </c>
      <c r="C39" s="715">
        <v>-2.6</v>
      </c>
      <c r="D39" s="715">
        <v>14.8</v>
      </c>
      <c r="E39" s="717">
        <v>3.9</v>
      </c>
      <c r="F39" s="715" t="s">
        <v>642</v>
      </c>
      <c r="G39" s="715" t="s">
        <v>642</v>
      </c>
    </row>
    <row r="40" spans="1:7" x14ac:dyDescent="0.3">
      <c r="A40" s="733" t="s">
        <v>778</v>
      </c>
      <c r="B40" s="734">
        <v>10689.1</v>
      </c>
      <c r="C40" s="711">
        <v>-7707.6</v>
      </c>
      <c r="D40" s="711">
        <v>1046.2</v>
      </c>
      <c r="E40" s="713">
        <v>6464.5</v>
      </c>
      <c r="F40" s="711">
        <v>10866.2</v>
      </c>
      <c r="G40" s="711">
        <v>17461.400000000001</v>
      </c>
    </row>
    <row r="41" spans="1:7" x14ac:dyDescent="0.3">
      <c r="A41" s="735" t="s">
        <v>779</v>
      </c>
      <c r="B41" s="737">
        <v>0</v>
      </c>
      <c r="C41" s="715">
        <v>0</v>
      </c>
      <c r="D41" s="715">
        <v>0</v>
      </c>
      <c r="E41" s="717">
        <v>0</v>
      </c>
      <c r="F41" s="715" t="s">
        <v>642</v>
      </c>
      <c r="G41" s="715" t="s">
        <v>642</v>
      </c>
    </row>
    <row r="42" spans="1:7" x14ac:dyDescent="0.3">
      <c r="A42" s="735" t="s">
        <v>780</v>
      </c>
      <c r="B42" s="737">
        <v>0</v>
      </c>
      <c r="C42" s="715">
        <v>0</v>
      </c>
      <c r="D42" s="715">
        <v>0</v>
      </c>
      <c r="E42" s="717">
        <v>0</v>
      </c>
      <c r="F42" s="715" t="s">
        <v>642</v>
      </c>
      <c r="G42" s="715" t="s">
        <v>642</v>
      </c>
    </row>
    <row r="43" spans="1:7" x14ac:dyDescent="0.3">
      <c r="A43" s="735" t="s">
        <v>781</v>
      </c>
      <c r="B43" s="737">
        <v>0</v>
      </c>
      <c r="C43" s="715">
        <v>0</v>
      </c>
      <c r="D43" s="715">
        <v>0</v>
      </c>
      <c r="E43" s="717">
        <v>0</v>
      </c>
      <c r="F43" s="715" t="s">
        <v>642</v>
      </c>
      <c r="G43" s="715" t="s">
        <v>642</v>
      </c>
    </row>
    <row r="44" spans="1:7" x14ac:dyDescent="0.3">
      <c r="A44" s="733" t="s">
        <v>782</v>
      </c>
      <c r="B44" s="734">
        <v>10689.1</v>
      </c>
      <c r="C44" s="711">
        <v>-7707.6</v>
      </c>
      <c r="D44" s="711">
        <v>1046.2</v>
      </c>
      <c r="E44" s="713">
        <v>6501.5</v>
      </c>
      <c r="F44" s="710" t="s">
        <v>642</v>
      </c>
      <c r="G44" s="710" t="s">
        <v>642</v>
      </c>
    </row>
    <row r="45" spans="1:7" x14ac:dyDescent="0.3">
      <c r="A45" s="735" t="s">
        <v>783</v>
      </c>
      <c r="B45" s="737">
        <v>0</v>
      </c>
      <c r="C45" s="715">
        <v>0</v>
      </c>
      <c r="D45" s="715">
        <v>0</v>
      </c>
      <c r="E45" s="717">
        <v>0</v>
      </c>
      <c r="F45" s="715" t="s">
        <v>642</v>
      </c>
      <c r="G45" s="715" t="s">
        <v>642</v>
      </c>
    </row>
    <row r="46" spans="1:7" x14ac:dyDescent="0.3">
      <c r="A46" s="733" t="s">
        <v>784</v>
      </c>
      <c r="B46" s="734">
        <v>10689.1</v>
      </c>
      <c r="C46" s="711">
        <v>-7707.6</v>
      </c>
      <c r="D46" s="711">
        <v>1046.2</v>
      </c>
      <c r="E46" s="713">
        <v>6464.5</v>
      </c>
      <c r="F46" s="711">
        <v>10866.2</v>
      </c>
      <c r="G46" s="711">
        <v>17461.400000000001</v>
      </c>
    </row>
    <row r="47" spans="1:7" x14ac:dyDescent="0.3">
      <c r="A47" s="735" t="s">
        <v>785</v>
      </c>
      <c r="B47" s="737">
        <v>0</v>
      </c>
      <c r="C47" s="715">
        <v>0</v>
      </c>
      <c r="D47" s="715">
        <v>0</v>
      </c>
      <c r="E47" s="717">
        <v>0</v>
      </c>
      <c r="F47" s="715" t="s">
        <v>642</v>
      </c>
      <c r="G47" s="715" t="s">
        <v>642</v>
      </c>
    </row>
    <row r="48" spans="1:7" x14ac:dyDescent="0.3">
      <c r="A48" s="735" t="s">
        <v>786</v>
      </c>
      <c r="B48" s="737">
        <v>0</v>
      </c>
      <c r="C48" s="715">
        <v>0</v>
      </c>
      <c r="D48" s="715">
        <v>0</v>
      </c>
      <c r="E48" s="717">
        <v>0</v>
      </c>
      <c r="F48" s="715" t="s">
        <v>642</v>
      </c>
      <c r="G48" s="715" t="s">
        <v>642</v>
      </c>
    </row>
    <row r="49" spans="1:7" x14ac:dyDescent="0.3">
      <c r="A49" s="733" t="s">
        <v>787</v>
      </c>
      <c r="B49" s="734">
        <v>10689.1</v>
      </c>
      <c r="C49" s="711">
        <v>-7707.6</v>
      </c>
      <c r="D49" s="711">
        <v>1046.2</v>
      </c>
      <c r="E49" s="713">
        <v>6464.5</v>
      </c>
      <c r="F49" s="711">
        <v>10866.2</v>
      </c>
      <c r="G49" s="711">
        <v>17461.400000000001</v>
      </c>
    </row>
    <row r="50" spans="1:7" x14ac:dyDescent="0.3">
      <c r="A50" s="733" t="s">
        <v>642</v>
      </c>
      <c r="B50" s="740" t="s">
        <v>642</v>
      </c>
      <c r="C50" s="710" t="s">
        <v>642</v>
      </c>
      <c r="D50" s="710" t="s">
        <v>642</v>
      </c>
      <c r="E50" s="712" t="s">
        <v>642</v>
      </c>
      <c r="F50" s="710" t="s">
        <v>642</v>
      </c>
      <c r="G50" s="710" t="s">
        <v>642</v>
      </c>
    </row>
    <row r="51" spans="1:7" x14ac:dyDescent="0.3">
      <c r="A51" s="733" t="s">
        <v>788</v>
      </c>
      <c r="B51" s="734">
        <v>11038.3</v>
      </c>
      <c r="C51" s="711">
        <v>-7060.8</v>
      </c>
      <c r="D51" s="711">
        <v>1063.7</v>
      </c>
      <c r="E51" s="713">
        <v>7105.8</v>
      </c>
      <c r="F51" s="711">
        <v>11436.4</v>
      </c>
      <c r="G51" s="711">
        <v>18039.900000000001</v>
      </c>
    </row>
    <row r="52" spans="1:7" x14ac:dyDescent="0.3">
      <c r="A52" s="735" t="s">
        <v>789</v>
      </c>
      <c r="B52" s="737">
        <v>349.2</v>
      </c>
      <c r="C52" s="715">
        <v>646.79999999999995</v>
      </c>
      <c r="D52" s="715">
        <v>17.5</v>
      </c>
      <c r="E52" s="717">
        <v>634.4</v>
      </c>
      <c r="F52" s="715" t="s">
        <v>642</v>
      </c>
      <c r="G52" s="715" t="s">
        <v>642</v>
      </c>
    </row>
    <row r="53" spans="1:7" x14ac:dyDescent="0.3">
      <c r="A53" s="735" t="s">
        <v>790</v>
      </c>
      <c r="B53" s="737">
        <v>0</v>
      </c>
      <c r="C53" s="715">
        <v>0</v>
      </c>
      <c r="D53" s="715">
        <v>0</v>
      </c>
      <c r="E53" s="717">
        <v>0</v>
      </c>
      <c r="F53" s="715" t="s">
        <v>642</v>
      </c>
      <c r="G53" s="715" t="s">
        <v>642</v>
      </c>
    </row>
    <row r="54" spans="1:7" x14ac:dyDescent="0.3">
      <c r="A54" s="733" t="s">
        <v>642</v>
      </c>
      <c r="B54" s="740" t="s">
        <v>642</v>
      </c>
      <c r="C54" s="710" t="s">
        <v>642</v>
      </c>
      <c r="D54" s="710" t="s">
        <v>642</v>
      </c>
      <c r="E54" s="712" t="s">
        <v>642</v>
      </c>
      <c r="F54" s="710" t="s">
        <v>642</v>
      </c>
      <c r="G54" s="710" t="s">
        <v>642</v>
      </c>
    </row>
    <row r="55" spans="1:7" x14ac:dyDescent="0.3">
      <c r="A55" s="735" t="s">
        <v>791</v>
      </c>
      <c r="B55" s="736">
        <v>1112</v>
      </c>
      <c r="C55" s="716">
        <v>1093</v>
      </c>
      <c r="D55" s="716">
        <v>1105</v>
      </c>
      <c r="E55" s="718">
        <v>1115</v>
      </c>
      <c r="F55" s="715" t="s">
        <v>642</v>
      </c>
      <c r="G55" s="715" t="s">
        <v>642</v>
      </c>
    </row>
    <row r="56" spans="1:7" x14ac:dyDescent="0.3">
      <c r="A56" s="733" t="s">
        <v>792</v>
      </c>
      <c r="B56" s="734">
        <v>9609.9500000000007</v>
      </c>
      <c r="C56" s="711">
        <v>-7056.15</v>
      </c>
      <c r="D56" s="710">
        <v>941.29</v>
      </c>
      <c r="E56" s="713">
        <v>5812.19</v>
      </c>
      <c r="F56" s="711">
        <v>9744.8700000000008</v>
      </c>
      <c r="G56" s="711">
        <v>15550.51</v>
      </c>
    </row>
    <row r="57" spans="1:7" x14ac:dyDescent="0.3">
      <c r="A57" s="733" t="s">
        <v>793</v>
      </c>
      <c r="B57" s="734">
        <v>9609.9500000000007</v>
      </c>
      <c r="C57" s="711">
        <v>-7056.15</v>
      </c>
      <c r="D57" s="710">
        <v>941.29</v>
      </c>
      <c r="E57" s="713">
        <v>5812.19</v>
      </c>
      <c r="F57" s="711">
        <v>9744.8700000000008</v>
      </c>
      <c r="G57" s="711">
        <v>15550.51</v>
      </c>
    </row>
    <row r="58" spans="1:7" x14ac:dyDescent="0.3">
      <c r="A58" s="733" t="s">
        <v>794</v>
      </c>
      <c r="B58" s="734">
        <v>9926.51</v>
      </c>
      <c r="C58" s="711">
        <v>-6460</v>
      </c>
      <c r="D58" s="710">
        <v>962.61</v>
      </c>
      <c r="E58" s="713">
        <v>6394.87</v>
      </c>
      <c r="F58" s="711">
        <v>10125.799999999999</v>
      </c>
      <c r="G58" s="711">
        <v>16232.65</v>
      </c>
    </row>
    <row r="59" spans="1:7" x14ac:dyDescent="0.3">
      <c r="A59" s="733" t="s">
        <v>642</v>
      </c>
      <c r="B59" s="740" t="s">
        <v>642</v>
      </c>
      <c r="C59" s="710" t="s">
        <v>642</v>
      </c>
      <c r="D59" s="710" t="s">
        <v>642</v>
      </c>
      <c r="E59" s="712" t="s">
        <v>642</v>
      </c>
      <c r="F59" s="710" t="s">
        <v>642</v>
      </c>
      <c r="G59" s="710" t="s">
        <v>642</v>
      </c>
    </row>
    <row r="60" spans="1:7" x14ac:dyDescent="0.3">
      <c r="A60" s="735" t="s">
        <v>795</v>
      </c>
      <c r="B60" s="736">
        <v>1122</v>
      </c>
      <c r="C60" s="716">
        <v>1093</v>
      </c>
      <c r="D60" s="716">
        <v>1118</v>
      </c>
      <c r="E60" s="718">
        <v>1123</v>
      </c>
      <c r="F60" s="715" t="s">
        <v>642</v>
      </c>
      <c r="G60" s="715" t="s">
        <v>642</v>
      </c>
    </row>
    <row r="61" spans="1:7" x14ac:dyDescent="0.3">
      <c r="A61" s="733" t="s">
        <v>796</v>
      </c>
      <c r="B61" s="734">
        <v>9536.1200000000008</v>
      </c>
      <c r="C61" s="711">
        <v>-7056.15</v>
      </c>
      <c r="D61" s="710">
        <v>941.29</v>
      </c>
      <c r="E61" s="713">
        <v>5499.65</v>
      </c>
      <c r="F61" s="711">
        <v>9744.8700000000008</v>
      </c>
      <c r="G61" s="711">
        <v>15550.51</v>
      </c>
    </row>
    <row r="62" spans="1:7" x14ac:dyDescent="0.3">
      <c r="A62" s="733" t="s">
        <v>797</v>
      </c>
      <c r="B62" s="734">
        <v>9536.1200000000008</v>
      </c>
      <c r="C62" s="711">
        <v>-7056.15</v>
      </c>
      <c r="D62" s="710">
        <v>941.29</v>
      </c>
      <c r="E62" s="713">
        <v>5499.65</v>
      </c>
      <c r="F62" s="711">
        <v>9744.8700000000008</v>
      </c>
      <c r="G62" s="711">
        <v>15550.51</v>
      </c>
    </row>
    <row r="63" spans="1:7" x14ac:dyDescent="0.3">
      <c r="A63" s="733" t="s">
        <v>798</v>
      </c>
      <c r="B63" s="734">
        <v>9847.36</v>
      </c>
      <c r="C63" s="711">
        <v>-6464.37</v>
      </c>
      <c r="D63" s="710">
        <v>956.95</v>
      </c>
      <c r="E63" s="713">
        <v>6070.01</v>
      </c>
      <c r="F63" s="711">
        <v>10125.799999999999</v>
      </c>
      <c r="G63" s="711">
        <v>16232.65</v>
      </c>
    </row>
    <row r="64" spans="1:7" x14ac:dyDescent="0.3">
      <c r="A64" s="733" t="s">
        <v>642</v>
      </c>
      <c r="B64" s="740" t="s">
        <v>642</v>
      </c>
      <c r="C64" s="710" t="s">
        <v>642</v>
      </c>
      <c r="D64" s="710" t="s">
        <v>642</v>
      </c>
      <c r="E64" s="712" t="s">
        <v>642</v>
      </c>
      <c r="F64" s="710" t="s">
        <v>642</v>
      </c>
      <c r="G64" s="710" t="s">
        <v>642</v>
      </c>
    </row>
    <row r="65" spans="1:7" x14ac:dyDescent="0.3">
      <c r="A65" s="733" t="s">
        <v>799</v>
      </c>
      <c r="B65" s="740" t="s">
        <v>642</v>
      </c>
      <c r="C65" s="710" t="s">
        <v>642</v>
      </c>
      <c r="D65" s="710" t="s">
        <v>642</v>
      </c>
      <c r="E65" s="712" t="s">
        <v>642</v>
      </c>
      <c r="F65" s="710" t="s">
        <v>642</v>
      </c>
      <c r="G65" s="710" t="s">
        <v>642</v>
      </c>
    </row>
    <row r="66" spans="1:7" x14ac:dyDescent="0.3">
      <c r="A66" s="735" t="s">
        <v>800</v>
      </c>
      <c r="B66" s="737" t="s">
        <v>1182</v>
      </c>
      <c r="C66" s="715" t="s">
        <v>1182</v>
      </c>
      <c r="D66" s="715" t="s">
        <v>1182</v>
      </c>
      <c r="E66" s="717" t="s">
        <v>642</v>
      </c>
      <c r="F66" s="715" t="s">
        <v>642</v>
      </c>
      <c r="G66" s="715" t="s">
        <v>642</v>
      </c>
    </row>
    <row r="67" spans="1:7" x14ac:dyDescent="0.3">
      <c r="A67" s="735" t="s">
        <v>216</v>
      </c>
      <c r="B67" s="736">
        <v>20893.3</v>
      </c>
      <c r="C67" s="716">
        <v>3258.5</v>
      </c>
      <c r="D67" s="716">
        <v>12080.8</v>
      </c>
      <c r="E67" s="718">
        <v>19869.599999999999</v>
      </c>
      <c r="F67" s="716">
        <v>24238.799999999999</v>
      </c>
      <c r="G67" s="716">
        <v>32441.200000000001</v>
      </c>
    </row>
    <row r="68" spans="1:7" x14ac:dyDescent="0.3">
      <c r="A68" s="735" t="s">
        <v>802</v>
      </c>
      <c r="B68" s="737">
        <v>55.21</v>
      </c>
      <c r="C68" s="715">
        <v>15.87</v>
      </c>
      <c r="D68" s="715">
        <v>35.78</v>
      </c>
      <c r="E68" s="717">
        <v>45.84</v>
      </c>
      <c r="F68" s="715">
        <v>46.53</v>
      </c>
      <c r="G68" s="715">
        <v>48.73</v>
      </c>
    </row>
    <row r="69" spans="1:7" x14ac:dyDescent="0.3">
      <c r="A69" s="735" t="s">
        <v>803</v>
      </c>
      <c r="B69" s="736">
        <v>12243.2</v>
      </c>
      <c r="C69" s="716">
        <v>-6876.4</v>
      </c>
      <c r="D69" s="716">
        <v>1726.6</v>
      </c>
      <c r="E69" s="718">
        <v>8806.9</v>
      </c>
      <c r="F69" s="715" t="s">
        <v>642</v>
      </c>
      <c r="G69" s="715" t="s">
        <v>642</v>
      </c>
    </row>
    <row r="70" spans="1:7" x14ac:dyDescent="0.3">
      <c r="A70" s="735" t="s">
        <v>460</v>
      </c>
      <c r="B70" s="736">
        <v>11983.5</v>
      </c>
      <c r="C70" s="716">
        <v>-7171.1</v>
      </c>
      <c r="D70" s="716">
        <v>1430.8</v>
      </c>
      <c r="E70" s="718">
        <v>8552.7000000000007</v>
      </c>
      <c r="F70" s="716">
        <v>13129.1</v>
      </c>
      <c r="G70" s="716">
        <v>21969.200000000001</v>
      </c>
    </row>
    <row r="71" spans="1:7" x14ac:dyDescent="0.3">
      <c r="A71" s="735" t="s">
        <v>804</v>
      </c>
      <c r="B71" s="737">
        <v>45.11</v>
      </c>
      <c r="C71" s="715">
        <v>-9.23</v>
      </c>
      <c r="D71" s="715">
        <v>22.28</v>
      </c>
      <c r="E71" s="717">
        <v>34.71</v>
      </c>
      <c r="F71" s="715">
        <v>38.18</v>
      </c>
      <c r="G71" s="715">
        <v>43.67</v>
      </c>
    </row>
    <row r="72" spans="1:7" x14ac:dyDescent="0.3">
      <c r="A72" s="735" t="s">
        <v>227</v>
      </c>
      <c r="B72" s="737">
        <v>31.66</v>
      </c>
      <c r="C72" s="715">
        <v>-34.92</v>
      </c>
      <c r="D72" s="715">
        <v>4.24</v>
      </c>
      <c r="E72" s="717">
        <v>19.68</v>
      </c>
      <c r="F72" s="715">
        <v>25.2</v>
      </c>
      <c r="G72" s="715">
        <v>33</v>
      </c>
    </row>
    <row r="73" spans="1:7" x14ac:dyDescent="0.3">
      <c r="A73" s="735" t="s">
        <v>197</v>
      </c>
      <c r="B73" s="737">
        <v>29.17</v>
      </c>
      <c r="C73" s="715">
        <v>-34.39</v>
      </c>
      <c r="D73" s="715">
        <v>3.15</v>
      </c>
      <c r="E73" s="717">
        <v>16.399999999999999</v>
      </c>
      <c r="F73" s="715">
        <v>21.95</v>
      </c>
      <c r="G73" s="715">
        <v>27.1</v>
      </c>
    </row>
    <row r="74" spans="1:7" x14ac:dyDescent="0.3">
      <c r="A74" s="735" t="s">
        <v>1183</v>
      </c>
      <c r="B74" s="753">
        <v>788473300</v>
      </c>
      <c r="C74" s="753">
        <v>477539300</v>
      </c>
      <c r="D74" s="753">
        <v>703476500</v>
      </c>
      <c r="E74" s="717" t="s">
        <v>642</v>
      </c>
      <c r="F74" s="715" t="s">
        <v>642</v>
      </c>
      <c r="G74" s="715" t="s">
        <v>642</v>
      </c>
    </row>
    <row r="75" spans="1:7" x14ac:dyDescent="0.3">
      <c r="A75" s="735" t="s">
        <v>805</v>
      </c>
      <c r="B75" s="737">
        <v>529.1</v>
      </c>
      <c r="C75" s="715">
        <v>607.83000000000004</v>
      </c>
      <c r="D75" s="715">
        <v>154.63999999999999</v>
      </c>
      <c r="E75" s="717">
        <v>636.49</v>
      </c>
      <c r="F75" s="715">
        <v>764.6</v>
      </c>
      <c r="G75" s="715">
        <v>745</v>
      </c>
    </row>
    <row r="76" spans="1:7" x14ac:dyDescent="0.3">
      <c r="A76" s="735" t="s">
        <v>806</v>
      </c>
      <c r="B76" s="737">
        <v>588.4</v>
      </c>
      <c r="C76" s="715">
        <v>664.4</v>
      </c>
      <c r="D76" s="715">
        <v>170.9</v>
      </c>
      <c r="E76" s="717">
        <v>706.7</v>
      </c>
      <c r="F76" s="715" t="s">
        <v>642</v>
      </c>
      <c r="G76" s="715" t="s">
        <v>642</v>
      </c>
    </row>
    <row r="77" spans="1:7" x14ac:dyDescent="0.3">
      <c r="A77" s="735" t="s">
        <v>807</v>
      </c>
      <c r="B77" s="737">
        <v>94.7</v>
      </c>
      <c r="C77" s="715">
        <v>274.8</v>
      </c>
      <c r="D77" s="715">
        <v>302.60000000000002</v>
      </c>
      <c r="E77" s="717" t="s">
        <v>642</v>
      </c>
      <c r="F77" s="715" t="s">
        <v>642</v>
      </c>
      <c r="G77" s="715" t="s">
        <v>642</v>
      </c>
    </row>
    <row r="78" spans="1:7" x14ac:dyDescent="0.3">
      <c r="A78" s="735" t="s">
        <v>484</v>
      </c>
      <c r="B78" s="736">
        <v>8650.2000000000007</v>
      </c>
      <c r="C78" s="716">
        <v>10135</v>
      </c>
      <c r="D78" s="716">
        <v>10354.200000000001</v>
      </c>
      <c r="E78" s="718">
        <v>11094</v>
      </c>
      <c r="F78" s="715" t="s">
        <v>642</v>
      </c>
      <c r="G78" s="715" t="s">
        <v>642</v>
      </c>
    </row>
    <row r="79" spans="1:7" x14ac:dyDescent="0.3">
      <c r="A79" s="735" t="s">
        <v>810</v>
      </c>
      <c r="B79" s="737">
        <v>153.80000000000001</v>
      </c>
      <c r="C79" s="715">
        <v>181</v>
      </c>
      <c r="D79" s="715">
        <v>188.3</v>
      </c>
      <c r="E79" s="717">
        <v>203.4</v>
      </c>
      <c r="F79" s="715" t="s">
        <v>642</v>
      </c>
      <c r="G79" s="715" t="s">
        <v>642</v>
      </c>
    </row>
    <row r="80" spans="1:7" ht="52" x14ac:dyDescent="0.3">
      <c r="A80" s="741" t="s">
        <v>811</v>
      </c>
      <c r="B80" s="741" t="s">
        <v>812</v>
      </c>
      <c r="C80" s="724"/>
      <c r="D80" s="724"/>
      <c r="E80" s="724"/>
      <c r="F80" s="724"/>
      <c r="G80" s="723" t="s">
        <v>642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1"/>
  <sheetViews>
    <sheetView workbookViewId="0">
      <selection activeCell="D45" sqref="D45"/>
    </sheetView>
  </sheetViews>
  <sheetFormatPr defaultRowHeight="14" x14ac:dyDescent="0.3"/>
  <cols>
    <col min="1" max="1" width="36" bestFit="1" customWidth="1"/>
    <col min="2" max="3" width="9.08203125" hidden="1" customWidth="1"/>
    <col min="4" max="4" width="9.08203125" bestFit="1" customWidth="1"/>
  </cols>
  <sheetData>
    <row r="1" spans="1:5" ht="14.5" x14ac:dyDescent="0.35">
      <c r="A1" s="725" t="s">
        <v>642</v>
      </c>
      <c r="B1" s="701" t="s">
        <v>642</v>
      </c>
      <c r="C1" s="701" t="s">
        <v>642</v>
      </c>
      <c r="D1" s="701" t="s">
        <v>642</v>
      </c>
    </row>
    <row r="2" spans="1:5" ht="40" x14ac:dyDescent="0.4">
      <c r="A2" s="726" t="s">
        <v>1200</v>
      </c>
      <c r="B2" s="703"/>
      <c r="C2" s="702" t="s">
        <v>642</v>
      </c>
      <c r="D2" s="702" t="s">
        <v>642</v>
      </c>
      <c r="E2" s="702" t="s">
        <v>642</v>
      </c>
    </row>
    <row r="3" spans="1:5" x14ac:dyDescent="0.3">
      <c r="A3" s="728" t="s">
        <v>642</v>
      </c>
      <c r="B3" s="704" t="s">
        <v>642</v>
      </c>
      <c r="C3" s="704" t="s">
        <v>642</v>
      </c>
      <c r="D3" s="704" t="s">
        <v>642</v>
      </c>
    </row>
    <row r="4" spans="1:5" x14ac:dyDescent="0.3">
      <c r="A4" s="729" t="s">
        <v>723</v>
      </c>
      <c r="B4" s="706" t="s">
        <v>732</v>
      </c>
      <c r="C4" s="706" t="s">
        <v>733</v>
      </c>
      <c r="D4" s="706" t="s">
        <v>734</v>
      </c>
    </row>
    <row r="5" spans="1:5" x14ac:dyDescent="0.3">
      <c r="A5" s="731" t="s">
        <v>738</v>
      </c>
      <c r="B5" s="709">
        <v>44805</v>
      </c>
      <c r="C5" s="709">
        <v>45169</v>
      </c>
      <c r="D5" s="709">
        <v>45533</v>
      </c>
    </row>
    <row r="6" spans="1:5" x14ac:dyDescent="0.3">
      <c r="A6" s="733" t="s">
        <v>292</v>
      </c>
      <c r="B6" s="710" t="s">
        <v>642</v>
      </c>
      <c r="C6" s="710" t="s">
        <v>642</v>
      </c>
      <c r="D6" s="710" t="s">
        <v>642</v>
      </c>
    </row>
    <row r="7" spans="1:5" x14ac:dyDescent="0.3">
      <c r="A7" s="735" t="s">
        <v>814</v>
      </c>
      <c r="B7" s="716">
        <v>12662.4</v>
      </c>
      <c r="C7" s="716">
        <v>12720</v>
      </c>
      <c r="D7" s="716">
        <v>10803.9</v>
      </c>
    </row>
    <row r="8" spans="1:5" x14ac:dyDescent="0.3">
      <c r="A8" s="735" t="s">
        <v>815</v>
      </c>
      <c r="B8" s="716">
        <v>11211.7</v>
      </c>
      <c r="C8" s="716">
        <v>11371.6</v>
      </c>
      <c r="D8" s="716">
        <v>9384.5</v>
      </c>
    </row>
    <row r="9" spans="1:5" x14ac:dyDescent="0.3">
      <c r="A9" s="735" t="s">
        <v>816</v>
      </c>
      <c r="B9" s="716">
        <v>1450.7</v>
      </c>
      <c r="C9" s="716">
        <v>1348.4</v>
      </c>
      <c r="D9" s="716">
        <v>1419.5</v>
      </c>
    </row>
    <row r="10" spans="1:5" x14ac:dyDescent="0.3">
      <c r="A10" s="735" t="s">
        <v>817</v>
      </c>
      <c r="B10" s="716">
        <v>6466.2</v>
      </c>
      <c r="C10" s="716">
        <v>2715.3</v>
      </c>
      <c r="D10" s="716">
        <v>7222.6</v>
      </c>
    </row>
    <row r="11" spans="1:5" x14ac:dyDescent="0.3">
      <c r="A11" s="735" t="s">
        <v>818</v>
      </c>
      <c r="B11" s="716">
        <v>6466.2</v>
      </c>
      <c r="C11" s="716">
        <v>2715.3</v>
      </c>
      <c r="D11" s="716">
        <v>7222.6</v>
      </c>
    </row>
    <row r="12" spans="1:5" x14ac:dyDescent="0.3">
      <c r="A12" s="735" t="s">
        <v>819</v>
      </c>
      <c r="B12" s="715">
        <v>0</v>
      </c>
      <c r="C12" s="715">
        <v>0</v>
      </c>
      <c r="D12" s="715">
        <v>0</v>
      </c>
    </row>
    <row r="13" spans="1:5" x14ac:dyDescent="0.3">
      <c r="A13" s="735" t="s">
        <v>821</v>
      </c>
      <c r="B13" s="716">
        <v>9041.7999999999993</v>
      </c>
      <c r="C13" s="716">
        <v>11119.7</v>
      </c>
      <c r="D13" s="716">
        <v>11828.9</v>
      </c>
    </row>
    <row r="14" spans="1:5" x14ac:dyDescent="0.3">
      <c r="A14" s="735" t="s">
        <v>822</v>
      </c>
      <c r="B14" s="716">
        <v>1092.4000000000001</v>
      </c>
      <c r="C14" s="715">
        <v>875</v>
      </c>
      <c r="D14" s="716">
        <v>1056.9000000000001</v>
      </c>
    </row>
    <row r="15" spans="1:5" x14ac:dyDescent="0.3">
      <c r="A15" s="735" t="s">
        <v>823</v>
      </c>
      <c r="B15" s="716">
        <v>6554.4</v>
      </c>
      <c r="C15" s="716">
        <v>8102.1</v>
      </c>
      <c r="D15" s="716">
        <v>9028.6</v>
      </c>
    </row>
    <row r="16" spans="1:5" x14ac:dyDescent="0.3">
      <c r="A16" s="735" t="s">
        <v>824</v>
      </c>
      <c r="B16" s="716">
        <v>1395</v>
      </c>
      <c r="C16" s="716">
        <v>2142.5</v>
      </c>
      <c r="D16" s="716">
        <v>1743.3</v>
      </c>
    </row>
    <row r="17" spans="1:4" x14ac:dyDescent="0.3">
      <c r="A17" s="735" t="s">
        <v>825</v>
      </c>
      <c r="B17" s="715">
        <v>0</v>
      </c>
      <c r="C17" s="715">
        <v>0</v>
      </c>
      <c r="D17" s="715">
        <v>0</v>
      </c>
    </row>
    <row r="18" spans="1:4" x14ac:dyDescent="0.3">
      <c r="A18" s="735" t="s">
        <v>826</v>
      </c>
      <c r="B18" s="716">
        <v>1386.9</v>
      </c>
      <c r="C18" s="716">
        <v>1610.9</v>
      </c>
      <c r="D18" s="716">
        <v>2628.3</v>
      </c>
    </row>
    <row r="19" spans="1:4" x14ac:dyDescent="0.3">
      <c r="A19" s="735" t="s">
        <v>828</v>
      </c>
      <c r="B19" s="715">
        <v>9.5</v>
      </c>
      <c r="C19" s="715">
        <v>83.5</v>
      </c>
      <c r="D19" s="715">
        <v>126.6</v>
      </c>
    </row>
    <row r="20" spans="1:4" x14ac:dyDescent="0.3">
      <c r="A20" s="735" t="s">
        <v>1204</v>
      </c>
      <c r="B20" s="715">
        <v>17.600000000000001</v>
      </c>
      <c r="C20" s="715" t="s">
        <v>741</v>
      </c>
      <c r="D20" s="715" t="s">
        <v>741</v>
      </c>
    </row>
    <row r="21" spans="1:4" x14ac:dyDescent="0.3">
      <c r="A21" s="735" t="s">
        <v>829</v>
      </c>
      <c r="B21" s="715">
        <v>340.6</v>
      </c>
      <c r="C21" s="715">
        <v>257.2</v>
      </c>
      <c r="D21" s="715">
        <v>357.2</v>
      </c>
    </row>
    <row r="22" spans="1:4" x14ac:dyDescent="0.3">
      <c r="A22" s="735" t="s">
        <v>830</v>
      </c>
      <c r="B22" s="716">
        <v>1019.1</v>
      </c>
      <c r="C22" s="716">
        <v>1270.0999999999999</v>
      </c>
      <c r="D22" s="716">
        <v>2144.5</v>
      </c>
    </row>
    <row r="23" spans="1:4" x14ac:dyDescent="0.3">
      <c r="A23" s="733" t="s">
        <v>831</v>
      </c>
      <c r="B23" s="711">
        <v>29557.3</v>
      </c>
      <c r="C23" s="711">
        <v>28165.9</v>
      </c>
      <c r="D23" s="711">
        <v>32483.7</v>
      </c>
    </row>
    <row r="24" spans="1:4" x14ac:dyDescent="0.3">
      <c r="A24" s="735" t="s">
        <v>832</v>
      </c>
      <c r="B24" s="716">
        <v>53231.8</v>
      </c>
      <c r="C24" s="716">
        <v>51169.1</v>
      </c>
      <c r="D24" s="716">
        <v>53838.3</v>
      </c>
    </row>
    <row r="25" spans="1:4" x14ac:dyDescent="0.3">
      <c r="A25" s="735" t="s">
        <v>833</v>
      </c>
      <c r="B25" s="716">
        <v>111287.9</v>
      </c>
      <c r="C25" s="716">
        <v>117005.8</v>
      </c>
      <c r="D25" s="716">
        <v>128874</v>
      </c>
    </row>
    <row r="26" spans="1:4" x14ac:dyDescent="0.3">
      <c r="A26" s="735" t="s">
        <v>834</v>
      </c>
      <c r="B26" s="716">
        <v>58056</v>
      </c>
      <c r="C26" s="716">
        <v>65836.7</v>
      </c>
      <c r="D26" s="716">
        <v>75035.7</v>
      </c>
    </row>
    <row r="27" spans="1:4" x14ac:dyDescent="0.3">
      <c r="A27" s="735" t="s">
        <v>835</v>
      </c>
      <c r="B27" s="716">
        <v>2235</v>
      </c>
      <c r="C27" s="716">
        <v>1119</v>
      </c>
      <c r="D27" s="716">
        <v>1394.1</v>
      </c>
    </row>
    <row r="28" spans="1:4" x14ac:dyDescent="0.3">
      <c r="A28" s="735" t="s">
        <v>1205</v>
      </c>
      <c r="B28" s="716">
        <v>2235</v>
      </c>
      <c r="C28" s="716">
        <v>1119</v>
      </c>
      <c r="D28" s="716">
        <v>1394.1</v>
      </c>
    </row>
    <row r="29" spans="1:4" x14ac:dyDescent="0.3">
      <c r="A29" s="735" t="s">
        <v>838</v>
      </c>
      <c r="B29" s="716">
        <v>4923.3</v>
      </c>
      <c r="C29" s="716">
        <v>4735.8999999999996</v>
      </c>
      <c r="D29" s="716">
        <v>4803.5</v>
      </c>
    </row>
    <row r="30" spans="1:4" x14ac:dyDescent="0.3">
      <c r="A30" s="735" t="s">
        <v>839</v>
      </c>
      <c r="B30" s="716">
        <v>2237.6999999999998</v>
      </c>
      <c r="C30" s="716">
        <v>2060.3000000000002</v>
      </c>
      <c r="D30" s="716">
        <v>2087.1999999999998</v>
      </c>
    </row>
    <row r="31" spans="1:4" x14ac:dyDescent="0.3">
      <c r="A31" s="738" t="s">
        <v>840</v>
      </c>
      <c r="B31" s="721">
        <v>1666.4</v>
      </c>
      <c r="C31" s="721">
        <v>1524.7</v>
      </c>
      <c r="D31" s="721">
        <v>1532.8</v>
      </c>
    </row>
    <row r="32" spans="1:4" x14ac:dyDescent="0.3">
      <c r="A32" s="738" t="s">
        <v>841</v>
      </c>
      <c r="B32" s="719">
        <v>571.29999999999995</v>
      </c>
      <c r="C32" s="719">
        <v>535.6</v>
      </c>
      <c r="D32" s="719">
        <v>554.5</v>
      </c>
    </row>
    <row r="33" spans="1:4" x14ac:dyDescent="0.3">
      <c r="A33" s="735" t="s">
        <v>843</v>
      </c>
      <c r="B33" s="715">
        <v>952.6</v>
      </c>
      <c r="C33" s="716">
        <v>1002.3</v>
      </c>
      <c r="D33" s="715">
        <v>693.1</v>
      </c>
    </row>
    <row r="34" spans="1:4" x14ac:dyDescent="0.3">
      <c r="A34" s="735" t="s">
        <v>828</v>
      </c>
      <c r="B34" s="715">
        <v>0</v>
      </c>
      <c r="C34" s="715">
        <v>0</v>
      </c>
      <c r="D34" s="715">
        <v>0</v>
      </c>
    </row>
    <row r="35" spans="1:4" x14ac:dyDescent="0.3">
      <c r="A35" s="735" t="s">
        <v>845</v>
      </c>
      <c r="B35" s="715" t="s">
        <v>741</v>
      </c>
      <c r="C35" s="715" t="s">
        <v>741</v>
      </c>
      <c r="D35" s="715" t="s">
        <v>741</v>
      </c>
    </row>
    <row r="36" spans="1:4" x14ac:dyDescent="0.3">
      <c r="A36" s="735" t="s">
        <v>846</v>
      </c>
      <c r="B36" s="716">
        <v>1732.9</v>
      </c>
      <c r="C36" s="716">
        <v>1673.2</v>
      </c>
      <c r="D36" s="716">
        <v>2023.2</v>
      </c>
    </row>
    <row r="37" spans="1:4" x14ac:dyDescent="0.3">
      <c r="A37" s="733" t="s">
        <v>847</v>
      </c>
      <c r="B37" s="711">
        <v>60390.1</v>
      </c>
      <c r="C37" s="711">
        <v>57023.9</v>
      </c>
      <c r="D37" s="711">
        <v>60036</v>
      </c>
    </row>
    <row r="38" spans="1:4" x14ac:dyDescent="0.3">
      <c r="A38" s="733" t="s">
        <v>292</v>
      </c>
      <c r="B38" s="711">
        <v>89947.4</v>
      </c>
      <c r="C38" s="711">
        <v>85189.9</v>
      </c>
      <c r="D38" s="711">
        <v>92519.7</v>
      </c>
    </row>
    <row r="39" spans="1:4" x14ac:dyDescent="0.3">
      <c r="A39" s="733" t="s">
        <v>642</v>
      </c>
      <c r="B39" s="710" t="s">
        <v>642</v>
      </c>
      <c r="C39" s="710" t="s">
        <v>642</v>
      </c>
      <c r="D39" s="710" t="s">
        <v>642</v>
      </c>
    </row>
    <row r="40" spans="1:4" x14ac:dyDescent="0.3">
      <c r="A40" s="733" t="s">
        <v>848</v>
      </c>
      <c r="B40" s="710" t="s">
        <v>642</v>
      </c>
      <c r="C40" s="710" t="s">
        <v>642</v>
      </c>
      <c r="D40" s="710" t="s">
        <v>642</v>
      </c>
    </row>
    <row r="41" spans="1:4" x14ac:dyDescent="0.3">
      <c r="A41" s="735" t="s">
        <v>849</v>
      </c>
      <c r="B41" s="716">
        <v>8264.2999999999993</v>
      </c>
      <c r="C41" s="716">
        <v>5247.6</v>
      </c>
      <c r="D41" s="716">
        <v>9728.2999999999993</v>
      </c>
    </row>
    <row r="42" spans="1:4" x14ac:dyDescent="0.3">
      <c r="A42" s="735" t="s">
        <v>850</v>
      </c>
      <c r="B42" s="716">
        <v>2906.7</v>
      </c>
      <c r="C42" s="716">
        <v>2287.1</v>
      </c>
      <c r="D42" s="716">
        <v>3633.3</v>
      </c>
    </row>
    <row r="43" spans="1:4" x14ac:dyDescent="0.3">
      <c r="A43" s="735" t="s">
        <v>851</v>
      </c>
      <c r="B43" s="715">
        <v>652.70000000000005</v>
      </c>
      <c r="C43" s="715">
        <v>503.8</v>
      </c>
      <c r="D43" s="715">
        <v>417.2</v>
      </c>
    </row>
    <row r="44" spans="1:4" x14ac:dyDescent="0.3">
      <c r="A44" s="735" t="s">
        <v>1188</v>
      </c>
      <c r="B44" s="715" t="s">
        <v>741</v>
      </c>
      <c r="C44" s="715" t="s">
        <v>741</v>
      </c>
      <c r="D44" s="715" t="s">
        <v>741</v>
      </c>
    </row>
    <row r="45" spans="1:4" x14ac:dyDescent="0.3">
      <c r="A45" s="735" t="s">
        <v>852</v>
      </c>
      <c r="B45" s="716">
        <v>4704.8</v>
      </c>
      <c r="C45" s="716">
        <v>2456.8000000000002</v>
      </c>
      <c r="D45" s="716">
        <v>5677.9</v>
      </c>
    </row>
    <row r="46" spans="1:4" x14ac:dyDescent="0.3">
      <c r="A46" s="735" t="s">
        <v>853</v>
      </c>
      <c r="B46" s="715">
        <v>139.80000000000001</v>
      </c>
      <c r="C46" s="715">
        <v>368.6</v>
      </c>
      <c r="D46" s="715">
        <v>669.1</v>
      </c>
    </row>
    <row r="47" spans="1:4" x14ac:dyDescent="0.3">
      <c r="A47" s="735" t="s">
        <v>854</v>
      </c>
      <c r="B47" s="715">
        <v>0</v>
      </c>
      <c r="C47" s="715">
        <v>0</v>
      </c>
      <c r="D47" s="715">
        <v>0</v>
      </c>
    </row>
    <row r="48" spans="1:4" x14ac:dyDescent="0.3">
      <c r="A48" s="735" t="s">
        <v>855</v>
      </c>
      <c r="B48" s="715">
        <v>139.80000000000001</v>
      </c>
      <c r="C48" s="715">
        <v>228</v>
      </c>
      <c r="D48" s="715">
        <v>527.79999999999995</v>
      </c>
    </row>
    <row r="49" spans="1:4" x14ac:dyDescent="0.3">
      <c r="A49" s="738" t="s">
        <v>1189</v>
      </c>
      <c r="B49" s="719">
        <v>139.80000000000001</v>
      </c>
      <c r="C49" s="719">
        <v>228</v>
      </c>
      <c r="D49" s="719">
        <v>433.2</v>
      </c>
    </row>
    <row r="50" spans="1:4" x14ac:dyDescent="0.3">
      <c r="A50" s="738" t="s">
        <v>1190</v>
      </c>
      <c r="B50" s="719" t="s">
        <v>741</v>
      </c>
      <c r="C50" s="719" t="s">
        <v>741</v>
      </c>
      <c r="D50" s="719">
        <v>94.6</v>
      </c>
    </row>
    <row r="51" spans="1:4" x14ac:dyDescent="0.3">
      <c r="A51" s="735" t="s">
        <v>856</v>
      </c>
      <c r="B51" s="715">
        <v>0</v>
      </c>
      <c r="C51" s="715">
        <v>140.5</v>
      </c>
      <c r="D51" s="715">
        <v>141.30000000000001</v>
      </c>
    </row>
    <row r="52" spans="1:4" x14ac:dyDescent="0.3">
      <c r="A52" s="735" t="s">
        <v>857</v>
      </c>
      <c r="B52" s="716">
        <v>1826.5</v>
      </c>
      <c r="C52" s="715">
        <v>701.4</v>
      </c>
      <c r="D52" s="716">
        <v>1928.6</v>
      </c>
    </row>
    <row r="53" spans="1:4" x14ac:dyDescent="0.3">
      <c r="A53" s="735" t="s">
        <v>858</v>
      </c>
      <c r="B53" s="715">
        <v>0</v>
      </c>
      <c r="C53" s="715">
        <v>0</v>
      </c>
      <c r="D53" s="715">
        <v>0</v>
      </c>
    </row>
    <row r="54" spans="1:4" x14ac:dyDescent="0.3">
      <c r="A54" s="735" t="s">
        <v>859</v>
      </c>
      <c r="B54" s="715">
        <v>561.79999999999995</v>
      </c>
      <c r="C54" s="715">
        <v>393.8</v>
      </c>
      <c r="D54" s="715">
        <v>242.6</v>
      </c>
    </row>
    <row r="55" spans="1:4" x14ac:dyDescent="0.3">
      <c r="A55" s="735" t="s">
        <v>860</v>
      </c>
      <c r="B55" s="716">
        <v>1264.7</v>
      </c>
      <c r="C55" s="715">
        <v>307.60000000000002</v>
      </c>
      <c r="D55" s="716">
        <v>1686</v>
      </c>
    </row>
    <row r="56" spans="1:4" x14ac:dyDescent="0.3">
      <c r="A56" s="733" t="s">
        <v>861</v>
      </c>
      <c r="B56" s="711">
        <v>10230.6</v>
      </c>
      <c r="C56" s="711">
        <v>6317.6</v>
      </c>
      <c r="D56" s="711">
        <v>12326</v>
      </c>
    </row>
    <row r="57" spans="1:4" x14ac:dyDescent="0.3">
      <c r="A57" s="735" t="s">
        <v>862</v>
      </c>
      <c r="B57" s="716">
        <v>10059.6</v>
      </c>
      <c r="C57" s="716">
        <v>18104.2</v>
      </c>
      <c r="D57" s="716">
        <v>18094.5</v>
      </c>
    </row>
    <row r="58" spans="1:4" x14ac:dyDescent="0.3">
      <c r="A58" s="735" t="s">
        <v>863</v>
      </c>
      <c r="B58" s="716">
        <v>8169.3</v>
      </c>
      <c r="C58" s="716">
        <v>15834.4</v>
      </c>
      <c r="D58" s="716">
        <v>14977</v>
      </c>
    </row>
    <row r="59" spans="1:4" x14ac:dyDescent="0.3">
      <c r="A59" s="735" t="s">
        <v>864</v>
      </c>
      <c r="B59" s="716">
        <v>1890.3</v>
      </c>
      <c r="C59" s="716">
        <v>2269.8000000000002</v>
      </c>
      <c r="D59" s="716">
        <v>3117.5</v>
      </c>
    </row>
    <row r="60" spans="1:4" x14ac:dyDescent="0.3">
      <c r="A60" s="738" t="s">
        <v>1191</v>
      </c>
      <c r="B60" s="721">
        <v>1062.5</v>
      </c>
      <c r="C60" s="721">
        <v>1470.3</v>
      </c>
      <c r="D60" s="721">
        <v>2304.5</v>
      </c>
    </row>
    <row r="61" spans="1:4" x14ac:dyDescent="0.3">
      <c r="A61" s="738" t="s">
        <v>1192</v>
      </c>
      <c r="B61" s="719">
        <v>827.8</v>
      </c>
      <c r="C61" s="719">
        <v>799.5</v>
      </c>
      <c r="D61" s="719">
        <v>813</v>
      </c>
    </row>
    <row r="62" spans="1:4" x14ac:dyDescent="0.3">
      <c r="A62" s="735" t="s">
        <v>865</v>
      </c>
      <c r="B62" s="716">
        <v>1932.4</v>
      </c>
      <c r="C62" s="716">
        <v>2272.5</v>
      </c>
      <c r="D62" s="716">
        <v>1947.3</v>
      </c>
    </row>
    <row r="63" spans="1:4" x14ac:dyDescent="0.3">
      <c r="A63" s="735" t="s">
        <v>866</v>
      </c>
      <c r="B63" s="715">
        <v>0</v>
      </c>
      <c r="C63" s="715">
        <v>0</v>
      </c>
      <c r="D63" s="715">
        <v>0</v>
      </c>
    </row>
    <row r="64" spans="1:4" x14ac:dyDescent="0.3">
      <c r="A64" s="735" t="s">
        <v>867</v>
      </c>
      <c r="B64" s="715">
        <v>0</v>
      </c>
      <c r="C64" s="715">
        <v>0</v>
      </c>
      <c r="D64" s="715">
        <v>0</v>
      </c>
    </row>
    <row r="65" spans="1:4" x14ac:dyDescent="0.3">
      <c r="A65" s="738" t="s">
        <v>868</v>
      </c>
      <c r="B65" s="719">
        <v>0</v>
      </c>
      <c r="C65" s="719">
        <v>0</v>
      </c>
      <c r="D65" s="719">
        <v>0</v>
      </c>
    </row>
    <row r="66" spans="1:4" x14ac:dyDescent="0.3">
      <c r="A66" s="738" t="s">
        <v>869</v>
      </c>
      <c r="B66" s="719">
        <v>0</v>
      </c>
      <c r="C66" s="719">
        <v>0</v>
      </c>
      <c r="D66" s="719">
        <v>0</v>
      </c>
    </row>
    <row r="67" spans="1:4" x14ac:dyDescent="0.3">
      <c r="A67" s="735" t="s">
        <v>858</v>
      </c>
      <c r="B67" s="715">
        <v>799.3</v>
      </c>
      <c r="C67" s="715">
        <v>963.9</v>
      </c>
      <c r="D67" s="715">
        <v>733.1</v>
      </c>
    </row>
    <row r="68" spans="1:4" x14ac:dyDescent="0.3">
      <c r="A68" s="735" t="s">
        <v>870</v>
      </c>
      <c r="B68" s="715">
        <v>17.600000000000001</v>
      </c>
      <c r="C68" s="715">
        <v>155.1</v>
      </c>
      <c r="D68" s="715">
        <v>78.599999999999994</v>
      </c>
    </row>
    <row r="69" spans="1:4" x14ac:dyDescent="0.3">
      <c r="A69" s="735" t="s">
        <v>859</v>
      </c>
      <c r="B69" s="715">
        <v>0</v>
      </c>
      <c r="C69" s="715">
        <v>0</v>
      </c>
      <c r="D69" s="715">
        <v>0</v>
      </c>
    </row>
    <row r="70" spans="1:4" x14ac:dyDescent="0.3">
      <c r="A70" s="735" t="s">
        <v>871</v>
      </c>
      <c r="B70" s="716">
        <v>1115.5</v>
      </c>
      <c r="C70" s="716">
        <v>1153.5</v>
      </c>
      <c r="D70" s="716">
        <v>1135.5999999999999</v>
      </c>
    </row>
    <row r="71" spans="1:4" x14ac:dyDescent="0.3">
      <c r="A71" s="733" t="s">
        <v>872</v>
      </c>
      <c r="B71" s="711">
        <v>11992</v>
      </c>
      <c r="C71" s="711">
        <v>20376.7</v>
      </c>
      <c r="D71" s="711">
        <v>20041.8</v>
      </c>
    </row>
    <row r="72" spans="1:4" x14ac:dyDescent="0.3">
      <c r="A72" s="733" t="s">
        <v>458</v>
      </c>
      <c r="B72" s="711">
        <v>22222.6</v>
      </c>
      <c r="C72" s="711">
        <v>26694.3</v>
      </c>
      <c r="D72" s="711">
        <v>32367.8</v>
      </c>
    </row>
    <row r="73" spans="1:4" x14ac:dyDescent="0.3">
      <c r="A73" s="735" t="s">
        <v>873</v>
      </c>
      <c r="B73" s="715">
        <v>0</v>
      </c>
      <c r="C73" s="715">
        <v>0</v>
      </c>
      <c r="D73" s="715">
        <v>0</v>
      </c>
    </row>
    <row r="74" spans="1:4" x14ac:dyDescent="0.3">
      <c r="A74" s="735" t="s">
        <v>874</v>
      </c>
      <c r="B74" s="716">
        <v>14004.4</v>
      </c>
      <c r="C74" s="716">
        <v>14796.3</v>
      </c>
      <c r="D74" s="716">
        <v>16313.8</v>
      </c>
    </row>
    <row r="75" spans="1:4" x14ac:dyDescent="0.3">
      <c r="A75" s="735" t="s">
        <v>875</v>
      </c>
      <c r="B75" s="715">
        <v>166.9</v>
      </c>
      <c r="C75" s="715">
        <v>164.4</v>
      </c>
      <c r="D75" s="715">
        <v>166.6</v>
      </c>
    </row>
    <row r="76" spans="1:4" x14ac:dyDescent="0.3">
      <c r="A76" s="735" t="s">
        <v>876</v>
      </c>
      <c r="B76" s="716">
        <v>13837.5</v>
      </c>
      <c r="C76" s="716">
        <v>14631.9</v>
      </c>
      <c r="D76" s="716">
        <v>16147.2</v>
      </c>
    </row>
    <row r="77" spans="1:4" x14ac:dyDescent="0.3">
      <c r="A77" s="735" t="s">
        <v>878</v>
      </c>
      <c r="B77" s="716">
        <v>9671.5</v>
      </c>
      <c r="C77" s="716">
        <v>10012.700000000001</v>
      </c>
      <c r="D77" s="716">
        <v>10465.4</v>
      </c>
    </row>
    <row r="78" spans="1:4" x14ac:dyDescent="0.3">
      <c r="A78" s="735" t="s">
        <v>879</v>
      </c>
      <c r="B78" s="716">
        <v>64151.8</v>
      </c>
      <c r="C78" s="716">
        <v>54125.7</v>
      </c>
      <c r="D78" s="716">
        <v>54482.1</v>
      </c>
    </row>
    <row r="79" spans="1:4" x14ac:dyDescent="0.3">
      <c r="A79" s="735" t="s">
        <v>880</v>
      </c>
      <c r="B79" s="715">
        <v>-759.9</v>
      </c>
      <c r="C79" s="715">
        <v>-413.7</v>
      </c>
      <c r="D79" s="715">
        <v>-178.6</v>
      </c>
    </row>
    <row r="80" spans="1:4" x14ac:dyDescent="0.3">
      <c r="A80" s="733" t="s">
        <v>881</v>
      </c>
      <c r="B80" s="711">
        <v>67724.800000000003</v>
      </c>
      <c r="C80" s="711">
        <v>58495.6</v>
      </c>
      <c r="D80" s="711">
        <v>60152</v>
      </c>
    </row>
    <row r="81" spans="1:4" x14ac:dyDescent="0.3">
      <c r="A81" s="735" t="s">
        <v>882</v>
      </c>
      <c r="B81" s="715">
        <v>0</v>
      </c>
      <c r="C81" s="715">
        <v>0</v>
      </c>
      <c r="D81" s="715">
        <v>0</v>
      </c>
    </row>
    <row r="82" spans="1:4" x14ac:dyDescent="0.3">
      <c r="A82" s="733" t="s">
        <v>883</v>
      </c>
      <c r="B82" s="711">
        <v>67724.800000000003</v>
      </c>
      <c r="C82" s="711">
        <v>58495.6</v>
      </c>
      <c r="D82" s="711">
        <v>60152</v>
      </c>
    </row>
    <row r="83" spans="1:4" x14ac:dyDescent="0.3">
      <c r="A83" s="733" t="s">
        <v>884</v>
      </c>
      <c r="B83" s="711">
        <v>89947.4</v>
      </c>
      <c r="C83" s="711">
        <v>85189.9</v>
      </c>
      <c r="D83" s="711">
        <v>92519.7</v>
      </c>
    </row>
    <row r="84" spans="1:4" x14ac:dyDescent="0.3">
      <c r="A84" s="733" t="s">
        <v>642</v>
      </c>
      <c r="B84" s="710" t="s">
        <v>642</v>
      </c>
      <c r="C84" s="710" t="s">
        <v>642</v>
      </c>
      <c r="D84" s="710" t="s">
        <v>642</v>
      </c>
    </row>
    <row r="85" spans="1:4" x14ac:dyDescent="0.3">
      <c r="A85" s="733" t="s">
        <v>799</v>
      </c>
      <c r="B85" s="710" t="s">
        <v>642</v>
      </c>
      <c r="C85" s="710" t="s">
        <v>642</v>
      </c>
      <c r="D85" s="710" t="s">
        <v>642</v>
      </c>
    </row>
    <row r="86" spans="1:4" x14ac:dyDescent="0.3">
      <c r="A86" s="735" t="s">
        <v>800</v>
      </c>
      <c r="B86" s="715" t="s">
        <v>1182</v>
      </c>
      <c r="C86" s="715" t="s">
        <v>1182</v>
      </c>
      <c r="D86" s="715" t="s">
        <v>1182</v>
      </c>
    </row>
    <row r="87" spans="1:4" x14ac:dyDescent="0.3">
      <c r="A87" s="735" t="s">
        <v>885</v>
      </c>
      <c r="B87" s="716">
        <v>1094</v>
      </c>
      <c r="C87" s="716">
        <v>1098</v>
      </c>
      <c r="D87" s="716">
        <v>1109</v>
      </c>
    </row>
    <row r="88" spans="1:4" x14ac:dyDescent="0.3">
      <c r="A88" s="735" t="s">
        <v>1193</v>
      </c>
      <c r="B88" s="715">
        <v>132</v>
      </c>
      <c r="C88" s="715">
        <v>141</v>
      </c>
      <c r="D88" s="715">
        <v>144</v>
      </c>
    </row>
    <row r="89" spans="1:4" x14ac:dyDescent="0.3">
      <c r="A89" s="735" t="s">
        <v>886</v>
      </c>
      <c r="B89" s="715">
        <v>0</v>
      </c>
      <c r="C89" s="715">
        <v>0</v>
      </c>
      <c r="D89" s="715">
        <v>0</v>
      </c>
    </row>
    <row r="90" spans="1:4" x14ac:dyDescent="0.3">
      <c r="A90" s="735" t="s">
        <v>887</v>
      </c>
      <c r="B90" s="716">
        <v>1099.2</v>
      </c>
      <c r="C90" s="716">
        <v>1084.5</v>
      </c>
      <c r="D90" s="716">
        <v>1090.3</v>
      </c>
    </row>
    <row r="91" spans="1:4" x14ac:dyDescent="0.3">
      <c r="A91" s="735" t="s">
        <v>1194</v>
      </c>
      <c r="B91" s="716">
        <v>1202.3</v>
      </c>
      <c r="C91" s="716">
        <v>1698.4</v>
      </c>
      <c r="D91" s="716">
        <v>2737.6</v>
      </c>
    </row>
    <row r="92" spans="1:4" x14ac:dyDescent="0.3">
      <c r="A92" s="735" t="s">
        <v>889</v>
      </c>
      <c r="B92" s="715">
        <v>0</v>
      </c>
      <c r="C92" s="715">
        <v>0</v>
      </c>
      <c r="D92" s="715" t="s">
        <v>741</v>
      </c>
    </row>
    <row r="93" spans="1:4" x14ac:dyDescent="0.3">
      <c r="A93" s="735" t="s">
        <v>890</v>
      </c>
      <c r="B93" s="715">
        <v>3</v>
      </c>
      <c r="C93" s="715">
        <v>2</v>
      </c>
      <c r="D93" s="715">
        <v>0.7</v>
      </c>
    </row>
    <row r="94" spans="1:4" x14ac:dyDescent="0.3">
      <c r="A94" s="735" t="s">
        <v>632</v>
      </c>
      <c r="B94" s="716">
        <v>-4698</v>
      </c>
      <c r="C94" s="716">
        <v>4633.8</v>
      </c>
      <c r="D94" s="716">
        <v>6565.5</v>
      </c>
    </row>
    <row r="95" spans="1:4" x14ac:dyDescent="0.3">
      <c r="A95" s="735" t="s">
        <v>891</v>
      </c>
      <c r="B95" s="715">
        <v>-6.94</v>
      </c>
      <c r="C95" s="715">
        <v>7.92</v>
      </c>
      <c r="D95" s="715">
        <v>10.91</v>
      </c>
    </row>
    <row r="96" spans="1:4" x14ac:dyDescent="0.3">
      <c r="A96" s="735" t="s">
        <v>892</v>
      </c>
      <c r="B96" s="715">
        <v>74.66</v>
      </c>
      <c r="C96" s="715">
        <v>67.89</v>
      </c>
      <c r="D96" s="715">
        <v>64.209999999999994</v>
      </c>
    </row>
    <row r="97" spans="1:4" x14ac:dyDescent="0.3">
      <c r="A97" s="735" t="s">
        <v>54</v>
      </c>
      <c r="B97" s="715">
        <v>2.89</v>
      </c>
      <c r="C97" s="715">
        <v>4.46</v>
      </c>
      <c r="D97" s="715">
        <v>2.64</v>
      </c>
    </row>
    <row r="98" spans="1:4" x14ac:dyDescent="0.3">
      <c r="A98" s="735" t="s">
        <v>64</v>
      </c>
      <c r="B98" s="715">
        <v>140.52000000000001</v>
      </c>
      <c r="C98" s="715">
        <v>203.66</v>
      </c>
      <c r="D98" s="715">
        <v>174.72</v>
      </c>
    </row>
    <row r="99" spans="1:4" x14ac:dyDescent="0.3">
      <c r="A99" s="735" t="s">
        <v>1195</v>
      </c>
      <c r="B99" s="716">
        <v>5143.1000000000004</v>
      </c>
      <c r="C99" s="716">
        <v>3248.3</v>
      </c>
      <c r="D99" s="716">
        <v>4451.7</v>
      </c>
    </row>
    <row r="100" spans="1:4" x14ac:dyDescent="0.3">
      <c r="A100" s="735" t="s">
        <v>1196</v>
      </c>
      <c r="B100" s="716">
        <v>48000</v>
      </c>
      <c r="C100" s="716">
        <v>43000</v>
      </c>
      <c r="D100" s="716">
        <v>48000</v>
      </c>
    </row>
    <row r="101" spans="1:4" x14ac:dyDescent="0.3">
      <c r="A101" s="741" t="s">
        <v>811</v>
      </c>
      <c r="B101" s="724"/>
      <c r="C101" s="724"/>
      <c r="D101" s="723" t="s">
        <v>642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70"/>
  <sheetViews>
    <sheetView workbookViewId="0"/>
  </sheetViews>
  <sheetFormatPr defaultRowHeight="14" x14ac:dyDescent="0.3"/>
  <cols>
    <col min="1" max="1" width="36" bestFit="1" customWidth="1"/>
    <col min="2" max="3" width="9.25" hidden="1" customWidth="1"/>
    <col min="4" max="4" width="9.25" bestFit="1" customWidth="1"/>
    <col min="5" max="5" width="9.25" hidden="1" customWidth="1"/>
  </cols>
  <sheetData>
    <row r="1" spans="1:6" ht="14.5" x14ac:dyDescent="0.35">
      <c r="A1" s="725" t="s">
        <v>642</v>
      </c>
      <c r="B1" s="701" t="s">
        <v>642</v>
      </c>
      <c r="C1" s="701" t="s">
        <v>642</v>
      </c>
      <c r="D1" s="701" t="s">
        <v>642</v>
      </c>
      <c r="E1" s="701" t="s">
        <v>642</v>
      </c>
    </row>
    <row r="2" spans="1:6" ht="40" x14ac:dyDescent="0.4">
      <c r="A2" s="726" t="s">
        <v>1200</v>
      </c>
      <c r="B2" s="703"/>
      <c r="C2" s="703"/>
      <c r="D2" s="702" t="s">
        <v>642</v>
      </c>
      <c r="E2" s="702" t="s">
        <v>642</v>
      </c>
      <c r="F2" s="702" t="s">
        <v>642</v>
      </c>
    </row>
    <row r="3" spans="1:6" x14ac:dyDescent="0.3">
      <c r="A3" s="728" t="s">
        <v>642</v>
      </c>
      <c r="B3" s="704" t="s">
        <v>642</v>
      </c>
      <c r="C3" s="704" t="s">
        <v>642</v>
      </c>
      <c r="D3" s="704" t="s">
        <v>642</v>
      </c>
      <c r="E3" s="704" t="s">
        <v>642</v>
      </c>
    </row>
    <row r="4" spans="1:6" x14ac:dyDescent="0.3">
      <c r="A4" s="729" t="s">
        <v>723</v>
      </c>
      <c r="B4" s="706" t="s">
        <v>732</v>
      </c>
      <c r="C4" s="706" t="s">
        <v>733</v>
      </c>
      <c r="D4" s="706" t="s">
        <v>734</v>
      </c>
      <c r="E4" s="706" t="s">
        <v>735</v>
      </c>
    </row>
    <row r="5" spans="1:6" x14ac:dyDescent="0.3">
      <c r="A5" s="731" t="s">
        <v>738</v>
      </c>
      <c r="B5" s="709">
        <v>44805</v>
      </c>
      <c r="C5" s="709">
        <v>45169</v>
      </c>
      <c r="D5" s="709">
        <v>45533</v>
      </c>
      <c r="E5" s="709">
        <v>45715</v>
      </c>
    </row>
    <row r="6" spans="1:6" x14ac:dyDescent="0.3">
      <c r="A6" s="733" t="s">
        <v>893</v>
      </c>
      <c r="B6" s="710" t="s">
        <v>642</v>
      </c>
      <c r="C6" s="710" t="s">
        <v>642</v>
      </c>
      <c r="D6" s="710" t="s">
        <v>642</v>
      </c>
      <c r="E6" s="712" t="s">
        <v>642</v>
      </c>
    </row>
    <row r="7" spans="1:6" x14ac:dyDescent="0.3">
      <c r="A7" s="735" t="s">
        <v>894</v>
      </c>
      <c r="B7" s="716">
        <v>10689.1</v>
      </c>
      <c r="C7" s="716">
        <v>-7707.6</v>
      </c>
      <c r="D7" s="716">
        <v>1046.2</v>
      </c>
      <c r="E7" s="718">
        <v>6464.5</v>
      </c>
    </row>
    <row r="8" spans="1:6" x14ac:dyDescent="0.3">
      <c r="A8" s="735" t="s">
        <v>895</v>
      </c>
      <c r="B8" s="716">
        <v>8756</v>
      </c>
      <c r="C8" s="716">
        <v>10248.6</v>
      </c>
      <c r="D8" s="716">
        <v>10461.799999999999</v>
      </c>
      <c r="E8" s="718">
        <v>11138.6</v>
      </c>
    </row>
    <row r="9" spans="1:6" x14ac:dyDescent="0.3">
      <c r="A9" s="735" t="s">
        <v>896</v>
      </c>
      <c r="B9" s="715">
        <v>766.6</v>
      </c>
      <c r="C9" s="716">
        <v>3345.7</v>
      </c>
      <c r="D9" s="716">
        <v>1498</v>
      </c>
      <c r="E9" s="718">
        <v>1673.7</v>
      </c>
    </row>
    <row r="10" spans="1:6" x14ac:dyDescent="0.3">
      <c r="A10" s="735" t="s">
        <v>897</v>
      </c>
      <c r="B10" s="715">
        <v>632.5</v>
      </c>
      <c r="C10" s="715">
        <v>787.5</v>
      </c>
      <c r="D10" s="716">
        <v>1120.0999999999999</v>
      </c>
      <c r="E10" s="718">
        <v>1248.5999999999999</v>
      </c>
    </row>
    <row r="11" spans="1:6" x14ac:dyDescent="0.3">
      <c r="A11" s="735" t="s">
        <v>1197</v>
      </c>
      <c r="B11" s="715" t="s">
        <v>741</v>
      </c>
      <c r="C11" s="715" t="s">
        <v>741</v>
      </c>
      <c r="D11" s="715" t="s">
        <v>741</v>
      </c>
      <c r="E11" s="717" t="s">
        <v>642</v>
      </c>
    </row>
    <row r="12" spans="1:6" x14ac:dyDescent="0.3">
      <c r="A12" s="735" t="s">
        <v>898</v>
      </c>
      <c r="B12" s="715">
        <v>134.1</v>
      </c>
      <c r="C12" s="716">
        <v>2558.1999999999998</v>
      </c>
      <c r="D12" s="715">
        <v>377.9</v>
      </c>
      <c r="E12" s="717">
        <v>425</v>
      </c>
    </row>
    <row r="13" spans="1:6" x14ac:dyDescent="0.3">
      <c r="A13" s="735" t="s">
        <v>899</v>
      </c>
      <c r="B13" s="716">
        <v>-1531.9</v>
      </c>
      <c r="C13" s="716">
        <v>-3826.7</v>
      </c>
      <c r="D13" s="716">
        <v>-1566.6</v>
      </c>
      <c r="E13" s="718">
        <v>-1192.7</v>
      </c>
    </row>
    <row r="14" spans="1:6" x14ac:dyDescent="0.3">
      <c r="A14" s="735" t="s">
        <v>900</v>
      </c>
      <c r="B14" s="715">
        <v>233.8</v>
      </c>
      <c r="C14" s="716">
        <v>3651</v>
      </c>
      <c r="D14" s="716">
        <v>-4815.3999999999996</v>
      </c>
      <c r="E14" s="718">
        <v>-2053.4</v>
      </c>
    </row>
    <row r="15" spans="1:6" x14ac:dyDescent="0.3">
      <c r="A15" s="735" t="s">
        <v>901</v>
      </c>
      <c r="B15" s="716">
        <v>-2681.2</v>
      </c>
      <c r="C15" s="716">
        <v>-4697.5</v>
      </c>
      <c r="D15" s="715">
        <v>-656.2</v>
      </c>
      <c r="E15" s="717">
        <v>-779</v>
      </c>
    </row>
    <row r="16" spans="1:6" x14ac:dyDescent="0.3">
      <c r="A16" s="735" t="s">
        <v>902</v>
      </c>
      <c r="B16" s="715" t="s">
        <v>741</v>
      </c>
      <c r="C16" s="715" t="s">
        <v>741</v>
      </c>
      <c r="D16" s="715">
        <v>0</v>
      </c>
      <c r="E16" s="717" t="s">
        <v>642</v>
      </c>
    </row>
    <row r="17" spans="1:5" x14ac:dyDescent="0.3">
      <c r="A17" s="735" t="s">
        <v>903</v>
      </c>
      <c r="B17" s="715">
        <v>915.5</v>
      </c>
      <c r="C17" s="716">
        <v>-2780.2</v>
      </c>
      <c r="D17" s="716">
        <v>3905</v>
      </c>
      <c r="E17" s="718">
        <v>1557.9</v>
      </c>
    </row>
    <row r="18" spans="1:5" x14ac:dyDescent="0.3">
      <c r="A18" s="735" t="s">
        <v>904</v>
      </c>
      <c r="B18" s="715">
        <v>0</v>
      </c>
      <c r="C18" s="715">
        <v>0</v>
      </c>
      <c r="D18" s="715">
        <v>0</v>
      </c>
      <c r="E18" s="717">
        <v>0</v>
      </c>
    </row>
    <row r="19" spans="1:5" x14ac:dyDescent="0.3">
      <c r="A19" s="733" t="s">
        <v>893</v>
      </c>
      <c r="B19" s="711">
        <v>18679.7</v>
      </c>
      <c r="C19" s="711">
        <v>2060</v>
      </c>
      <c r="D19" s="711">
        <v>11439.4</v>
      </c>
      <c r="E19" s="713">
        <v>18088.8</v>
      </c>
    </row>
    <row r="20" spans="1:5" x14ac:dyDescent="0.3">
      <c r="A20" s="733" t="s">
        <v>642</v>
      </c>
      <c r="B20" s="710" t="s">
        <v>642</v>
      </c>
      <c r="C20" s="710" t="s">
        <v>642</v>
      </c>
      <c r="D20" s="710" t="s">
        <v>642</v>
      </c>
      <c r="E20" s="712" t="s">
        <v>642</v>
      </c>
    </row>
    <row r="21" spans="1:5" x14ac:dyDescent="0.3">
      <c r="A21" s="733" t="s">
        <v>905</v>
      </c>
      <c r="B21" s="710" t="s">
        <v>642</v>
      </c>
      <c r="C21" s="710" t="s">
        <v>642</v>
      </c>
      <c r="D21" s="710" t="s">
        <v>642</v>
      </c>
      <c r="E21" s="712" t="s">
        <v>642</v>
      </c>
    </row>
    <row r="22" spans="1:5" x14ac:dyDescent="0.3">
      <c r="A22" s="735" t="s">
        <v>906</v>
      </c>
      <c r="B22" s="716">
        <v>-13755.4</v>
      </c>
      <c r="C22" s="716">
        <v>-10142.9</v>
      </c>
      <c r="D22" s="716">
        <v>-11276.7</v>
      </c>
      <c r="E22" s="718">
        <v>-17335.400000000001</v>
      </c>
    </row>
    <row r="23" spans="1:5" x14ac:dyDescent="0.3">
      <c r="A23" s="735" t="s">
        <v>907</v>
      </c>
      <c r="B23" s="716">
        <v>1092.7</v>
      </c>
      <c r="C23" s="715">
        <v>0</v>
      </c>
      <c r="D23" s="715">
        <v>0</v>
      </c>
      <c r="E23" s="717">
        <v>0</v>
      </c>
    </row>
    <row r="24" spans="1:5" x14ac:dyDescent="0.3">
      <c r="A24" s="738" t="s">
        <v>908</v>
      </c>
      <c r="B24" s="721">
        <v>1092.7</v>
      </c>
      <c r="C24" s="719">
        <v>0</v>
      </c>
      <c r="D24" s="719">
        <v>0</v>
      </c>
      <c r="E24" s="720">
        <v>0</v>
      </c>
    </row>
    <row r="25" spans="1:5" x14ac:dyDescent="0.3">
      <c r="A25" s="738" t="s">
        <v>909</v>
      </c>
      <c r="B25" s="719">
        <v>0</v>
      </c>
      <c r="C25" s="719">
        <v>0</v>
      </c>
      <c r="D25" s="719">
        <v>0</v>
      </c>
      <c r="E25" s="720">
        <v>0</v>
      </c>
    </row>
    <row r="26" spans="1:5" x14ac:dyDescent="0.3">
      <c r="A26" s="735" t="s">
        <v>910</v>
      </c>
      <c r="B26" s="716">
        <v>-14848.1</v>
      </c>
      <c r="C26" s="716">
        <v>-10142.9</v>
      </c>
      <c r="D26" s="716">
        <v>-11276.7</v>
      </c>
      <c r="E26" s="718">
        <v>-17335.400000000001</v>
      </c>
    </row>
    <row r="27" spans="1:5" x14ac:dyDescent="0.3">
      <c r="A27" s="738" t="s">
        <v>911</v>
      </c>
      <c r="B27" s="721">
        <v>-14848.1</v>
      </c>
      <c r="C27" s="721">
        <v>-10142.9</v>
      </c>
      <c r="D27" s="721">
        <v>-11276.7</v>
      </c>
      <c r="E27" s="722">
        <v>-17335.400000000001</v>
      </c>
    </row>
    <row r="28" spans="1:5" x14ac:dyDescent="0.3">
      <c r="A28" s="738" t="s">
        <v>912</v>
      </c>
      <c r="B28" s="719">
        <v>0</v>
      </c>
      <c r="C28" s="719">
        <v>0</v>
      </c>
      <c r="D28" s="719">
        <v>0</v>
      </c>
      <c r="E28" s="720">
        <v>0</v>
      </c>
    </row>
    <row r="29" spans="1:5" x14ac:dyDescent="0.3">
      <c r="A29" s="735" t="s">
        <v>913</v>
      </c>
      <c r="B29" s="715">
        <v>-190.7</v>
      </c>
      <c r="C29" s="716">
        <v>1147</v>
      </c>
      <c r="D29" s="715">
        <v>147.9</v>
      </c>
      <c r="E29" s="717">
        <v>-128.6</v>
      </c>
    </row>
    <row r="30" spans="1:5" x14ac:dyDescent="0.3">
      <c r="A30" s="735" t="s">
        <v>914</v>
      </c>
      <c r="B30" s="716">
        <v>1987.2</v>
      </c>
      <c r="C30" s="716">
        <v>2102.3000000000002</v>
      </c>
      <c r="D30" s="716">
        <v>2836</v>
      </c>
      <c r="E30" s="718">
        <v>3123</v>
      </c>
    </row>
    <row r="31" spans="1:5" x14ac:dyDescent="0.3">
      <c r="A31" s="735" t="s">
        <v>915</v>
      </c>
      <c r="B31" s="716">
        <v>-2177.9</v>
      </c>
      <c r="C31" s="715">
        <v>-955.4</v>
      </c>
      <c r="D31" s="716">
        <v>-2688.1</v>
      </c>
      <c r="E31" s="718">
        <v>-3251.6</v>
      </c>
    </row>
    <row r="32" spans="1:5" x14ac:dyDescent="0.3">
      <c r="A32" s="735" t="s">
        <v>916</v>
      </c>
      <c r="B32" s="715">
        <v>0</v>
      </c>
      <c r="C32" s="715">
        <v>0</v>
      </c>
      <c r="D32" s="715">
        <v>0</v>
      </c>
      <c r="E32" s="717">
        <v>0</v>
      </c>
    </row>
    <row r="33" spans="1:5" x14ac:dyDescent="0.3">
      <c r="A33" s="735" t="s">
        <v>917</v>
      </c>
      <c r="B33" s="715">
        <v>0</v>
      </c>
      <c r="C33" s="715">
        <v>0</v>
      </c>
      <c r="D33" s="715">
        <v>0</v>
      </c>
      <c r="E33" s="717">
        <v>0</v>
      </c>
    </row>
    <row r="34" spans="1:5" x14ac:dyDescent="0.3">
      <c r="A34" s="735" t="s">
        <v>918</v>
      </c>
      <c r="B34" s="715">
        <v>0</v>
      </c>
      <c r="C34" s="715">
        <v>0</v>
      </c>
      <c r="D34" s="715">
        <v>0</v>
      </c>
      <c r="E34" s="717">
        <v>0</v>
      </c>
    </row>
    <row r="35" spans="1:5" x14ac:dyDescent="0.3">
      <c r="A35" s="735" t="s">
        <v>919</v>
      </c>
      <c r="B35" s="715">
        <v>0</v>
      </c>
      <c r="C35" s="715">
        <v>0</v>
      </c>
      <c r="D35" s="715">
        <v>0</v>
      </c>
      <c r="E35" s="717">
        <v>0</v>
      </c>
    </row>
    <row r="36" spans="1:5" x14ac:dyDescent="0.3">
      <c r="A36" s="735" t="s">
        <v>920</v>
      </c>
      <c r="B36" s="715">
        <v>-308.8</v>
      </c>
      <c r="C36" s="715">
        <v>815.3</v>
      </c>
      <c r="D36" s="715">
        <v>-44.4</v>
      </c>
      <c r="E36" s="717">
        <v>970.5</v>
      </c>
    </row>
    <row r="37" spans="1:5" x14ac:dyDescent="0.3">
      <c r="A37" s="735" t="s">
        <v>904</v>
      </c>
      <c r="B37" s="715">
        <v>0</v>
      </c>
      <c r="C37" s="715">
        <v>0</v>
      </c>
      <c r="D37" s="715">
        <v>0</v>
      </c>
      <c r="E37" s="717">
        <v>0</v>
      </c>
    </row>
    <row r="38" spans="1:5" x14ac:dyDescent="0.3">
      <c r="A38" s="733" t="s">
        <v>905</v>
      </c>
      <c r="B38" s="711">
        <v>-14255</v>
      </c>
      <c r="C38" s="711">
        <v>-8180.6</v>
      </c>
      <c r="D38" s="711">
        <v>-11173.1</v>
      </c>
      <c r="E38" s="713">
        <v>-16465.7</v>
      </c>
    </row>
    <row r="39" spans="1:5" x14ac:dyDescent="0.3">
      <c r="A39" s="733" t="s">
        <v>642</v>
      </c>
      <c r="B39" s="710" t="s">
        <v>642</v>
      </c>
      <c r="C39" s="710" t="s">
        <v>642</v>
      </c>
      <c r="D39" s="710" t="s">
        <v>642</v>
      </c>
      <c r="E39" s="712" t="s">
        <v>642</v>
      </c>
    </row>
    <row r="40" spans="1:5" x14ac:dyDescent="0.3">
      <c r="A40" s="733" t="s">
        <v>921</v>
      </c>
      <c r="B40" s="710" t="s">
        <v>642</v>
      </c>
      <c r="C40" s="710" t="s">
        <v>642</v>
      </c>
      <c r="D40" s="710" t="s">
        <v>642</v>
      </c>
      <c r="E40" s="712" t="s">
        <v>642</v>
      </c>
    </row>
    <row r="41" spans="1:5" x14ac:dyDescent="0.3">
      <c r="A41" s="735" t="s">
        <v>922</v>
      </c>
      <c r="B41" s="715">
        <v>-567.20000000000005</v>
      </c>
      <c r="C41" s="715">
        <v>-666</v>
      </c>
      <c r="D41" s="715">
        <v>-689.8</v>
      </c>
      <c r="E41" s="717">
        <v>-716.7</v>
      </c>
    </row>
    <row r="42" spans="1:5" x14ac:dyDescent="0.3">
      <c r="A42" s="735" t="s">
        <v>923</v>
      </c>
      <c r="B42" s="715">
        <v>-39.4</v>
      </c>
      <c r="C42" s="716">
        <v>7868.8</v>
      </c>
      <c r="D42" s="716">
        <v>-1207.5</v>
      </c>
      <c r="E42" s="717">
        <v>-992.7</v>
      </c>
    </row>
    <row r="43" spans="1:5" x14ac:dyDescent="0.3">
      <c r="A43" s="735" t="s">
        <v>924</v>
      </c>
      <c r="B43" s="715">
        <v>0</v>
      </c>
      <c r="C43" s="715">
        <v>0</v>
      </c>
      <c r="D43" s="715">
        <v>0</v>
      </c>
      <c r="E43" s="717">
        <v>0</v>
      </c>
    </row>
    <row r="44" spans="1:5" x14ac:dyDescent="0.3">
      <c r="A44" s="735" t="s">
        <v>925</v>
      </c>
      <c r="B44" s="716">
        <v>2460.9</v>
      </c>
      <c r="C44" s="716">
        <v>8874.4</v>
      </c>
      <c r="D44" s="716">
        <v>1343.4</v>
      </c>
      <c r="E44" s="718">
        <v>3875.5</v>
      </c>
    </row>
    <row r="45" spans="1:5" x14ac:dyDescent="0.3">
      <c r="A45" s="735" t="s">
        <v>926</v>
      </c>
      <c r="B45" s="716">
        <v>-2500.3000000000002</v>
      </c>
      <c r="C45" s="716">
        <v>-1005.6</v>
      </c>
      <c r="D45" s="716">
        <v>-2550.9</v>
      </c>
      <c r="E45" s="718">
        <v>-4868.3</v>
      </c>
    </row>
    <row r="46" spans="1:5" x14ac:dyDescent="0.3">
      <c r="A46" s="735" t="s">
        <v>927</v>
      </c>
      <c r="B46" s="716">
        <v>-3146.3</v>
      </c>
      <c r="C46" s="715">
        <v>-561.6</v>
      </c>
      <c r="D46" s="715">
        <v>-403.4</v>
      </c>
      <c r="E46" s="717">
        <v>-411.7</v>
      </c>
    </row>
    <row r="47" spans="1:5" x14ac:dyDescent="0.3">
      <c r="A47" s="735" t="s">
        <v>928</v>
      </c>
      <c r="B47" s="715">
        <v>0</v>
      </c>
      <c r="C47" s="715">
        <v>0</v>
      </c>
      <c r="D47" s="715">
        <v>0</v>
      </c>
      <c r="E47" s="717">
        <v>0</v>
      </c>
    </row>
    <row r="48" spans="1:5" x14ac:dyDescent="0.3">
      <c r="A48" s="735" t="s">
        <v>929</v>
      </c>
      <c r="B48" s="716">
        <v>-3146.3</v>
      </c>
      <c r="C48" s="715">
        <v>-561.6</v>
      </c>
      <c r="D48" s="715">
        <v>-403.4</v>
      </c>
      <c r="E48" s="717">
        <v>-415.1</v>
      </c>
    </row>
    <row r="49" spans="1:5" x14ac:dyDescent="0.3">
      <c r="A49" s="735" t="s">
        <v>930</v>
      </c>
      <c r="B49" s="715">
        <v>86.1</v>
      </c>
      <c r="C49" s="715">
        <v>-56.8</v>
      </c>
      <c r="D49" s="715">
        <v>-176.2</v>
      </c>
      <c r="E49" s="717">
        <v>-199.1</v>
      </c>
    </row>
    <row r="50" spans="1:5" x14ac:dyDescent="0.3">
      <c r="A50" s="735" t="s">
        <v>904</v>
      </c>
      <c r="B50" s="715">
        <v>0</v>
      </c>
      <c r="C50" s="715">
        <v>0</v>
      </c>
      <c r="D50" s="715">
        <v>0</v>
      </c>
      <c r="E50" s="717">
        <v>0</v>
      </c>
    </row>
    <row r="51" spans="1:5" x14ac:dyDescent="0.3">
      <c r="A51" s="733" t="s">
        <v>921</v>
      </c>
      <c r="B51" s="711">
        <v>-3666.8</v>
      </c>
      <c r="C51" s="711">
        <v>6584.4</v>
      </c>
      <c r="D51" s="711">
        <v>-2476.9</v>
      </c>
      <c r="E51" s="713">
        <v>-2320.3000000000002</v>
      </c>
    </row>
    <row r="52" spans="1:5" x14ac:dyDescent="0.3">
      <c r="A52" s="733" t="s">
        <v>642</v>
      </c>
      <c r="B52" s="710" t="s">
        <v>642</v>
      </c>
      <c r="C52" s="710" t="s">
        <v>642</v>
      </c>
      <c r="D52" s="710" t="s">
        <v>642</v>
      </c>
      <c r="E52" s="712" t="s">
        <v>642</v>
      </c>
    </row>
    <row r="53" spans="1:5" x14ac:dyDescent="0.3">
      <c r="A53" s="735" t="s">
        <v>931</v>
      </c>
      <c r="B53" s="715">
        <v>-130.4</v>
      </c>
      <c r="C53" s="715">
        <v>-44.9</v>
      </c>
      <c r="D53" s="715">
        <v>53.8</v>
      </c>
      <c r="E53" s="717">
        <v>-2.4</v>
      </c>
    </row>
    <row r="54" spans="1:5" x14ac:dyDescent="0.3">
      <c r="A54" s="733" t="s">
        <v>642</v>
      </c>
      <c r="B54" s="710" t="s">
        <v>642</v>
      </c>
      <c r="C54" s="710" t="s">
        <v>642</v>
      </c>
      <c r="D54" s="710" t="s">
        <v>642</v>
      </c>
      <c r="E54" s="712" t="s">
        <v>642</v>
      </c>
    </row>
    <row r="55" spans="1:5" x14ac:dyDescent="0.3">
      <c r="A55" s="733" t="s">
        <v>304</v>
      </c>
      <c r="B55" s="710">
        <v>627.5</v>
      </c>
      <c r="C55" s="710">
        <v>418.9</v>
      </c>
      <c r="D55" s="711">
        <v>-2156.9</v>
      </c>
      <c r="E55" s="712">
        <v>-744.4</v>
      </c>
    </row>
    <row r="56" spans="1:5" x14ac:dyDescent="0.3">
      <c r="A56" s="733" t="s">
        <v>642</v>
      </c>
      <c r="B56" s="710" t="s">
        <v>642</v>
      </c>
      <c r="C56" s="710" t="s">
        <v>642</v>
      </c>
      <c r="D56" s="710" t="s">
        <v>642</v>
      </c>
      <c r="E56" s="712" t="s">
        <v>642</v>
      </c>
    </row>
    <row r="57" spans="1:5" x14ac:dyDescent="0.3">
      <c r="A57" s="733" t="s">
        <v>932</v>
      </c>
      <c r="B57" s="710">
        <v>606.6</v>
      </c>
      <c r="C57" s="710">
        <v>703</v>
      </c>
      <c r="D57" s="710">
        <v>454.5</v>
      </c>
      <c r="E57" s="712" t="s">
        <v>642</v>
      </c>
    </row>
    <row r="58" spans="1:5" x14ac:dyDescent="0.3">
      <c r="A58" s="733" t="s">
        <v>933</v>
      </c>
      <c r="B58" s="710">
        <v>189.5</v>
      </c>
      <c r="C58" s="710">
        <v>426.8</v>
      </c>
      <c r="D58" s="710">
        <v>676.4</v>
      </c>
      <c r="E58" s="712" t="s">
        <v>642</v>
      </c>
    </row>
    <row r="59" spans="1:5" x14ac:dyDescent="0.3">
      <c r="A59" s="733" t="s">
        <v>642</v>
      </c>
      <c r="B59" s="710" t="s">
        <v>642</v>
      </c>
      <c r="C59" s="710" t="s">
        <v>642</v>
      </c>
      <c r="D59" s="710" t="s">
        <v>642</v>
      </c>
      <c r="E59" s="712" t="s">
        <v>642</v>
      </c>
    </row>
    <row r="60" spans="1:5" x14ac:dyDescent="0.3">
      <c r="A60" s="733" t="s">
        <v>799</v>
      </c>
      <c r="B60" s="710" t="s">
        <v>642</v>
      </c>
      <c r="C60" s="710" t="s">
        <v>642</v>
      </c>
      <c r="D60" s="710" t="s">
        <v>642</v>
      </c>
      <c r="E60" s="712" t="s">
        <v>642</v>
      </c>
    </row>
    <row r="61" spans="1:5" x14ac:dyDescent="0.3">
      <c r="A61" s="735" t="s">
        <v>216</v>
      </c>
      <c r="B61" s="716">
        <v>20847.8</v>
      </c>
      <c r="C61" s="716">
        <v>2838.3</v>
      </c>
      <c r="D61" s="716">
        <v>12403.6</v>
      </c>
      <c r="E61" s="718">
        <v>19904.2</v>
      </c>
    </row>
    <row r="62" spans="1:5" x14ac:dyDescent="0.3">
      <c r="A62" s="735" t="s">
        <v>934</v>
      </c>
      <c r="B62" s="715">
        <v>55.08</v>
      </c>
      <c r="C62" s="715">
        <v>13.82</v>
      </c>
      <c r="D62" s="715">
        <v>36.729999999999997</v>
      </c>
      <c r="E62" s="717">
        <v>45.92</v>
      </c>
    </row>
    <row r="63" spans="1:5" x14ac:dyDescent="0.3">
      <c r="A63" s="735" t="s">
        <v>936</v>
      </c>
      <c r="B63" s="715" t="s">
        <v>741</v>
      </c>
      <c r="C63" s="715" t="s">
        <v>741</v>
      </c>
      <c r="D63" s="715" t="s">
        <v>741</v>
      </c>
      <c r="E63" s="717" t="s">
        <v>642</v>
      </c>
    </row>
    <row r="64" spans="1:5" x14ac:dyDescent="0.3">
      <c r="A64" s="735" t="s">
        <v>937</v>
      </c>
      <c r="B64" s="716">
        <v>3831.7</v>
      </c>
      <c r="C64" s="716">
        <v>-8082.9</v>
      </c>
      <c r="D64" s="715">
        <v>162.69999999999999</v>
      </c>
      <c r="E64" s="717">
        <v>838.5</v>
      </c>
    </row>
    <row r="65" spans="1:5" x14ac:dyDescent="0.3">
      <c r="A65" s="735" t="s">
        <v>938</v>
      </c>
      <c r="B65" s="716">
        <v>4077.3</v>
      </c>
      <c r="C65" s="715" t="s">
        <v>741</v>
      </c>
      <c r="D65" s="715">
        <v>643.6</v>
      </c>
      <c r="E65" s="718">
        <v>1307.4000000000001</v>
      </c>
    </row>
    <row r="66" spans="1:5" x14ac:dyDescent="0.3">
      <c r="A66" s="735" t="s">
        <v>939</v>
      </c>
      <c r="B66" s="716">
        <v>4885</v>
      </c>
      <c r="C66" s="715">
        <v>-214.1</v>
      </c>
      <c r="D66" s="716">
        <v>-1044.8</v>
      </c>
      <c r="E66" s="717">
        <v>-176.2</v>
      </c>
    </row>
    <row r="67" spans="1:5" x14ac:dyDescent="0.3">
      <c r="A67" s="735" t="s">
        <v>940</v>
      </c>
      <c r="B67" s="716">
        <v>3445.75</v>
      </c>
      <c r="C67" s="716">
        <v>-7395.11</v>
      </c>
      <c r="D67" s="715">
        <v>147.25</v>
      </c>
      <c r="E67" s="717">
        <v>757.98</v>
      </c>
    </row>
    <row r="68" spans="1:5" x14ac:dyDescent="0.3">
      <c r="A68" s="735" t="s">
        <v>941</v>
      </c>
      <c r="B68" s="715">
        <v>20.47</v>
      </c>
      <c r="C68" s="715" t="s">
        <v>741</v>
      </c>
      <c r="D68" s="715">
        <v>872.77</v>
      </c>
      <c r="E68" s="717">
        <v>155.57</v>
      </c>
    </row>
    <row r="69" spans="1:5" x14ac:dyDescent="0.3">
      <c r="A69" s="735" t="s">
        <v>246</v>
      </c>
      <c r="B69" s="715">
        <v>1.75</v>
      </c>
      <c r="C69" s="715" t="s">
        <v>741</v>
      </c>
      <c r="D69" s="715">
        <v>10.93</v>
      </c>
      <c r="E69" s="717">
        <v>2.4900000000000002</v>
      </c>
    </row>
    <row r="70" spans="1:5" x14ac:dyDescent="0.3">
      <c r="A70" s="741" t="s">
        <v>811</v>
      </c>
      <c r="B70" s="724"/>
      <c r="C70" s="724"/>
      <c r="D70" s="724"/>
      <c r="E70" s="723" t="s">
        <v>642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80"/>
  <sheetViews>
    <sheetView workbookViewId="0"/>
  </sheetViews>
  <sheetFormatPr defaultRowHeight="14" x14ac:dyDescent="0.3"/>
  <cols>
    <col min="1" max="1" width="36" bestFit="1" customWidth="1"/>
    <col min="2" max="2" width="36" hidden="1" customWidth="1"/>
    <col min="3" max="3" width="13.75" hidden="1" customWidth="1"/>
    <col min="4" max="4" width="13.75" bestFit="1" customWidth="1"/>
    <col min="5" max="5" width="10.08203125" hidden="1" customWidth="1"/>
    <col min="6" max="7" width="11.08203125" hidden="1" customWidth="1"/>
  </cols>
  <sheetData>
    <row r="1" spans="1:8" ht="14.5" x14ac:dyDescent="0.35">
      <c r="A1" s="725" t="s">
        <v>642</v>
      </c>
      <c r="B1" s="725" t="s">
        <v>642</v>
      </c>
      <c r="C1" s="701" t="s">
        <v>642</v>
      </c>
      <c r="D1" s="701" t="s">
        <v>642</v>
      </c>
      <c r="E1" s="701" t="s">
        <v>642</v>
      </c>
      <c r="F1" s="701" t="s">
        <v>642</v>
      </c>
      <c r="G1" s="701" t="s">
        <v>642</v>
      </c>
    </row>
    <row r="2" spans="1:8" ht="40" x14ac:dyDescent="0.4">
      <c r="A2" s="726" t="s">
        <v>1206</v>
      </c>
      <c r="B2" s="727"/>
      <c r="C2" s="703"/>
      <c r="D2" s="703"/>
      <c r="E2" s="703"/>
      <c r="F2" s="702" t="s">
        <v>642</v>
      </c>
      <c r="G2" s="702" t="s">
        <v>642</v>
      </c>
      <c r="H2" s="702" t="s">
        <v>642</v>
      </c>
    </row>
    <row r="3" spans="1:8" x14ac:dyDescent="0.3">
      <c r="A3" s="728" t="s">
        <v>642</v>
      </c>
      <c r="B3" s="728" t="s">
        <v>642</v>
      </c>
      <c r="C3" s="704" t="s">
        <v>642</v>
      </c>
      <c r="D3" s="704" t="s">
        <v>642</v>
      </c>
      <c r="E3" s="704" t="s">
        <v>642</v>
      </c>
      <c r="F3" s="704" t="s">
        <v>642</v>
      </c>
      <c r="G3" s="704" t="s">
        <v>642</v>
      </c>
    </row>
    <row r="4" spans="1:8" x14ac:dyDescent="0.3">
      <c r="A4" s="729" t="s">
        <v>723</v>
      </c>
      <c r="B4" s="730" t="s">
        <v>732</v>
      </c>
      <c r="C4" s="706" t="s">
        <v>733</v>
      </c>
      <c r="D4" s="706" t="s">
        <v>734</v>
      </c>
      <c r="E4" s="706" t="s">
        <v>735</v>
      </c>
      <c r="F4" s="706" t="s">
        <v>736</v>
      </c>
      <c r="G4" s="706" t="s">
        <v>737</v>
      </c>
    </row>
    <row r="5" spans="1:8" x14ac:dyDescent="0.3">
      <c r="A5" s="731" t="s">
        <v>738</v>
      </c>
      <c r="B5" s="732">
        <v>44651</v>
      </c>
      <c r="C5" s="709">
        <v>45016</v>
      </c>
      <c r="D5" s="709">
        <v>45382</v>
      </c>
      <c r="E5" s="709">
        <v>45657</v>
      </c>
      <c r="F5" s="709">
        <v>45747</v>
      </c>
      <c r="G5" s="709">
        <v>46112</v>
      </c>
    </row>
    <row r="6" spans="1:8" x14ac:dyDescent="0.3">
      <c r="A6" s="733" t="s">
        <v>215</v>
      </c>
      <c r="B6" s="734">
        <v>15861.9</v>
      </c>
      <c r="C6" s="711">
        <v>12397.2</v>
      </c>
      <c r="D6" s="711">
        <v>9841.7999999999993</v>
      </c>
      <c r="E6" s="712" t="s">
        <v>642</v>
      </c>
      <c r="F6" s="711">
        <v>16633.2</v>
      </c>
      <c r="G6" s="711">
        <v>15678.5</v>
      </c>
    </row>
    <row r="7" spans="1:8" x14ac:dyDescent="0.3">
      <c r="A7" s="735" t="s">
        <v>739</v>
      </c>
      <c r="B7" s="736">
        <v>15861.9</v>
      </c>
      <c r="C7" s="716">
        <v>12397.2</v>
      </c>
      <c r="D7" s="716">
        <v>9841.7999999999993</v>
      </c>
      <c r="E7" s="718">
        <v>12277.4</v>
      </c>
      <c r="F7" s="715" t="s">
        <v>642</v>
      </c>
      <c r="G7" s="715" t="s">
        <v>642</v>
      </c>
    </row>
    <row r="8" spans="1:8" x14ac:dyDescent="0.3">
      <c r="A8" s="735" t="s">
        <v>742</v>
      </c>
      <c r="B8" s="736">
        <v>11844.2</v>
      </c>
      <c r="C8" s="716">
        <v>11992.2</v>
      </c>
      <c r="D8" s="716">
        <v>11024.2</v>
      </c>
      <c r="E8" s="717" t="s">
        <v>642</v>
      </c>
      <c r="F8" s="715" t="s">
        <v>642</v>
      </c>
      <c r="G8" s="715" t="s">
        <v>642</v>
      </c>
    </row>
    <row r="9" spans="1:8" x14ac:dyDescent="0.3">
      <c r="A9" s="735" t="s">
        <v>743</v>
      </c>
      <c r="B9" s="736">
        <v>7059.4</v>
      </c>
      <c r="C9" s="716">
        <v>7270</v>
      </c>
      <c r="D9" s="716">
        <v>7308.3</v>
      </c>
      <c r="E9" s="718">
        <v>7713.1</v>
      </c>
      <c r="F9" s="715" t="s">
        <v>642</v>
      </c>
      <c r="G9" s="715" t="s">
        <v>642</v>
      </c>
    </row>
    <row r="10" spans="1:8" x14ac:dyDescent="0.3">
      <c r="A10" s="735" t="s">
        <v>744</v>
      </c>
      <c r="B10" s="736">
        <v>3837.1</v>
      </c>
      <c r="C10" s="716">
        <v>3696.9</v>
      </c>
      <c r="D10" s="716">
        <v>2949.3</v>
      </c>
      <c r="E10" s="717" t="s">
        <v>642</v>
      </c>
      <c r="F10" s="715" t="s">
        <v>642</v>
      </c>
      <c r="G10" s="715" t="s">
        <v>642</v>
      </c>
    </row>
    <row r="11" spans="1:8" x14ac:dyDescent="0.3">
      <c r="A11" s="735" t="s">
        <v>745</v>
      </c>
      <c r="B11" s="737">
        <v>947.6</v>
      </c>
      <c r="C11" s="716">
        <v>1025.2</v>
      </c>
      <c r="D11" s="715">
        <v>766.5</v>
      </c>
      <c r="E11" s="717" t="s">
        <v>642</v>
      </c>
      <c r="F11" s="715" t="s">
        <v>642</v>
      </c>
      <c r="G11" s="715" t="s">
        <v>642</v>
      </c>
    </row>
    <row r="12" spans="1:8" x14ac:dyDescent="0.3">
      <c r="A12" s="733" t="s">
        <v>276</v>
      </c>
      <c r="B12" s="734">
        <v>4017.7</v>
      </c>
      <c r="C12" s="710">
        <v>405.1</v>
      </c>
      <c r="D12" s="711">
        <v>-1182.4000000000001</v>
      </c>
      <c r="E12" s="712" t="s">
        <v>642</v>
      </c>
      <c r="F12" s="711">
        <v>5488.1</v>
      </c>
      <c r="G12" s="711">
        <v>3816.9</v>
      </c>
    </row>
    <row r="13" spans="1:8" x14ac:dyDescent="0.3">
      <c r="A13" s="735" t="s">
        <v>746</v>
      </c>
      <c r="B13" s="737">
        <v>33.4</v>
      </c>
      <c r="C13" s="715">
        <v>15.4</v>
      </c>
      <c r="D13" s="715">
        <v>17.600000000000001</v>
      </c>
      <c r="E13" s="717">
        <v>92.6</v>
      </c>
      <c r="F13" s="715" t="s">
        <v>642</v>
      </c>
      <c r="G13" s="715" t="s">
        <v>642</v>
      </c>
    </row>
    <row r="14" spans="1:8" x14ac:dyDescent="0.3">
      <c r="A14" s="735" t="s">
        <v>747</v>
      </c>
      <c r="B14" s="736">
        <v>1785</v>
      </c>
      <c r="C14" s="716">
        <v>1360</v>
      </c>
      <c r="D14" s="716">
        <v>1262.0999999999999</v>
      </c>
      <c r="E14" s="717" t="s">
        <v>642</v>
      </c>
      <c r="F14" s="715" t="s">
        <v>642</v>
      </c>
      <c r="G14" s="715" t="s">
        <v>642</v>
      </c>
    </row>
    <row r="15" spans="1:8" x14ac:dyDescent="0.3">
      <c r="A15" s="735" t="s">
        <v>748</v>
      </c>
      <c r="B15" s="737">
        <v>589.20000000000005</v>
      </c>
      <c r="C15" s="715">
        <v>575.6</v>
      </c>
      <c r="D15" s="715">
        <v>591.79999999999995</v>
      </c>
      <c r="E15" s="717">
        <v>879.9</v>
      </c>
      <c r="F15" s="715" t="s">
        <v>642</v>
      </c>
      <c r="G15" s="715" t="s">
        <v>642</v>
      </c>
    </row>
    <row r="16" spans="1:8" x14ac:dyDescent="0.3">
      <c r="A16" s="735" t="s">
        <v>745</v>
      </c>
      <c r="B16" s="737">
        <v>510.5</v>
      </c>
      <c r="C16" s="715">
        <v>562.29999999999995</v>
      </c>
      <c r="D16" s="715">
        <v>522.70000000000005</v>
      </c>
      <c r="E16" s="717" t="s">
        <v>642</v>
      </c>
      <c r="F16" s="715" t="s">
        <v>642</v>
      </c>
      <c r="G16" s="715" t="s">
        <v>642</v>
      </c>
    </row>
    <row r="17" spans="1:7" x14ac:dyDescent="0.3">
      <c r="A17" s="735" t="s">
        <v>744</v>
      </c>
      <c r="B17" s="737">
        <v>663.7</v>
      </c>
      <c r="C17" s="715">
        <v>205.6</v>
      </c>
      <c r="D17" s="715">
        <v>62.7</v>
      </c>
      <c r="E17" s="717" t="s">
        <v>642</v>
      </c>
      <c r="F17" s="715" t="s">
        <v>642</v>
      </c>
      <c r="G17" s="715" t="s">
        <v>642</v>
      </c>
    </row>
    <row r="18" spans="1:7" x14ac:dyDescent="0.3">
      <c r="A18" s="735" t="s">
        <v>751</v>
      </c>
      <c r="B18" s="737">
        <v>21.6</v>
      </c>
      <c r="C18" s="715">
        <v>16.5</v>
      </c>
      <c r="D18" s="715">
        <v>84.9</v>
      </c>
      <c r="E18" s="717">
        <v>65.3</v>
      </c>
      <c r="F18" s="715" t="s">
        <v>642</v>
      </c>
      <c r="G18" s="715" t="s">
        <v>642</v>
      </c>
    </row>
    <row r="19" spans="1:7" x14ac:dyDescent="0.3">
      <c r="A19" s="733" t="s">
        <v>752</v>
      </c>
      <c r="B19" s="734">
        <v>2266.1</v>
      </c>
      <c r="C19" s="710">
        <v>-939.5</v>
      </c>
      <c r="D19" s="711">
        <v>-2427</v>
      </c>
      <c r="E19" s="712" t="s">
        <v>642</v>
      </c>
      <c r="F19" s="711">
        <v>4422.8999999999996</v>
      </c>
      <c r="G19" s="711">
        <v>2984.5</v>
      </c>
    </row>
    <row r="20" spans="1:7" x14ac:dyDescent="0.3">
      <c r="A20" s="735" t="s">
        <v>753</v>
      </c>
      <c r="B20" s="737">
        <v>642.9</v>
      </c>
      <c r="C20" s="715">
        <v>862.3</v>
      </c>
      <c r="D20" s="715">
        <v>828.5</v>
      </c>
      <c r="E20" s="717">
        <v>530.4</v>
      </c>
      <c r="F20" s="715" t="s">
        <v>642</v>
      </c>
      <c r="G20" s="715" t="s">
        <v>642</v>
      </c>
    </row>
    <row r="21" spans="1:7" x14ac:dyDescent="0.3">
      <c r="A21" s="735" t="s">
        <v>754</v>
      </c>
      <c r="B21" s="737">
        <v>479.5</v>
      </c>
      <c r="C21" s="715">
        <v>417.4</v>
      </c>
      <c r="D21" s="715">
        <v>438.4</v>
      </c>
      <c r="E21" s="717" t="s">
        <v>642</v>
      </c>
      <c r="F21" s="715" t="s">
        <v>642</v>
      </c>
      <c r="G21" s="715" t="s">
        <v>642</v>
      </c>
    </row>
    <row r="22" spans="1:7" x14ac:dyDescent="0.3">
      <c r="A22" s="738" t="s">
        <v>755</v>
      </c>
      <c r="B22" s="739">
        <v>482.4</v>
      </c>
      <c r="C22" s="719">
        <v>418.9</v>
      </c>
      <c r="D22" s="719">
        <v>444.6</v>
      </c>
      <c r="E22" s="720" t="s">
        <v>642</v>
      </c>
      <c r="F22" s="719" t="s">
        <v>642</v>
      </c>
      <c r="G22" s="719" t="s">
        <v>642</v>
      </c>
    </row>
    <row r="23" spans="1:7" x14ac:dyDescent="0.3">
      <c r="A23" s="738" t="s">
        <v>756</v>
      </c>
      <c r="B23" s="739">
        <v>2.9</v>
      </c>
      <c r="C23" s="719">
        <v>1.4</v>
      </c>
      <c r="D23" s="719">
        <v>6.3</v>
      </c>
      <c r="E23" s="720" t="s">
        <v>642</v>
      </c>
      <c r="F23" s="719" t="s">
        <v>642</v>
      </c>
      <c r="G23" s="719" t="s">
        <v>642</v>
      </c>
    </row>
    <row r="24" spans="1:7" x14ac:dyDescent="0.3">
      <c r="A24" s="735" t="s">
        <v>757</v>
      </c>
      <c r="B24" s="737">
        <v>-30.8</v>
      </c>
      <c r="C24" s="715">
        <v>-26</v>
      </c>
      <c r="D24" s="715">
        <v>-10.6</v>
      </c>
      <c r="E24" s="717" t="s">
        <v>642</v>
      </c>
      <c r="F24" s="715" t="s">
        <v>642</v>
      </c>
      <c r="G24" s="715" t="s">
        <v>642</v>
      </c>
    </row>
    <row r="25" spans="1:7" x14ac:dyDescent="0.3">
      <c r="A25" s="735" t="s">
        <v>758</v>
      </c>
      <c r="B25" s="737">
        <v>-203.3</v>
      </c>
      <c r="C25" s="715">
        <v>-248.3</v>
      </c>
      <c r="D25" s="715">
        <v>52.8</v>
      </c>
      <c r="E25" s="717" t="s">
        <v>642</v>
      </c>
      <c r="F25" s="715" t="s">
        <v>642</v>
      </c>
      <c r="G25" s="715" t="s">
        <v>642</v>
      </c>
    </row>
    <row r="26" spans="1:7" x14ac:dyDescent="0.3">
      <c r="A26" s="735" t="s">
        <v>759</v>
      </c>
      <c r="B26" s="737">
        <v>-2.8</v>
      </c>
      <c r="C26" s="715">
        <v>-4.9000000000000004</v>
      </c>
      <c r="D26" s="715">
        <v>-2.4</v>
      </c>
      <c r="E26" s="717">
        <v>-3.1</v>
      </c>
      <c r="F26" s="715" t="s">
        <v>642</v>
      </c>
      <c r="G26" s="715" t="s">
        <v>642</v>
      </c>
    </row>
    <row r="27" spans="1:7" x14ac:dyDescent="0.3">
      <c r="A27" s="735" t="s">
        <v>760</v>
      </c>
      <c r="B27" s="737">
        <v>400.3</v>
      </c>
      <c r="C27" s="715">
        <v>724.1</v>
      </c>
      <c r="D27" s="715">
        <v>350.4</v>
      </c>
      <c r="E27" s="717">
        <v>533.5</v>
      </c>
      <c r="F27" s="715" t="s">
        <v>642</v>
      </c>
      <c r="G27" s="715" t="s">
        <v>642</v>
      </c>
    </row>
    <row r="28" spans="1:7" x14ac:dyDescent="0.3">
      <c r="A28" s="733" t="s">
        <v>761</v>
      </c>
      <c r="B28" s="734">
        <v>1623.2</v>
      </c>
      <c r="C28" s="711">
        <v>-1801.8</v>
      </c>
      <c r="D28" s="711">
        <v>-3255.5</v>
      </c>
      <c r="E28" s="712" t="s">
        <v>642</v>
      </c>
      <c r="F28" s="711">
        <v>3965</v>
      </c>
      <c r="G28" s="711">
        <v>2878.7</v>
      </c>
    </row>
    <row r="29" spans="1:7" x14ac:dyDescent="0.3">
      <c r="A29" s="735" t="s">
        <v>762</v>
      </c>
      <c r="B29" s="737">
        <v>19.3</v>
      </c>
      <c r="C29" s="715">
        <v>1</v>
      </c>
      <c r="D29" s="715">
        <v>-116.9</v>
      </c>
      <c r="E29" s="717" t="s">
        <v>642</v>
      </c>
      <c r="F29" s="715" t="s">
        <v>642</v>
      </c>
      <c r="G29" s="715" t="s">
        <v>642</v>
      </c>
    </row>
    <row r="30" spans="1:7" x14ac:dyDescent="0.3">
      <c r="A30" s="735" t="s">
        <v>763</v>
      </c>
      <c r="B30" s="737">
        <v>27.2</v>
      </c>
      <c r="C30" s="715">
        <v>15.6</v>
      </c>
      <c r="D30" s="715">
        <v>-52</v>
      </c>
      <c r="E30" s="717">
        <v>-33.200000000000003</v>
      </c>
      <c r="F30" s="715" t="s">
        <v>642</v>
      </c>
      <c r="G30" s="715" t="s">
        <v>642</v>
      </c>
    </row>
    <row r="31" spans="1:7" x14ac:dyDescent="0.3">
      <c r="A31" s="735" t="s">
        <v>765</v>
      </c>
      <c r="B31" s="737" t="s">
        <v>741</v>
      </c>
      <c r="C31" s="715">
        <v>2.2999999999999998</v>
      </c>
      <c r="D31" s="715">
        <v>7</v>
      </c>
      <c r="E31" s="717">
        <v>0.1</v>
      </c>
      <c r="F31" s="715" t="s">
        <v>642</v>
      </c>
      <c r="G31" s="715" t="s">
        <v>642</v>
      </c>
    </row>
    <row r="32" spans="1:7" x14ac:dyDescent="0.3">
      <c r="A32" s="735" t="s">
        <v>770</v>
      </c>
      <c r="B32" s="737" t="s">
        <v>741</v>
      </c>
      <c r="C32" s="715">
        <v>-16.899999999999999</v>
      </c>
      <c r="D32" s="715" t="s">
        <v>741</v>
      </c>
      <c r="E32" s="717" t="s">
        <v>642</v>
      </c>
      <c r="F32" s="715" t="s">
        <v>642</v>
      </c>
      <c r="G32" s="715" t="s">
        <v>642</v>
      </c>
    </row>
    <row r="33" spans="1:7" x14ac:dyDescent="0.3">
      <c r="A33" s="735" t="s">
        <v>771</v>
      </c>
      <c r="B33" s="737">
        <v>-7.9</v>
      </c>
      <c r="C33" s="715" t="s">
        <v>741</v>
      </c>
      <c r="D33" s="715">
        <v>-71.900000000000006</v>
      </c>
      <c r="E33" s="717" t="s">
        <v>642</v>
      </c>
      <c r="F33" s="715" t="s">
        <v>642</v>
      </c>
      <c r="G33" s="715" t="s">
        <v>642</v>
      </c>
    </row>
    <row r="34" spans="1:7" x14ac:dyDescent="0.3">
      <c r="A34" s="735" t="s">
        <v>772</v>
      </c>
      <c r="B34" s="737" t="s">
        <v>741</v>
      </c>
      <c r="C34" s="715" t="s">
        <v>741</v>
      </c>
      <c r="D34" s="715" t="s">
        <v>741</v>
      </c>
      <c r="E34" s="717" t="s">
        <v>642</v>
      </c>
      <c r="F34" s="715" t="s">
        <v>642</v>
      </c>
      <c r="G34" s="715" t="s">
        <v>642</v>
      </c>
    </row>
    <row r="35" spans="1:7" x14ac:dyDescent="0.3">
      <c r="A35" s="733" t="s">
        <v>773</v>
      </c>
      <c r="B35" s="734">
        <v>1603.9</v>
      </c>
      <c r="C35" s="711">
        <v>-1802.8</v>
      </c>
      <c r="D35" s="711">
        <v>-3138.6</v>
      </c>
      <c r="E35" s="712" t="s">
        <v>642</v>
      </c>
      <c r="F35" s="711">
        <v>3965</v>
      </c>
      <c r="G35" s="711">
        <v>2878.7</v>
      </c>
    </row>
    <row r="36" spans="1:7" x14ac:dyDescent="0.3">
      <c r="A36" s="735" t="s">
        <v>774</v>
      </c>
      <c r="B36" s="737">
        <v>503.3</v>
      </c>
      <c r="C36" s="715">
        <v>-467.1</v>
      </c>
      <c r="D36" s="715">
        <v>-910.6</v>
      </c>
      <c r="E36" s="717" t="s">
        <v>642</v>
      </c>
      <c r="F36" s="715" t="s">
        <v>642</v>
      </c>
      <c r="G36" s="715" t="s">
        <v>642</v>
      </c>
    </row>
    <row r="37" spans="1:7" x14ac:dyDescent="0.3">
      <c r="A37" s="735" t="s">
        <v>775</v>
      </c>
      <c r="B37" s="737">
        <v>58.5</v>
      </c>
      <c r="C37" s="715">
        <v>59.2</v>
      </c>
      <c r="D37" s="715">
        <v>68.599999999999994</v>
      </c>
      <c r="E37" s="717" t="s">
        <v>642</v>
      </c>
      <c r="F37" s="715" t="s">
        <v>642</v>
      </c>
      <c r="G37" s="715" t="s">
        <v>642</v>
      </c>
    </row>
    <row r="38" spans="1:7" x14ac:dyDescent="0.3">
      <c r="A38" s="735" t="s">
        <v>776</v>
      </c>
      <c r="B38" s="737">
        <v>444.7</v>
      </c>
      <c r="C38" s="715">
        <v>-526.29999999999995</v>
      </c>
      <c r="D38" s="715">
        <v>-979.1</v>
      </c>
      <c r="E38" s="717" t="s">
        <v>642</v>
      </c>
      <c r="F38" s="715" t="s">
        <v>642</v>
      </c>
      <c r="G38" s="715" t="s">
        <v>642</v>
      </c>
    </row>
    <row r="39" spans="1:7" x14ac:dyDescent="0.3">
      <c r="A39" s="733" t="s">
        <v>778</v>
      </c>
      <c r="B39" s="734">
        <v>1100.5999999999999</v>
      </c>
      <c r="C39" s="711">
        <v>-1335.7</v>
      </c>
      <c r="D39" s="711">
        <v>-2228</v>
      </c>
      <c r="E39" s="712" t="s">
        <v>642</v>
      </c>
      <c r="F39" s="711">
        <v>2609.1999999999998</v>
      </c>
      <c r="G39" s="711">
        <v>1682.3</v>
      </c>
    </row>
    <row r="40" spans="1:7" x14ac:dyDescent="0.3">
      <c r="A40" s="735" t="s">
        <v>779</v>
      </c>
      <c r="B40" s="737">
        <v>0</v>
      </c>
      <c r="C40" s="715">
        <v>0</v>
      </c>
      <c r="D40" s="715">
        <v>0</v>
      </c>
      <c r="E40" s="717" t="s">
        <v>642</v>
      </c>
      <c r="F40" s="715" t="s">
        <v>642</v>
      </c>
      <c r="G40" s="715" t="s">
        <v>642</v>
      </c>
    </row>
    <row r="41" spans="1:7" x14ac:dyDescent="0.3">
      <c r="A41" s="735" t="s">
        <v>780</v>
      </c>
      <c r="B41" s="737">
        <v>0</v>
      </c>
      <c r="C41" s="715">
        <v>0</v>
      </c>
      <c r="D41" s="715">
        <v>0</v>
      </c>
      <c r="E41" s="717">
        <v>0</v>
      </c>
      <c r="F41" s="715" t="s">
        <v>642</v>
      </c>
      <c r="G41" s="715" t="s">
        <v>642</v>
      </c>
    </row>
    <row r="42" spans="1:7" x14ac:dyDescent="0.3">
      <c r="A42" s="735" t="s">
        <v>781</v>
      </c>
      <c r="B42" s="737">
        <v>0</v>
      </c>
      <c r="C42" s="715">
        <v>0</v>
      </c>
      <c r="D42" s="715">
        <v>0</v>
      </c>
      <c r="E42" s="717">
        <v>0</v>
      </c>
      <c r="F42" s="715" t="s">
        <v>642</v>
      </c>
      <c r="G42" s="715" t="s">
        <v>642</v>
      </c>
    </row>
    <row r="43" spans="1:7" x14ac:dyDescent="0.3">
      <c r="A43" s="733" t="s">
        <v>782</v>
      </c>
      <c r="B43" s="734">
        <v>1100.5999999999999</v>
      </c>
      <c r="C43" s="711">
        <v>-1335.7</v>
      </c>
      <c r="D43" s="711">
        <v>-2228</v>
      </c>
      <c r="E43" s="713">
        <v>2278.6999999999998</v>
      </c>
      <c r="F43" s="710" t="s">
        <v>642</v>
      </c>
      <c r="G43" s="710" t="s">
        <v>642</v>
      </c>
    </row>
    <row r="44" spans="1:7" x14ac:dyDescent="0.3">
      <c r="A44" s="735" t="s">
        <v>783</v>
      </c>
      <c r="B44" s="737">
        <v>0</v>
      </c>
      <c r="C44" s="715">
        <v>0.1</v>
      </c>
      <c r="D44" s="715">
        <v>0.1</v>
      </c>
      <c r="E44" s="717" t="s">
        <v>642</v>
      </c>
      <c r="F44" s="715" t="s">
        <v>642</v>
      </c>
      <c r="G44" s="715" t="s">
        <v>642</v>
      </c>
    </row>
    <row r="45" spans="1:7" x14ac:dyDescent="0.3">
      <c r="A45" s="733" t="s">
        <v>784</v>
      </c>
      <c r="B45" s="734">
        <v>1100.5999999999999</v>
      </c>
      <c r="C45" s="711">
        <v>-1335.8</v>
      </c>
      <c r="D45" s="711">
        <v>-2228.1</v>
      </c>
      <c r="E45" s="712" t="s">
        <v>642</v>
      </c>
      <c r="F45" s="711">
        <v>2609.1999999999998</v>
      </c>
      <c r="G45" s="711">
        <v>1682.3</v>
      </c>
    </row>
    <row r="46" spans="1:7" x14ac:dyDescent="0.3">
      <c r="A46" s="735" t="s">
        <v>785</v>
      </c>
      <c r="B46" s="737">
        <v>135.30000000000001</v>
      </c>
      <c r="C46" s="715">
        <v>0</v>
      </c>
      <c r="D46" s="715" t="s">
        <v>741</v>
      </c>
      <c r="E46" s="717" t="s">
        <v>642</v>
      </c>
      <c r="F46" s="715" t="s">
        <v>642</v>
      </c>
      <c r="G46" s="715" t="s">
        <v>642</v>
      </c>
    </row>
    <row r="47" spans="1:7" x14ac:dyDescent="0.3">
      <c r="A47" s="735" t="s">
        <v>786</v>
      </c>
      <c r="B47" s="737">
        <v>0</v>
      </c>
      <c r="C47" s="715">
        <v>0</v>
      </c>
      <c r="D47" s="715">
        <v>0</v>
      </c>
      <c r="E47" s="717" t="s">
        <v>642</v>
      </c>
      <c r="F47" s="715" t="s">
        <v>642</v>
      </c>
      <c r="G47" s="715" t="s">
        <v>642</v>
      </c>
    </row>
    <row r="48" spans="1:7" x14ac:dyDescent="0.3">
      <c r="A48" s="733" t="s">
        <v>787</v>
      </c>
      <c r="B48" s="755">
        <v>965.3</v>
      </c>
      <c r="C48" s="711">
        <v>-1335.8</v>
      </c>
      <c r="D48" s="711">
        <v>-2228.1</v>
      </c>
      <c r="E48" s="712" t="s">
        <v>642</v>
      </c>
      <c r="F48" s="711">
        <v>2609.1999999999998</v>
      </c>
      <c r="G48" s="711">
        <v>1682.3</v>
      </c>
    </row>
    <row r="49" spans="1:7" x14ac:dyDescent="0.3">
      <c r="A49" s="733" t="s">
        <v>642</v>
      </c>
      <c r="B49" s="740" t="s">
        <v>642</v>
      </c>
      <c r="C49" s="710" t="s">
        <v>642</v>
      </c>
      <c r="D49" s="710" t="s">
        <v>642</v>
      </c>
      <c r="E49" s="712" t="s">
        <v>642</v>
      </c>
      <c r="F49" s="710" t="s">
        <v>642</v>
      </c>
      <c r="G49" s="710" t="s">
        <v>642</v>
      </c>
    </row>
    <row r="50" spans="1:7" x14ac:dyDescent="0.3">
      <c r="A50" s="733" t="s">
        <v>788</v>
      </c>
      <c r="B50" s="755">
        <v>978.8</v>
      </c>
      <c r="C50" s="711">
        <v>-1335.1</v>
      </c>
      <c r="D50" s="711">
        <v>-2308.6</v>
      </c>
      <c r="E50" s="712" t="s">
        <v>642</v>
      </c>
      <c r="F50" s="711">
        <v>2609.1999999999998</v>
      </c>
      <c r="G50" s="711">
        <v>1682.3</v>
      </c>
    </row>
    <row r="51" spans="1:7" x14ac:dyDescent="0.3">
      <c r="A51" s="735" t="s">
        <v>789</v>
      </c>
      <c r="B51" s="737">
        <v>13.4</v>
      </c>
      <c r="C51" s="715">
        <v>0.7</v>
      </c>
      <c r="D51" s="715">
        <v>-80.599999999999994</v>
      </c>
      <c r="E51" s="717">
        <v>-23</v>
      </c>
      <c r="F51" s="715" t="s">
        <v>642</v>
      </c>
      <c r="G51" s="715" t="s">
        <v>642</v>
      </c>
    </row>
    <row r="52" spans="1:7" x14ac:dyDescent="0.3">
      <c r="A52" s="735" t="s">
        <v>790</v>
      </c>
      <c r="B52" s="737">
        <v>0</v>
      </c>
      <c r="C52" s="715">
        <v>0</v>
      </c>
      <c r="D52" s="715">
        <v>0</v>
      </c>
      <c r="E52" s="717" t="s">
        <v>642</v>
      </c>
      <c r="F52" s="715" t="s">
        <v>642</v>
      </c>
      <c r="G52" s="715" t="s">
        <v>642</v>
      </c>
    </row>
    <row r="53" spans="1:7" x14ac:dyDescent="0.3">
      <c r="A53" s="733" t="s">
        <v>642</v>
      </c>
      <c r="B53" s="740" t="s">
        <v>642</v>
      </c>
      <c r="C53" s="710" t="s">
        <v>642</v>
      </c>
      <c r="D53" s="710" t="s">
        <v>642</v>
      </c>
      <c r="E53" s="712" t="s">
        <v>642</v>
      </c>
      <c r="F53" s="710" t="s">
        <v>642</v>
      </c>
      <c r="G53" s="710" t="s">
        <v>642</v>
      </c>
    </row>
    <row r="54" spans="1:7" x14ac:dyDescent="0.3">
      <c r="A54" s="735" t="s">
        <v>791</v>
      </c>
      <c r="B54" s="737">
        <v>517.5</v>
      </c>
      <c r="C54" s="715">
        <v>517.5</v>
      </c>
      <c r="D54" s="715">
        <v>517.5</v>
      </c>
      <c r="E54" s="717">
        <v>521</v>
      </c>
      <c r="F54" s="715" t="s">
        <v>642</v>
      </c>
      <c r="G54" s="715" t="s">
        <v>642</v>
      </c>
    </row>
    <row r="55" spans="1:7" x14ac:dyDescent="0.3">
      <c r="A55" s="733" t="s">
        <v>792</v>
      </c>
      <c r="B55" s="734">
        <v>2126.84</v>
      </c>
      <c r="C55" s="711">
        <v>-2581.17</v>
      </c>
      <c r="D55" s="711">
        <v>-4305.45</v>
      </c>
      <c r="E55" s="712" t="s">
        <v>642</v>
      </c>
      <c r="F55" s="711">
        <v>4919.67</v>
      </c>
      <c r="G55" s="711">
        <v>3124.58</v>
      </c>
    </row>
    <row r="56" spans="1:7" x14ac:dyDescent="0.3">
      <c r="A56" s="733" t="s">
        <v>793</v>
      </c>
      <c r="B56" s="734">
        <v>2126.84</v>
      </c>
      <c r="C56" s="711">
        <v>-2581.17</v>
      </c>
      <c r="D56" s="711">
        <v>-4305.45</v>
      </c>
      <c r="E56" s="712" t="s">
        <v>642</v>
      </c>
      <c r="F56" s="711">
        <v>4919.67</v>
      </c>
      <c r="G56" s="711">
        <v>3124.58</v>
      </c>
    </row>
    <row r="57" spans="1:7" x14ac:dyDescent="0.3">
      <c r="A57" s="733" t="s">
        <v>794</v>
      </c>
      <c r="B57" s="734">
        <v>1891.37</v>
      </c>
      <c r="C57" s="711">
        <v>-2579.87</v>
      </c>
      <c r="D57" s="711">
        <v>-4461.1400000000003</v>
      </c>
      <c r="E57" s="712" t="s">
        <v>642</v>
      </c>
      <c r="F57" s="711">
        <v>4919.67</v>
      </c>
      <c r="G57" s="711">
        <v>3124.58</v>
      </c>
    </row>
    <row r="58" spans="1:7" x14ac:dyDescent="0.3">
      <c r="A58" s="733" t="s">
        <v>642</v>
      </c>
      <c r="B58" s="740" t="s">
        <v>642</v>
      </c>
      <c r="C58" s="710" t="s">
        <v>642</v>
      </c>
      <c r="D58" s="710" t="s">
        <v>642</v>
      </c>
      <c r="E58" s="712" t="s">
        <v>642</v>
      </c>
      <c r="F58" s="710" t="s">
        <v>642</v>
      </c>
      <c r="G58" s="710" t="s">
        <v>642</v>
      </c>
    </row>
    <row r="59" spans="1:7" x14ac:dyDescent="0.3">
      <c r="A59" s="735" t="s">
        <v>795</v>
      </c>
      <c r="B59" s="737">
        <v>524</v>
      </c>
      <c r="C59" s="715">
        <v>517.5</v>
      </c>
      <c r="D59" s="715">
        <v>517.5</v>
      </c>
      <c r="E59" s="717">
        <v>521.1</v>
      </c>
      <c r="F59" s="715" t="s">
        <v>642</v>
      </c>
      <c r="G59" s="715" t="s">
        <v>642</v>
      </c>
    </row>
    <row r="60" spans="1:7" x14ac:dyDescent="0.3">
      <c r="A60" s="733" t="s">
        <v>796</v>
      </c>
      <c r="B60" s="734">
        <v>2100.2399999999998</v>
      </c>
      <c r="C60" s="711">
        <v>-2581.17</v>
      </c>
      <c r="D60" s="711">
        <v>-4305.45</v>
      </c>
      <c r="E60" s="712" t="s">
        <v>642</v>
      </c>
      <c r="F60" s="711">
        <v>4919.67</v>
      </c>
      <c r="G60" s="711">
        <v>3124.58</v>
      </c>
    </row>
    <row r="61" spans="1:7" x14ac:dyDescent="0.3">
      <c r="A61" s="733" t="s">
        <v>797</v>
      </c>
      <c r="B61" s="734">
        <v>2100.2399999999998</v>
      </c>
      <c r="C61" s="711">
        <v>-2581.17</v>
      </c>
      <c r="D61" s="711">
        <v>-4305.45</v>
      </c>
      <c r="E61" s="712" t="s">
        <v>642</v>
      </c>
      <c r="F61" s="711">
        <v>4919.67</v>
      </c>
      <c r="G61" s="711">
        <v>3124.58</v>
      </c>
    </row>
    <row r="62" spans="1:7" x14ac:dyDescent="0.3">
      <c r="A62" s="733" t="s">
        <v>798</v>
      </c>
      <c r="B62" s="734">
        <v>1891.37</v>
      </c>
      <c r="C62" s="711">
        <v>-2579.88</v>
      </c>
      <c r="D62" s="711">
        <v>-4461.1400000000003</v>
      </c>
      <c r="E62" s="712" t="s">
        <v>642</v>
      </c>
      <c r="F62" s="711">
        <v>4919.67</v>
      </c>
      <c r="G62" s="711">
        <v>3124.58</v>
      </c>
    </row>
    <row r="63" spans="1:7" x14ac:dyDescent="0.3">
      <c r="A63" s="733" t="s">
        <v>642</v>
      </c>
      <c r="B63" s="740" t="s">
        <v>642</v>
      </c>
      <c r="C63" s="710" t="s">
        <v>642</v>
      </c>
      <c r="D63" s="710" t="s">
        <v>642</v>
      </c>
      <c r="E63" s="712" t="s">
        <v>642</v>
      </c>
      <c r="F63" s="710" t="s">
        <v>642</v>
      </c>
      <c r="G63" s="710" t="s">
        <v>642</v>
      </c>
    </row>
    <row r="64" spans="1:7" x14ac:dyDescent="0.3">
      <c r="A64" s="733" t="s">
        <v>799</v>
      </c>
      <c r="B64" s="740" t="s">
        <v>642</v>
      </c>
      <c r="C64" s="710" t="s">
        <v>642</v>
      </c>
      <c r="D64" s="710" t="s">
        <v>642</v>
      </c>
      <c r="E64" s="712" t="s">
        <v>642</v>
      </c>
      <c r="F64" s="710" t="s">
        <v>642</v>
      </c>
      <c r="G64" s="710" t="s">
        <v>642</v>
      </c>
    </row>
    <row r="65" spans="1:7" x14ac:dyDescent="0.3">
      <c r="A65" s="735" t="s">
        <v>800</v>
      </c>
      <c r="B65" s="737" t="s">
        <v>801</v>
      </c>
      <c r="C65" s="715" t="s">
        <v>801</v>
      </c>
      <c r="D65" s="715" t="s">
        <v>801</v>
      </c>
      <c r="E65" s="717" t="s">
        <v>642</v>
      </c>
      <c r="F65" s="715" t="s">
        <v>642</v>
      </c>
      <c r="G65" s="715" t="s">
        <v>642</v>
      </c>
    </row>
    <row r="66" spans="1:7" x14ac:dyDescent="0.3">
      <c r="A66" s="735" t="s">
        <v>216</v>
      </c>
      <c r="B66" s="736">
        <v>6894.7</v>
      </c>
      <c r="C66" s="716">
        <v>3103.9</v>
      </c>
      <c r="D66" s="715">
        <v>736.6</v>
      </c>
      <c r="E66" s="717" t="s">
        <v>642</v>
      </c>
      <c r="F66" s="716">
        <v>7238.7</v>
      </c>
      <c r="G66" s="716">
        <v>5145.7</v>
      </c>
    </row>
    <row r="67" spans="1:7" x14ac:dyDescent="0.3">
      <c r="A67" s="735" t="s">
        <v>802</v>
      </c>
      <c r="B67" s="737">
        <v>43.47</v>
      </c>
      <c r="C67" s="715">
        <v>25.04</v>
      </c>
      <c r="D67" s="715">
        <v>7.48</v>
      </c>
      <c r="E67" s="717" t="s">
        <v>642</v>
      </c>
      <c r="F67" s="715">
        <v>43.52</v>
      </c>
      <c r="G67" s="715">
        <v>32.82</v>
      </c>
    </row>
    <row r="68" spans="1:7" x14ac:dyDescent="0.3">
      <c r="A68" s="735" t="s">
        <v>803</v>
      </c>
      <c r="B68" s="736">
        <v>2915.6</v>
      </c>
      <c r="C68" s="715">
        <v>-751.5</v>
      </c>
      <c r="D68" s="716">
        <v>-2378.6999999999998</v>
      </c>
      <c r="E68" s="717" t="s">
        <v>642</v>
      </c>
      <c r="F68" s="715" t="s">
        <v>642</v>
      </c>
      <c r="G68" s="715" t="s">
        <v>642</v>
      </c>
    </row>
    <row r="69" spans="1:7" x14ac:dyDescent="0.3">
      <c r="A69" s="735" t="s">
        <v>460</v>
      </c>
      <c r="B69" s="736">
        <v>2266.1</v>
      </c>
      <c r="C69" s="715">
        <v>-939.5</v>
      </c>
      <c r="D69" s="716">
        <v>-2427</v>
      </c>
      <c r="E69" s="718">
        <v>3711.7</v>
      </c>
      <c r="F69" s="716">
        <v>4422.8999999999996</v>
      </c>
      <c r="G69" s="716">
        <v>2984.5</v>
      </c>
    </row>
    <row r="70" spans="1:7" x14ac:dyDescent="0.3">
      <c r="A70" s="735" t="s">
        <v>804</v>
      </c>
      <c r="B70" s="737">
        <v>25.33</v>
      </c>
      <c r="C70" s="715">
        <v>3.27</v>
      </c>
      <c r="D70" s="715">
        <v>-12.01</v>
      </c>
      <c r="E70" s="717" t="s">
        <v>642</v>
      </c>
      <c r="F70" s="715">
        <v>33</v>
      </c>
      <c r="G70" s="715">
        <v>24.35</v>
      </c>
    </row>
    <row r="71" spans="1:7" x14ac:dyDescent="0.3">
      <c r="A71" s="735" t="s">
        <v>227</v>
      </c>
      <c r="B71" s="737">
        <v>14.29</v>
      </c>
      <c r="C71" s="715">
        <v>-7.58</v>
      </c>
      <c r="D71" s="715">
        <v>-24.66</v>
      </c>
      <c r="E71" s="717" t="s">
        <v>642</v>
      </c>
      <c r="F71" s="715">
        <v>26.59</v>
      </c>
      <c r="G71" s="715">
        <v>19.04</v>
      </c>
    </row>
    <row r="72" spans="1:7" x14ac:dyDescent="0.3">
      <c r="A72" s="735" t="s">
        <v>197</v>
      </c>
      <c r="B72" s="737">
        <v>7.02</v>
      </c>
      <c r="C72" s="715">
        <v>-10.77</v>
      </c>
      <c r="D72" s="715">
        <v>-23.46</v>
      </c>
      <c r="E72" s="717" t="s">
        <v>642</v>
      </c>
      <c r="F72" s="715">
        <v>15.69</v>
      </c>
      <c r="G72" s="715">
        <v>10.73</v>
      </c>
    </row>
    <row r="73" spans="1:7" x14ac:dyDescent="0.3">
      <c r="A73" s="735" t="s">
        <v>1207</v>
      </c>
      <c r="B73" s="737" t="s">
        <v>741</v>
      </c>
      <c r="C73" s="715" t="s">
        <v>741</v>
      </c>
      <c r="D73" s="715" t="s">
        <v>741</v>
      </c>
      <c r="E73" s="717" t="s">
        <v>642</v>
      </c>
      <c r="F73" s="716">
        <v>3821.5</v>
      </c>
      <c r="G73" s="716">
        <v>1524.9</v>
      </c>
    </row>
    <row r="74" spans="1:7" x14ac:dyDescent="0.3">
      <c r="A74" s="735" t="s">
        <v>1183</v>
      </c>
      <c r="B74" s="736">
        <v>1116800000</v>
      </c>
      <c r="C74" s="716">
        <v>813948100</v>
      </c>
      <c r="D74" s="716">
        <v>645404300</v>
      </c>
      <c r="E74" s="717" t="s">
        <v>642</v>
      </c>
      <c r="F74" s="715" t="s">
        <v>642</v>
      </c>
      <c r="G74" s="715" t="s">
        <v>642</v>
      </c>
    </row>
    <row r="75" spans="1:7" x14ac:dyDescent="0.3">
      <c r="A75" s="735" t="s">
        <v>805</v>
      </c>
      <c r="B75" s="737">
        <v>0</v>
      </c>
      <c r="C75" s="715">
        <v>0</v>
      </c>
      <c r="D75" s="715">
        <v>0</v>
      </c>
      <c r="E75" s="717" t="s">
        <v>642</v>
      </c>
      <c r="F75" s="715">
        <v>0</v>
      </c>
      <c r="G75" s="715">
        <v>0</v>
      </c>
    </row>
    <row r="76" spans="1:7" x14ac:dyDescent="0.3">
      <c r="A76" s="735" t="s">
        <v>806</v>
      </c>
      <c r="B76" s="737">
        <v>0</v>
      </c>
      <c r="C76" s="715">
        <v>0</v>
      </c>
      <c r="D76" s="715">
        <v>0</v>
      </c>
      <c r="E76" s="717" t="s">
        <v>642</v>
      </c>
      <c r="F76" s="715" t="s">
        <v>642</v>
      </c>
      <c r="G76" s="715" t="s">
        <v>642</v>
      </c>
    </row>
    <row r="77" spans="1:7" x14ac:dyDescent="0.3">
      <c r="A77" s="735" t="s">
        <v>808</v>
      </c>
      <c r="B77" s="736">
        <v>1524.8</v>
      </c>
      <c r="C77" s="716">
        <v>1469.6</v>
      </c>
      <c r="D77" s="716">
        <v>1389.6</v>
      </c>
      <c r="E77" s="717" t="s">
        <v>642</v>
      </c>
      <c r="F77" s="715" t="s">
        <v>642</v>
      </c>
      <c r="G77" s="715" t="s">
        <v>642</v>
      </c>
    </row>
    <row r="78" spans="1:7" x14ac:dyDescent="0.3">
      <c r="A78" s="735" t="s">
        <v>484</v>
      </c>
      <c r="B78" s="736">
        <v>3979</v>
      </c>
      <c r="C78" s="716">
        <v>3855.5</v>
      </c>
      <c r="D78" s="716">
        <v>3115.3</v>
      </c>
      <c r="E78" s="717" t="s">
        <v>642</v>
      </c>
      <c r="F78" s="715" t="s">
        <v>642</v>
      </c>
      <c r="G78" s="715" t="s">
        <v>642</v>
      </c>
    </row>
    <row r="79" spans="1:7" x14ac:dyDescent="0.3">
      <c r="A79" s="735" t="s">
        <v>810</v>
      </c>
      <c r="B79" s="737">
        <v>15.8</v>
      </c>
      <c r="C79" s="715">
        <v>13.7</v>
      </c>
      <c r="D79" s="715">
        <v>12.8</v>
      </c>
      <c r="E79" s="717" t="s">
        <v>642</v>
      </c>
      <c r="F79" s="715" t="s">
        <v>642</v>
      </c>
      <c r="G79" s="715" t="s">
        <v>642</v>
      </c>
    </row>
    <row r="80" spans="1:7" ht="26" x14ac:dyDescent="0.3">
      <c r="A80" s="741" t="s">
        <v>811</v>
      </c>
      <c r="B80" s="741" t="s">
        <v>812</v>
      </c>
      <c r="C80" s="724"/>
      <c r="D80" s="724"/>
      <c r="E80" s="724"/>
      <c r="F80" s="723" t="s">
        <v>642</v>
      </c>
      <c r="G80" s="723" t="s">
        <v>642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86"/>
  <sheetViews>
    <sheetView workbookViewId="0"/>
  </sheetViews>
  <sheetFormatPr defaultRowHeight="14" x14ac:dyDescent="0.3"/>
  <cols>
    <col min="1" max="1" width="36" bestFit="1" customWidth="1"/>
    <col min="2" max="2" width="36" hidden="1" customWidth="1"/>
    <col min="3" max="3" width="13.75" hidden="1" customWidth="1"/>
    <col min="4" max="4" width="13.75" bestFit="1" customWidth="1"/>
    <col min="5" max="5" width="10.08203125" bestFit="1" customWidth="1"/>
    <col min="6" max="7" width="11.08203125" bestFit="1" customWidth="1"/>
  </cols>
  <sheetData>
    <row r="1" spans="1:7" ht="14.5" x14ac:dyDescent="0.35">
      <c r="A1" s="725" t="s">
        <v>642</v>
      </c>
      <c r="B1" s="701" t="s">
        <v>642</v>
      </c>
      <c r="C1" s="701" t="s">
        <v>642</v>
      </c>
      <c r="D1" s="701" t="s">
        <v>642</v>
      </c>
    </row>
    <row r="2" spans="1:7" ht="40" x14ac:dyDescent="0.4">
      <c r="A2" s="726" t="s">
        <v>1208</v>
      </c>
      <c r="B2" s="703"/>
      <c r="C2" s="703"/>
      <c r="D2" s="703"/>
      <c r="E2" s="703"/>
    </row>
    <row r="3" spans="1:7" x14ac:dyDescent="0.3">
      <c r="A3" s="728" t="s">
        <v>642</v>
      </c>
      <c r="B3" s="704" t="s">
        <v>642</v>
      </c>
      <c r="C3" s="704" t="s">
        <v>642</v>
      </c>
      <c r="D3" s="704" t="s">
        <v>642</v>
      </c>
    </row>
    <row r="4" spans="1:7" x14ac:dyDescent="0.3">
      <c r="A4" s="729" t="s">
        <v>723</v>
      </c>
      <c r="B4" s="706" t="s">
        <v>732</v>
      </c>
      <c r="C4" s="706" t="s">
        <v>733</v>
      </c>
      <c r="D4" s="706" t="s">
        <v>734</v>
      </c>
    </row>
    <row r="5" spans="1:7" x14ac:dyDescent="0.3">
      <c r="A5" s="731" t="s">
        <v>738</v>
      </c>
      <c r="B5" s="709">
        <v>44651</v>
      </c>
      <c r="C5" s="709">
        <v>45016</v>
      </c>
      <c r="D5" s="709">
        <v>45382</v>
      </c>
      <c r="F5" s="749"/>
      <c r="G5" s="749"/>
    </row>
    <row r="6" spans="1:7" x14ac:dyDescent="0.3">
      <c r="A6" s="733" t="s">
        <v>292</v>
      </c>
      <c r="B6" s="710" t="s">
        <v>642</v>
      </c>
      <c r="C6" s="710" t="s">
        <v>642</v>
      </c>
      <c r="D6" s="710" t="s">
        <v>642</v>
      </c>
      <c r="F6" s="645"/>
      <c r="G6" s="645"/>
    </row>
    <row r="7" spans="1:7" x14ac:dyDescent="0.3">
      <c r="A7" s="735" t="s">
        <v>814</v>
      </c>
      <c r="B7" s="752">
        <v>949.7</v>
      </c>
      <c r="C7" s="716">
        <v>1036.0999999999999</v>
      </c>
      <c r="D7" s="716">
        <v>1667.1</v>
      </c>
    </row>
    <row r="8" spans="1:7" x14ac:dyDescent="0.3">
      <c r="A8" s="735" t="s">
        <v>815</v>
      </c>
      <c r="B8" s="752">
        <v>898.2</v>
      </c>
      <c r="C8" s="716">
        <v>1018.1</v>
      </c>
      <c r="D8" s="716">
        <v>1619.5</v>
      </c>
    </row>
    <row r="9" spans="1:7" x14ac:dyDescent="0.3">
      <c r="A9" s="735" t="s">
        <v>816</v>
      </c>
      <c r="B9" s="752">
        <v>51.6</v>
      </c>
      <c r="C9" s="715">
        <v>18.100000000000001</v>
      </c>
      <c r="D9" s="715">
        <v>47.6</v>
      </c>
    </row>
    <row r="10" spans="1:7" x14ac:dyDescent="0.3">
      <c r="A10" s="735" t="s">
        <v>817</v>
      </c>
      <c r="B10" s="753">
        <v>2527.4</v>
      </c>
      <c r="C10" s="715">
        <v>970.3</v>
      </c>
      <c r="D10" s="716">
        <v>1135.8</v>
      </c>
    </row>
    <row r="11" spans="1:7" x14ac:dyDescent="0.3">
      <c r="A11" s="735" t="s">
        <v>821</v>
      </c>
      <c r="B11" s="753">
        <v>3038</v>
      </c>
      <c r="C11" s="716">
        <v>3575.2</v>
      </c>
      <c r="D11" s="716">
        <v>2417.6</v>
      </c>
    </row>
    <row r="12" spans="1:7" x14ac:dyDescent="0.3">
      <c r="A12" s="735" t="s">
        <v>822</v>
      </c>
      <c r="B12" s="752">
        <v>161.9</v>
      </c>
      <c r="C12" s="715">
        <v>257.10000000000002</v>
      </c>
      <c r="D12" s="715">
        <v>181.1</v>
      </c>
      <c r="F12" s="645"/>
      <c r="G12" s="645"/>
    </row>
    <row r="13" spans="1:7" x14ac:dyDescent="0.3">
      <c r="A13" s="735" t="s">
        <v>823</v>
      </c>
      <c r="B13" s="753">
        <v>2293.8000000000002</v>
      </c>
      <c r="C13" s="716">
        <v>2646.4</v>
      </c>
      <c r="D13" s="716">
        <v>2001.6</v>
      </c>
    </row>
    <row r="14" spans="1:7" x14ac:dyDescent="0.3">
      <c r="A14" s="735" t="s">
        <v>824</v>
      </c>
      <c r="B14" s="752">
        <v>581.5</v>
      </c>
      <c r="C14" s="715">
        <v>671.3</v>
      </c>
      <c r="D14" s="715">
        <v>234.2</v>
      </c>
    </row>
    <row r="15" spans="1:7" x14ac:dyDescent="0.3">
      <c r="A15" s="735" t="s">
        <v>825</v>
      </c>
      <c r="B15" s="752">
        <v>0.8</v>
      </c>
      <c r="C15" s="715">
        <v>0.5</v>
      </c>
      <c r="D15" s="715">
        <v>0.7</v>
      </c>
    </row>
    <row r="16" spans="1:7" x14ac:dyDescent="0.3">
      <c r="A16" s="735" t="s">
        <v>826</v>
      </c>
      <c r="B16" s="753">
        <v>4384.8</v>
      </c>
      <c r="C16" s="716">
        <v>2035.9</v>
      </c>
      <c r="D16" s="715">
        <v>573.79999999999995</v>
      </c>
    </row>
    <row r="17" spans="1:7" x14ac:dyDescent="0.3">
      <c r="A17" s="735" t="s">
        <v>830</v>
      </c>
      <c r="B17" s="753">
        <v>4384.8</v>
      </c>
      <c r="C17" s="716">
        <v>2035.9</v>
      </c>
      <c r="D17" s="715">
        <v>573.79999999999995</v>
      </c>
    </row>
    <row r="18" spans="1:7" x14ac:dyDescent="0.3">
      <c r="A18" s="733" t="s">
        <v>831</v>
      </c>
      <c r="B18" s="751">
        <v>10899.9</v>
      </c>
      <c r="C18" s="711">
        <v>7617.5</v>
      </c>
      <c r="D18" s="711">
        <v>5794.2</v>
      </c>
    </row>
    <row r="19" spans="1:7" x14ac:dyDescent="0.3">
      <c r="A19" s="735" t="s">
        <v>832</v>
      </c>
      <c r="B19" s="753">
        <v>12752.5</v>
      </c>
      <c r="C19" s="716">
        <v>14234.9</v>
      </c>
      <c r="D19" s="716">
        <v>11817.4</v>
      </c>
      <c r="F19" s="645"/>
      <c r="G19" s="645"/>
    </row>
    <row r="20" spans="1:7" x14ac:dyDescent="0.3">
      <c r="A20" s="735" t="s">
        <v>833</v>
      </c>
      <c r="B20" s="753">
        <v>25467.1</v>
      </c>
      <c r="C20" s="716">
        <v>30322.1</v>
      </c>
      <c r="D20" s="716">
        <v>28977.5</v>
      </c>
    </row>
    <row r="21" spans="1:7" x14ac:dyDescent="0.3">
      <c r="A21" s="735" t="s">
        <v>834</v>
      </c>
      <c r="B21" s="753">
        <v>12714.6</v>
      </c>
      <c r="C21" s="716">
        <v>16087.2</v>
      </c>
      <c r="D21" s="716">
        <v>17160.099999999999</v>
      </c>
    </row>
    <row r="22" spans="1:7" x14ac:dyDescent="0.3">
      <c r="A22" s="735" t="s">
        <v>835</v>
      </c>
      <c r="B22" s="752">
        <v>513.29999999999995</v>
      </c>
      <c r="C22" s="715">
        <v>455.7</v>
      </c>
      <c r="D22" s="715">
        <v>775.1</v>
      </c>
    </row>
    <row r="23" spans="1:7" x14ac:dyDescent="0.3">
      <c r="A23" s="735" t="s">
        <v>836</v>
      </c>
      <c r="B23" s="752">
        <v>513.29999999999995</v>
      </c>
      <c r="C23" s="715">
        <v>455.7</v>
      </c>
      <c r="D23" s="715">
        <v>775.1</v>
      </c>
    </row>
    <row r="24" spans="1:7" x14ac:dyDescent="0.3">
      <c r="A24" s="735" t="s">
        <v>838</v>
      </c>
      <c r="B24" s="753">
        <v>6480.1</v>
      </c>
      <c r="C24" s="716">
        <v>6902.3</v>
      </c>
      <c r="D24" s="716">
        <v>7098</v>
      </c>
    </row>
    <row r="25" spans="1:7" x14ac:dyDescent="0.3">
      <c r="A25" s="735" t="s">
        <v>839</v>
      </c>
      <c r="B25" s="753">
        <v>4171.1000000000004</v>
      </c>
      <c r="C25" s="716">
        <v>4085.1</v>
      </c>
      <c r="D25" s="716">
        <v>3617.4</v>
      </c>
    </row>
    <row r="26" spans="1:7" x14ac:dyDescent="0.3">
      <c r="A26" s="738" t="s">
        <v>840</v>
      </c>
      <c r="B26" s="756">
        <v>3862.3</v>
      </c>
      <c r="C26" s="721">
        <v>3880.7</v>
      </c>
      <c r="D26" s="721">
        <v>3517.3</v>
      </c>
    </row>
    <row r="27" spans="1:7" x14ac:dyDescent="0.3">
      <c r="A27" s="738" t="s">
        <v>841</v>
      </c>
      <c r="B27" s="754">
        <v>308.7</v>
      </c>
      <c r="C27" s="719">
        <v>204.5</v>
      </c>
      <c r="D27" s="719">
        <v>100.2</v>
      </c>
    </row>
    <row r="28" spans="1:7" x14ac:dyDescent="0.3">
      <c r="A28" s="735" t="s">
        <v>843</v>
      </c>
      <c r="B28" s="753">
        <v>2196</v>
      </c>
      <c r="C28" s="716">
        <v>2700.6</v>
      </c>
      <c r="D28" s="716">
        <v>3297.7</v>
      </c>
      <c r="F28" s="645"/>
      <c r="G28" s="645"/>
    </row>
    <row r="29" spans="1:7" x14ac:dyDescent="0.3">
      <c r="A29" s="735" t="s">
        <v>844</v>
      </c>
      <c r="B29" s="752">
        <v>0.4</v>
      </c>
      <c r="C29" s="715">
        <v>0.6</v>
      </c>
      <c r="D29" s="715">
        <v>0.7</v>
      </c>
    </row>
    <row r="30" spans="1:7" x14ac:dyDescent="0.3">
      <c r="A30" s="735" t="s">
        <v>845</v>
      </c>
      <c r="B30" s="752">
        <v>69.3</v>
      </c>
      <c r="C30" s="715">
        <v>73.2</v>
      </c>
      <c r="D30" s="715">
        <v>61.1</v>
      </c>
    </row>
    <row r="31" spans="1:7" x14ac:dyDescent="0.3">
      <c r="A31" s="735" t="s">
        <v>846</v>
      </c>
      <c r="B31" s="752">
        <v>43.4</v>
      </c>
      <c r="C31" s="715">
        <v>42.7</v>
      </c>
      <c r="D31" s="715">
        <v>121</v>
      </c>
    </row>
    <row r="32" spans="1:7" x14ac:dyDescent="0.3">
      <c r="A32" s="733" t="s">
        <v>847</v>
      </c>
      <c r="B32" s="751">
        <v>19745.8</v>
      </c>
      <c r="C32" s="711">
        <v>21592.9</v>
      </c>
      <c r="D32" s="711">
        <v>19690.5</v>
      </c>
    </row>
    <row r="33" spans="1:7" x14ac:dyDescent="0.3">
      <c r="A33" s="733" t="s">
        <v>292</v>
      </c>
      <c r="B33" s="751">
        <v>30645.8</v>
      </c>
      <c r="C33" s="711">
        <v>29210.400000000001</v>
      </c>
      <c r="D33" s="711">
        <v>25484.799999999999</v>
      </c>
    </row>
    <row r="34" spans="1:7" x14ac:dyDescent="0.3">
      <c r="A34" s="733" t="s">
        <v>642</v>
      </c>
      <c r="B34" s="710" t="s">
        <v>642</v>
      </c>
      <c r="C34" s="710" t="s">
        <v>642</v>
      </c>
      <c r="D34" s="710" t="s">
        <v>642</v>
      </c>
    </row>
    <row r="35" spans="1:7" x14ac:dyDescent="0.3">
      <c r="A35" s="733" t="s">
        <v>848</v>
      </c>
      <c r="B35" s="710" t="s">
        <v>642</v>
      </c>
      <c r="C35" s="710" t="s">
        <v>642</v>
      </c>
      <c r="D35" s="710" t="s">
        <v>642</v>
      </c>
      <c r="F35" s="645"/>
      <c r="G35" s="645"/>
    </row>
    <row r="36" spans="1:7" x14ac:dyDescent="0.3">
      <c r="A36" s="735" t="s">
        <v>849</v>
      </c>
      <c r="B36" s="753">
        <v>5429.1</v>
      </c>
      <c r="C36" s="716">
        <v>5251.5</v>
      </c>
      <c r="D36" s="716">
        <v>4744.1000000000004</v>
      </c>
    </row>
    <row r="37" spans="1:7" x14ac:dyDescent="0.3">
      <c r="A37" s="735" t="s">
        <v>850</v>
      </c>
      <c r="B37" s="753">
        <v>1126</v>
      </c>
      <c r="C37" s="715">
        <v>870.7</v>
      </c>
      <c r="D37" s="716">
        <v>1004.3</v>
      </c>
    </row>
    <row r="38" spans="1:7" x14ac:dyDescent="0.3">
      <c r="A38" s="735" t="s">
        <v>851</v>
      </c>
      <c r="B38" s="752">
        <v>30.2</v>
      </c>
      <c r="C38" s="715">
        <v>31.3</v>
      </c>
      <c r="D38" s="715">
        <v>55</v>
      </c>
    </row>
    <row r="39" spans="1:7" x14ac:dyDescent="0.3">
      <c r="A39" s="735" t="s">
        <v>1188</v>
      </c>
      <c r="B39" s="752">
        <v>137.9</v>
      </c>
      <c r="C39" s="715">
        <v>133.5</v>
      </c>
      <c r="D39" s="715">
        <v>130.19999999999999</v>
      </c>
      <c r="F39" s="645"/>
      <c r="G39" s="645"/>
    </row>
    <row r="40" spans="1:7" x14ac:dyDescent="0.3">
      <c r="A40" s="735" t="s">
        <v>852</v>
      </c>
      <c r="B40" s="753">
        <v>4135</v>
      </c>
      <c r="C40" s="716">
        <v>4215.8999999999996</v>
      </c>
      <c r="D40" s="716">
        <v>3554.6</v>
      </c>
    </row>
    <row r="41" spans="1:7" x14ac:dyDescent="0.3">
      <c r="A41" s="735" t="s">
        <v>853</v>
      </c>
      <c r="B41" s="753">
        <v>2410.8000000000002</v>
      </c>
      <c r="C41" s="716">
        <v>2857.3</v>
      </c>
      <c r="D41" s="716">
        <v>10578.2</v>
      </c>
    </row>
    <row r="42" spans="1:7" x14ac:dyDescent="0.3">
      <c r="A42" s="735" t="s">
        <v>854</v>
      </c>
      <c r="B42" s="752">
        <v>57.2</v>
      </c>
      <c r="C42" s="715">
        <v>326.10000000000002</v>
      </c>
      <c r="D42" s="716">
        <v>3993.3</v>
      </c>
    </row>
    <row r="43" spans="1:7" x14ac:dyDescent="0.3">
      <c r="A43" s="735" t="s">
        <v>855</v>
      </c>
      <c r="B43" s="752">
        <v>312.3</v>
      </c>
      <c r="C43" s="715">
        <v>384.8</v>
      </c>
      <c r="D43" s="715">
        <v>356</v>
      </c>
    </row>
    <row r="44" spans="1:7" x14ac:dyDescent="0.3">
      <c r="A44" s="735" t="s">
        <v>856</v>
      </c>
      <c r="B44" s="753">
        <v>2041.3</v>
      </c>
      <c r="C44" s="716">
        <v>2146.4</v>
      </c>
      <c r="D44" s="716">
        <v>6228.8</v>
      </c>
    </row>
    <row r="45" spans="1:7" x14ac:dyDescent="0.3">
      <c r="A45" s="735" t="s">
        <v>857</v>
      </c>
      <c r="B45" s="752">
        <v>840.2</v>
      </c>
      <c r="C45" s="715">
        <v>814.9</v>
      </c>
      <c r="D45" s="716">
        <v>1277.5999999999999</v>
      </c>
      <c r="F45" s="645"/>
      <c r="G45" s="645"/>
    </row>
    <row r="46" spans="1:7" x14ac:dyDescent="0.3">
      <c r="A46" s="735" t="s">
        <v>858</v>
      </c>
      <c r="B46" s="752">
        <v>0</v>
      </c>
      <c r="C46" s="715">
        <v>0</v>
      </c>
      <c r="D46" s="715">
        <v>0</v>
      </c>
    </row>
    <row r="47" spans="1:7" x14ac:dyDescent="0.3">
      <c r="A47" s="735" t="s">
        <v>859</v>
      </c>
      <c r="B47" s="752">
        <v>243.3</v>
      </c>
      <c r="C47" s="715">
        <v>81.8</v>
      </c>
      <c r="D47" s="715">
        <v>61.9</v>
      </c>
    </row>
    <row r="48" spans="1:7" x14ac:dyDescent="0.3">
      <c r="A48" s="735" t="s">
        <v>860</v>
      </c>
      <c r="B48" s="752">
        <v>597</v>
      </c>
      <c r="C48" s="715">
        <v>733.1</v>
      </c>
      <c r="D48" s="716">
        <v>1215.7</v>
      </c>
      <c r="F48" s="645"/>
      <c r="G48" s="645"/>
    </row>
    <row r="49" spans="1:7" x14ac:dyDescent="0.3">
      <c r="A49" s="733" t="s">
        <v>861</v>
      </c>
      <c r="B49" s="751">
        <v>8680.2000000000007</v>
      </c>
      <c r="C49" s="711">
        <v>8923.7000000000007</v>
      </c>
      <c r="D49" s="711">
        <v>16599.900000000001</v>
      </c>
    </row>
    <row r="50" spans="1:7" x14ac:dyDescent="0.3">
      <c r="A50" s="735" t="s">
        <v>862</v>
      </c>
      <c r="B50" s="753">
        <v>13122.7</v>
      </c>
      <c r="C50" s="716">
        <v>12604.1</v>
      </c>
      <c r="D50" s="716">
        <v>3805.2</v>
      </c>
      <c r="F50" s="645"/>
      <c r="G50" s="645"/>
    </row>
    <row r="51" spans="1:7" x14ac:dyDescent="0.3">
      <c r="A51" s="735" t="s">
        <v>863</v>
      </c>
      <c r="B51" s="753">
        <v>11979</v>
      </c>
      <c r="C51" s="716">
        <v>11121.3</v>
      </c>
      <c r="D51" s="716">
        <v>2534.3000000000002</v>
      </c>
    </row>
    <row r="52" spans="1:7" x14ac:dyDescent="0.3">
      <c r="A52" s="735" t="s">
        <v>864</v>
      </c>
      <c r="B52" s="753">
        <v>1143.7</v>
      </c>
      <c r="C52" s="716">
        <v>1482.8</v>
      </c>
      <c r="D52" s="716">
        <v>1270.9000000000001</v>
      </c>
    </row>
    <row r="53" spans="1:7" x14ac:dyDescent="0.3">
      <c r="A53" s="735" t="s">
        <v>865</v>
      </c>
      <c r="B53" s="752">
        <v>912.8</v>
      </c>
      <c r="C53" s="716">
        <v>1218.9000000000001</v>
      </c>
      <c r="D53" s="716">
        <v>1078.8</v>
      </c>
    </row>
    <row r="54" spans="1:7" x14ac:dyDescent="0.3">
      <c r="A54" s="735" t="s">
        <v>866</v>
      </c>
      <c r="B54" s="752">
        <v>0</v>
      </c>
      <c r="C54" s="715">
        <v>0</v>
      </c>
      <c r="D54" s="715">
        <v>0</v>
      </c>
    </row>
    <row r="55" spans="1:7" x14ac:dyDescent="0.3">
      <c r="A55" s="735" t="s">
        <v>867</v>
      </c>
      <c r="B55" s="752">
        <v>484.9</v>
      </c>
      <c r="C55" s="715">
        <v>488.3</v>
      </c>
      <c r="D55" s="715">
        <v>431.4</v>
      </c>
      <c r="F55" s="645"/>
      <c r="G55" s="645"/>
    </row>
    <row r="56" spans="1:7" x14ac:dyDescent="0.3">
      <c r="A56" s="735" t="s">
        <v>858</v>
      </c>
      <c r="B56" s="752">
        <v>0</v>
      </c>
      <c r="C56" s="715">
        <v>0</v>
      </c>
      <c r="D56" s="715">
        <v>0</v>
      </c>
      <c r="F56" s="645"/>
      <c r="G56" s="645"/>
    </row>
    <row r="57" spans="1:7" x14ac:dyDescent="0.3">
      <c r="A57" s="735" t="s">
        <v>870</v>
      </c>
      <c r="B57" s="752" t="s">
        <v>741</v>
      </c>
      <c r="C57" s="715">
        <v>1.3</v>
      </c>
      <c r="D57" s="715">
        <v>0.3</v>
      </c>
      <c r="F57" s="645"/>
      <c r="G57" s="645"/>
    </row>
    <row r="58" spans="1:7" x14ac:dyDescent="0.3">
      <c r="A58" s="735" t="s">
        <v>871</v>
      </c>
      <c r="B58" s="752">
        <v>427.9</v>
      </c>
      <c r="C58" s="715">
        <v>729.3</v>
      </c>
      <c r="D58" s="715">
        <v>647.1</v>
      </c>
    </row>
    <row r="59" spans="1:7" x14ac:dyDescent="0.3">
      <c r="A59" s="733" t="s">
        <v>872</v>
      </c>
      <c r="B59" s="751">
        <v>14035.5</v>
      </c>
      <c r="C59" s="711">
        <v>13823</v>
      </c>
      <c r="D59" s="711">
        <v>4884</v>
      </c>
    </row>
    <row r="60" spans="1:7" x14ac:dyDescent="0.3">
      <c r="A60" s="733" t="s">
        <v>458</v>
      </c>
      <c r="B60" s="751">
        <v>22715.7</v>
      </c>
      <c r="C60" s="711">
        <v>22746.799999999999</v>
      </c>
      <c r="D60" s="711">
        <v>21483.9</v>
      </c>
      <c r="F60" s="645"/>
      <c r="G60" s="645"/>
    </row>
    <row r="61" spans="1:7" x14ac:dyDescent="0.3">
      <c r="A61" s="735" t="s">
        <v>873</v>
      </c>
      <c r="B61" s="752" t="s">
        <v>741</v>
      </c>
      <c r="C61" s="715" t="s">
        <v>741</v>
      </c>
      <c r="D61" s="715" t="s">
        <v>741</v>
      </c>
      <c r="F61" s="645"/>
      <c r="G61" s="645"/>
    </row>
    <row r="62" spans="1:7" x14ac:dyDescent="0.3">
      <c r="A62" s="735" t="s">
        <v>874</v>
      </c>
      <c r="B62" s="753">
        <v>8604.7999999999993</v>
      </c>
      <c r="C62" s="716">
        <v>11308.3</v>
      </c>
      <c r="D62" s="716">
        <v>10243.200000000001</v>
      </c>
      <c r="F62" s="645"/>
      <c r="G62" s="645"/>
    </row>
    <row r="63" spans="1:7" x14ac:dyDescent="0.3">
      <c r="A63" s="735" t="s">
        <v>875</v>
      </c>
      <c r="B63" s="752">
        <v>99.9</v>
      </c>
      <c r="C63" s="716">
        <v>2946.1</v>
      </c>
      <c r="D63" s="716">
        <v>2668.6</v>
      </c>
    </row>
    <row r="64" spans="1:7" x14ac:dyDescent="0.3">
      <c r="A64" s="735" t="s">
        <v>876</v>
      </c>
      <c r="B64" s="753">
        <v>8504.9</v>
      </c>
      <c r="C64" s="716">
        <v>8362.2000000000007</v>
      </c>
      <c r="D64" s="716">
        <v>7574.6</v>
      </c>
    </row>
    <row r="65" spans="1:7" x14ac:dyDescent="0.3">
      <c r="A65" s="735" t="s">
        <v>878</v>
      </c>
      <c r="B65" s="752">
        <v>0</v>
      </c>
      <c r="C65" s="715">
        <v>0</v>
      </c>
      <c r="D65" s="715">
        <v>0</v>
      </c>
    </row>
    <row r="66" spans="1:7" x14ac:dyDescent="0.3">
      <c r="A66" s="735" t="s">
        <v>879</v>
      </c>
      <c r="B66" s="752">
        <v>-818.3</v>
      </c>
      <c r="C66" s="716">
        <v>-4999.3999999999996</v>
      </c>
      <c r="D66" s="716">
        <v>-6698.7</v>
      </c>
      <c r="F66" s="645"/>
      <c r="G66" s="645"/>
    </row>
    <row r="67" spans="1:7" x14ac:dyDescent="0.3">
      <c r="A67" s="735" t="s">
        <v>880</v>
      </c>
      <c r="B67" s="752">
        <v>142.5</v>
      </c>
      <c r="C67" s="715">
        <v>153.5</v>
      </c>
      <c r="D67" s="715">
        <v>455.2</v>
      </c>
    </row>
    <row r="68" spans="1:7" x14ac:dyDescent="0.3">
      <c r="A68" s="733" t="s">
        <v>881</v>
      </c>
      <c r="B68" s="751">
        <v>7929</v>
      </c>
      <c r="C68" s="711">
        <v>6462.5</v>
      </c>
      <c r="D68" s="711">
        <v>3999.7</v>
      </c>
    </row>
    <row r="69" spans="1:7" x14ac:dyDescent="0.3">
      <c r="A69" s="735" t="s">
        <v>882</v>
      </c>
      <c r="B69" s="752">
        <v>1.1000000000000001</v>
      </c>
      <c r="C69" s="715">
        <v>1.1000000000000001</v>
      </c>
      <c r="D69" s="715">
        <v>1.2</v>
      </c>
      <c r="F69" s="645"/>
      <c r="G69" s="645"/>
    </row>
    <row r="70" spans="1:7" x14ac:dyDescent="0.3">
      <c r="A70" s="733" t="s">
        <v>883</v>
      </c>
      <c r="B70" s="751">
        <v>7930.1</v>
      </c>
      <c r="C70" s="711">
        <v>6463.6</v>
      </c>
      <c r="D70" s="711">
        <v>4000.8</v>
      </c>
    </row>
    <row r="71" spans="1:7" x14ac:dyDescent="0.3">
      <c r="A71" s="733" t="s">
        <v>884</v>
      </c>
      <c r="B71" s="751">
        <v>30645.8</v>
      </c>
      <c r="C71" s="711">
        <v>29210.400000000001</v>
      </c>
      <c r="D71" s="711">
        <v>25484.799999999999</v>
      </c>
    </row>
    <row r="72" spans="1:7" x14ac:dyDescent="0.3">
      <c r="A72" s="733" t="s">
        <v>642</v>
      </c>
      <c r="B72" s="710" t="s">
        <v>642</v>
      </c>
      <c r="C72" s="710" t="s">
        <v>642</v>
      </c>
      <c r="D72" s="710" t="s">
        <v>642</v>
      </c>
    </row>
    <row r="73" spans="1:7" x14ac:dyDescent="0.3">
      <c r="A73" s="733" t="s">
        <v>799</v>
      </c>
      <c r="B73" s="710" t="s">
        <v>642</v>
      </c>
      <c r="C73" s="710" t="s">
        <v>642</v>
      </c>
      <c r="D73" s="710" t="s">
        <v>642</v>
      </c>
      <c r="F73" s="645"/>
      <c r="G73" s="645"/>
    </row>
    <row r="74" spans="1:7" x14ac:dyDescent="0.3">
      <c r="A74" s="735" t="s">
        <v>800</v>
      </c>
      <c r="B74" s="752" t="s">
        <v>801</v>
      </c>
      <c r="C74" s="715" t="s">
        <v>801</v>
      </c>
      <c r="D74" s="715" t="s">
        <v>801</v>
      </c>
    </row>
    <row r="75" spans="1:7" x14ac:dyDescent="0.3">
      <c r="A75" s="735" t="s">
        <v>885</v>
      </c>
      <c r="B75" s="752">
        <v>517.5</v>
      </c>
      <c r="C75" s="715">
        <v>517.5</v>
      </c>
      <c r="D75" s="715">
        <v>517.5</v>
      </c>
    </row>
    <row r="76" spans="1:7" x14ac:dyDescent="0.3">
      <c r="A76" s="735" t="s">
        <v>1193</v>
      </c>
      <c r="B76" s="752">
        <v>0</v>
      </c>
      <c r="C76" s="715">
        <v>0</v>
      </c>
      <c r="D76" s="715">
        <v>0</v>
      </c>
    </row>
    <row r="77" spans="1:7" x14ac:dyDescent="0.3">
      <c r="A77" s="735" t="s">
        <v>886</v>
      </c>
      <c r="B77" s="752">
        <v>484.9</v>
      </c>
      <c r="C77" s="715">
        <v>488.3</v>
      </c>
      <c r="D77" s="715">
        <v>431.4</v>
      </c>
    </row>
    <row r="78" spans="1:7" x14ac:dyDescent="0.3">
      <c r="A78" s="735" t="s">
        <v>889</v>
      </c>
      <c r="B78" s="752">
        <v>0.7</v>
      </c>
      <c r="C78" s="715">
        <v>0</v>
      </c>
      <c r="D78" s="715">
        <v>0</v>
      </c>
    </row>
    <row r="79" spans="1:7" x14ac:dyDescent="0.3">
      <c r="A79" s="735" t="s">
        <v>890</v>
      </c>
      <c r="B79" s="752">
        <v>14</v>
      </c>
      <c r="C79" s="715">
        <v>13.7</v>
      </c>
      <c r="D79" s="715">
        <v>12.7</v>
      </c>
    </row>
    <row r="80" spans="1:7" x14ac:dyDescent="0.3">
      <c r="A80" s="735" t="s">
        <v>632</v>
      </c>
      <c r="B80" s="753">
        <v>10789.4</v>
      </c>
      <c r="C80" s="716">
        <v>12876.8</v>
      </c>
      <c r="D80" s="716">
        <v>12667.1</v>
      </c>
    </row>
    <row r="81" spans="1:4" x14ac:dyDescent="0.3">
      <c r="A81" s="735" t="s">
        <v>891</v>
      </c>
      <c r="B81" s="752">
        <v>136.06</v>
      </c>
      <c r="C81" s="715">
        <v>199.22</v>
      </c>
      <c r="D81" s="715">
        <v>316.61</v>
      </c>
    </row>
    <row r="82" spans="1:4" x14ac:dyDescent="0.3">
      <c r="A82" s="735" t="s">
        <v>892</v>
      </c>
      <c r="B82" s="752">
        <v>14.19</v>
      </c>
      <c r="C82" s="715">
        <v>9.4600000000000009</v>
      </c>
      <c r="D82" s="715">
        <v>1.75</v>
      </c>
    </row>
    <row r="83" spans="1:4" x14ac:dyDescent="0.3">
      <c r="A83" s="735" t="s">
        <v>54</v>
      </c>
      <c r="B83" s="752">
        <v>1.26</v>
      </c>
      <c r="C83" s="715">
        <v>0.85</v>
      </c>
      <c r="D83" s="715">
        <v>0.35</v>
      </c>
    </row>
    <row r="84" spans="1:4" x14ac:dyDescent="0.3">
      <c r="A84" s="735" t="s">
        <v>64</v>
      </c>
      <c r="B84" s="752" t="s">
        <v>741</v>
      </c>
      <c r="C84" s="715">
        <v>120.14</v>
      </c>
      <c r="D84" s="715">
        <v>101.87</v>
      </c>
    </row>
    <row r="85" spans="1:4" x14ac:dyDescent="0.3">
      <c r="A85" s="735" t="s">
        <v>1196</v>
      </c>
      <c r="B85" s="753">
        <v>14203</v>
      </c>
      <c r="C85" s="716">
        <v>15231</v>
      </c>
      <c r="D85" s="716">
        <v>15249</v>
      </c>
    </row>
    <row r="86" spans="1:4" x14ac:dyDescent="0.3">
      <c r="A86" s="741" t="s">
        <v>811</v>
      </c>
      <c r="B86" s="723" t="s">
        <v>642</v>
      </c>
      <c r="C86" s="723" t="s">
        <v>642</v>
      </c>
      <c r="D86" s="723" t="s">
        <v>642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67"/>
  <sheetViews>
    <sheetView workbookViewId="0"/>
  </sheetViews>
  <sheetFormatPr defaultRowHeight="14" x14ac:dyDescent="0.3"/>
  <cols>
    <col min="1" max="1" width="36" bestFit="1" customWidth="1"/>
    <col min="2" max="3" width="9.08203125" hidden="1" customWidth="1"/>
    <col min="4" max="4" width="9.08203125" bestFit="1" customWidth="1"/>
    <col min="5" max="5" width="9.08203125" hidden="1" customWidth="1"/>
  </cols>
  <sheetData>
    <row r="1" spans="1:6" ht="14.5" x14ac:dyDescent="0.35">
      <c r="A1" s="725" t="s">
        <v>642</v>
      </c>
      <c r="B1" s="701" t="s">
        <v>642</v>
      </c>
      <c r="C1" s="701" t="s">
        <v>642</v>
      </c>
      <c r="D1" s="701" t="s">
        <v>642</v>
      </c>
      <c r="E1" s="701" t="s">
        <v>642</v>
      </c>
    </row>
    <row r="2" spans="1:6" ht="40" x14ac:dyDescent="0.4">
      <c r="A2" s="726" t="s">
        <v>1208</v>
      </c>
      <c r="B2" s="703"/>
      <c r="C2" s="703"/>
      <c r="D2" s="703"/>
      <c r="E2" s="703"/>
      <c r="F2" s="702" t="s">
        <v>642</v>
      </c>
    </row>
    <row r="3" spans="1:6" x14ac:dyDescent="0.3">
      <c r="A3" s="728" t="s">
        <v>642</v>
      </c>
      <c r="B3" s="704" t="s">
        <v>642</v>
      </c>
      <c r="C3" s="704" t="s">
        <v>642</v>
      </c>
      <c r="D3" s="704" t="s">
        <v>642</v>
      </c>
      <c r="E3" s="704" t="s">
        <v>642</v>
      </c>
    </row>
    <row r="4" spans="1:6" x14ac:dyDescent="0.3">
      <c r="A4" s="729" t="s">
        <v>723</v>
      </c>
      <c r="B4" s="706" t="s">
        <v>732</v>
      </c>
      <c r="C4" s="706" t="s">
        <v>733</v>
      </c>
      <c r="D4" s="706" t="s">
        <v>734</v>
      </c>
      <c r="E4" s="706" t="s">
        <v>735</v>
      </c>
    </row>
    <row r="5" spans="1:6" x14ac:dyDescent="0.3">
      <c r="A5" s="731" t="s">
        <v>738</v>
      </c>
      <c r="B5" s="709">
        <v>44651</v>
      </c>
      <c r="C5" s="709">
        <v>45016</v>
      </c>
      <c r="D5" s="709">
        <v>45382</v>
      </c>
      <c r="E5" s="709">
        <v>45657</v>
      </c>
    </row>
    <row r="6" spans="1:6" x14ac:dyDescent="0.3">
      <c r="A6" s="733" t="s">
        <v>893</v>
      </c>
      <c r="B6" s="710" t="s">
        <v>642</v>
      </c>
      <c r="C6" s="710" t="s">
        <v>642</v>
      </c>
      <c r="D6" s="710" t="s">
        <v>642</v>
      </c>
      <c r="E6" s="712" t="s">
        <v>642</v>
      </c>
    </row>
    <row r="7" spans="1:6" x14ac:dyDescent="0.3">
      <c r="A7" s="735" t="s">
        <v>894</v>
      </c>
      <c r="B7" s="753">
        <v>1100.5999999999999</v>
      </c>
      <c r="C7" s="716">
        <v>-1335.8</v>
      </c>
      <c r="D7" s="716">
        <v>-2228.1</v>
      </c>
      <c r="E7" s="717" t="s">
        <v>642</v>
      </c>
    </row>
    <row r="8" spans="1:6" x14ac:dyDescent="0.3">
      <c r="A8" s="735" t="s">
        <v>895</v>
      </c>
      <c r="B8" s="753">
        <v>4628.6000000000004</v>
      </c>
      <c r="C8" s="716">
        <v>4043.5</v>
      </c>
      <c r="D8" s="716">
        <v>3163.6</v>
      </c>
      <c r="E8" s="717" t="s">
        <v>642</v>
      </c>
    </row>
    <row r="9" spans="1:6" x14ac:dyDescent="0.3">
      <c r="A9" s="735" t="s">
        <v>896</v>
      </c>
      <c r="B9" s="752">
        <v>832.9</v>
      </c>
      <c r="C9" s="715">
        <v>-333.1</v>
      </c>
      <c r="D9" s="715">
        <v>-486.6</v>
      </c>
      <c r="E9" s="717">
        <v>729.1</v>
      </c>
    </row>
    <row r="10" spans="1:6" x14ac:dyDescent="0.3">
      <c r="A10" s="735" t="s">
        <v>898</v>
      </c>
      <c r="B10" s="752">
        <v>832.9</v>
      </c>
      <c r="C10" s="715">
        <v>-333.1</v>
      </c>
      <c r="D10" s="715">
        <v>-486.6</v>
      </c>
      <c r="E10" s="717">
        <v>729.1</v>
      </c>
    </row>
    <row r="11" spans="1:6" x14ac:dyDescent="0.3">
      <c r="A11" s="735" t="s">
        <v>899</v>
      </c>
      <c r="B11" s="752">
        <v>-856.1</v>
      </c>
      <c r="C11" s="715">
        <v>904.3</v>
      </c>
      <c r="D11" s="716">
        <v>1334.7</v>
      </c>
      <c r="E11" s="717" t="s">
        <v>642</v>
      </c>
    </row>
    <row r="12" spans="1:6" x14ac:dyDescent="0.3">
      <c r="A12" s="735" t="s">
        <v>900</v>
      </c>
      <c r="B12" s="752">
        <v>-755.2</v>
      </c>
      <c r="C12" s="716">
        <v>1773.2</v>
      </c>
      <c r="D12" s="715">
        <v>-223.2</v>
      </c>
      <c r="E12" s="717" t="s">
        <v>642</v>
      </c>
    </row>
    <row r="13" spans="1:6" x14ac:dyDescent="0.3">
      <c r="A13" s="735" t="s">
        <v>901</v>
      </c>
      <c r="B13" s="752">
        <v>-450.5</v>
      </c>
      <c r="C13" s="715">
        <v>-547</v>
      </c>
      <c r="D13" s="715">
        <v>863.6</v>
      </c>
      <c r="E13" s="717" t="s">
        <v>642</v>
      </c>
    </row>
    <row r="14" spans="1:6" x14ac:dyDescent="0.3">
      <c r="A14" s="735" t="s">
        <v>902</v>
      </c>
      <c r="B14" s="752">
        <v>349.7</v>
      </c>
      <c r="C14" s="715">
        <v>-321.89999999999998</v>
      </c>
      <c r="D14" s="715">
        <v>694.3</v>
      </c>
      <c r="E14" s="717">
        <v>593.79999999999995</v>
      </c>
    </row>
    <row r="15" spans="1:6" x14ac:dyDescent="0.3">
      <c r="A15" s="735" t="s">
        <v>903</v>
      </c>
      <c r="B15" s="752">
        <v>0</v>
      </c>
      <c r="C15" s="715">
        <v>0</v>
      </c>
      <c r="D15" s="715">
        <v>0</v>
      </c>
      <c r="E15" s="717">
        <v>0</v>
      </c>
    </row>
    <row r="16" spans="1:6" x14ac:dyDescent="0.3">
      <c r="A16" s="735" t="s">
        <v>904</v>
      </c>
      <c r="B16" s="752">
        <v>0</v>
      </c>
      <c r="C16" s="715">
        <v>0</v>
      </c>
      <c r="D16" s="715">
        <v>0</v>
      </c>
      <c r="E16" s="717">
        <v>0</v>
      </c>
    </row>
    <row r="17" spans="1:5" x14ac:dyDescent="0.3">
      <c r="A17" s="733" t="s">
        <v>893</v>
      </c>
      <c r="B17" s="751">
        <v>5706.1</v>
      </c>
      <c r="C17" s="711">
        <v>3279</v>
      </c>
      <c r="D17" s="711">
        <v>1783.6</v>
      </c>
      <c r="E17" s="712" t="s">
        <v>642</v>
      </c>
    </row>
    <row r="18" spans="1:5" x14ac:dyDescent="0.3">
      <c r="A18" s="733" t="s">
        <v>642</v>
      </c>
      <c r="B18" s="710" t="s">
        <v>642</v>
      </c>
      <c r="C18" s="710" t="s">
        <v>642</v>
      </c>
      <c r="D18" s="710" t="s">
        <v>642</v>
      </c>
      <c r="E18" s="712" t="s">
        <v>642</v>
      </c>
    </row>
    <row r="19" spans="1:5" x14ac:dyDescent="0.3">
      <c r="A19" s="733" t="s">
        <v>905</v>
      </c>
      <c r="B19" s="710" t="s">
        <v>642</v>
      </c>
      <c r="C19" s="710" t="s">
        <v>642</v>
      </c>
      <c r="D19" s="710" t="s">
        <v>642</v>
      </c>
      <c r="E19" s="712" t="s">
        <v>642</v>
      </c>
    </row>
    <row r="20" spans="1:5" x14ac:dyDescent="0.3">
      <c r="A20" s="735" t="s">
        <v>906</v>
      </c>
      <c r="B20" s="753">
        <v>-4157.3</v>
      </c>
      <c r="C20" s="716">
        <v>-4917.3999999999996</v>
      </c>
      <c r="D20" s="716">
        <v>-2685.4</v>
      </c>
      <c r="E20" s="718">
        <v>-1276</v>
      </c>
    </row>
    <row r="21" spans="1:5" x14ac:dyDescent="0.3">
      <c r="A21" s="735" t="s">
        <v>907</v>
      </c>
      <c r="B21" s="752">
        <v>8.1</v>
      </c>
      <c r="C21" s="715">
        <v>17.5</v>
      </c>
      <c r="D21" s="715">
        <v>103.7</v>
      </c>
      <c r="E21" s="717">
        <v>37</v>
      </c>
    </row>
    <row r="22" spans="1:5" x14ac:dyDescent="0.3">
      <c r="A22" s="738" t="s">
        <v>908</v>
      </c>
      <c r="B22" s="754">
        <v>8.1</v>
      </c>
      <c r="C22" s="719">
        <v>17.5</v>
      </c>
      <c r="D22" s="719">
        <v>103.7</v>
      </c>
      <c r="E22" s="720">
        <v>37</v>
      </c>
    </row>
    <row r="23" spans="1:5" x14ac:dyDescent="0.3">
      <c r="A23" s="738" t="s">
        <v>909</v>
      </c>
      <c r="B23" s="754">
        <v>0</v>
      </c>
      <c r="C23" s="719">
        <v>0</v>
      </c>
      <c r="D23" s="719">
        <v>0</v>
      </c>
      <c r="E23" s="720">
        <v>0</v>
      </c>
    </row>
    <row r="24" spans="1:5" x14ac:dyDescent="0.3">
      <c r="A24" s="735" t="s">
        <v>910</v>
      </c>
      <c r="B24" s="753">
        <v>-4165.3999999999996</v>
      </c>
      <c r="C24" s="716">
        <v>-4934.8999999999996</v>
      </c>
      <c r="D24" s="716">
        <v>-2789.1</v>
      </c>
      <c r="E24" s="718">
        <v>-1313</v>
      </c>
    </row>
    <row r="25" spans="1:5" x14ac:dyDescent="0.3">
      <c r="A25" s="738" t="s">
        <v>911</v>
      </c>
      <c r="B25" s="756">
        <v>-4131</v>
      </c>
      <c r="C25" s="721">
        <v>-4896.5</v>
      </c>
      <c r="D25" s="721">
        <v>-2783.1</v>
      </c>
      <c r="E25" s="722">
        <v>-1310.3</v>
      </c>
    </row>
    <row r="26" spans="1:5" x14ac:dyDescent="0.3">
      <c r="A26" s="738" t="s">
        <v>912</v>
      </c>
      <c r="B26" s="754">
        <v>-34.4</v>
      </c>
      <c r="C26" s="719">
        <v>-38.299999999999997</v>
      </c>
      <c r="D26" s="719">
        <v>-6</v>
      </c>
      <c r="E26" s="720">
        <v>-2.7</v>
      </c>
    </row>
    <row r="27" spans="1:5" x14ac:dyDescent="0.3">
      <c r="A27" s="735" t="s">
        <v>913</v>
      </c>
      <c r="B27" s="752">
        <v>0</v>
      </c>
      <c r="C27" s="715">
        <v>0</v>
      </c>
      <c r="D27" s="715">
        <v>0</v>
      </c>
      <c r="E27" s="717">
        <v>0</v>
      </c>
    </row>
    <row r="28" spans="1:5" x14ac:dyDescent="0.3">
      <c r="A28" s="735" t="s">
        <v>914</v>
      </c>
      <c r="B28" s="752">
        <v>0</v>
      </c>
      <c r="C28" s="715">
        <v>0</v>
      </c>
      <c r="D28" s="715">
        <v>0</v>
      </c>
      <c r="E28" s="717" t="s">
        <v>642</v>
      </c>
    </row>
    <row r="29" spans="1:5" x14ac:dyDescent="0.3">
      <c r="A29" s="735" t="s">
        <v>915</v>
      </c>
      <c r="B29" s="752">
        <v>0</v>
      </c>
      <c r="C29" s="715">
        <v>0</v>
      </c>
      <c r="D29" s="715">
        <v>0</v>
      </c>
      <c r="E29" s="717" t="s">
        <v>642</v>
      </c>
    </row>
    <row r="30" spans="1:5" x14ac:dyDescent="0.3">
      <c r="A30" s="735" t="s">
        <v>916</v>
      </c>
      <c r="B30" s="752">
        <v>0</v>
      </c>
      <c r="C30" s="715">
        <v>-92.4</v>
      </c>
      <c r="D30" s="715">
        <v>0</v>
      </c>
      <c r="E30" s="717">
        <v>0</v>
      </c>
    </row>
    <row r="31" spans="1:5" x14ac:dyDescent="0.3">
      <c r="A31" s="735" t="s">
        <v>917</v>
      </c>
      <c r="B31" s="752">
        <v>0</v>
      </c>
      <c r="C31" s="715">
        <v>0</v>
      </c>
      <c r="D31" s="715">
        <v>0</v>
      </c>
      <c r="E31" s="717">
        <v>0</v>
      </c>
    </row>
    <row r="32" spans="1:5" x14ac:dyDescent="0.3">
      <c r="A32" s="735" t="s">
        <v>918</v>
      </c>
      <c r="B32" s="752">
        <v>0</v>
      </c>
      <c r="C32" s="715">
        <v>-92.4</v>
      </c>
      <c r="D32" s="715">
        <v>0</v>
      </c>
      <c r="E32" s="717">
        <v>0</v>
      </c>
    </row>
    <row r="33" spans="1:5" x14ac:dyDescent="0.3">
      <c r="A33" s="735" t="s">
        <v>919</v>
      </c>
      <c r="B33" s="752">
        <v>0</v>
      </c>
      <c r="C33" s="715">
        <v>0</v>
      </c>
      <c r="D33" s="715">
        <v>0</v>
      </c>
      <c r="E33" s="717">
        <v>0</v>
      </c>
    </row>
    <row r="34" spans="1:5" x14ac:dyDescent="0.3">
      <c r="A34" s="735" t="s">
        <v>920</v>
      </c>
      <c r="B34" s="752">
        <v>-2.2999999999999998</v>
      </c>
      <c r="C34" s="715">
        <v>188.9</v>
      </c>
      <c r="D34" s="715">
        <v>172.8</v>
      </c>
      <c r="E34" s="717">
        <v>227.7</v>
      </c>
    </row>
    <row r="35" spans="1:5" x14ac:dyDescent="0.3">
      <c r="A35" s="735" t="s">
        <v>904</v>
      </c>
      <c r="B35" s="752">
        <v>0</v>
      </c>
      <c r="C35" s="715">
        <v>0</v>
      </c>
      <c r="D35" s="715">
        <v>0</v>
      </c>
      <c r="E35" s="717">
        <v>0</v>
      </c>
    </row>
    <row r="36" spans="1:5" x14ac:dyDescent="0.3">
      <c r="A36" s="733" t="s">
        <v>905</v>
      </c>
      <c r="B36" s="751">
        <v>-4159.6000000000004</v>
      </c>
      <c r="C36" s="711">
        <v>-4820.8999999999996</v>
      </c>
      <c r="D36" s="711">
        <v>-2512.6</v>
      </c>
      <c r="E36" s="712" t="s">
        <v>642</v>
      </c>
    </row>
    <row r="37" spans="1:5" x14ac:dyDescent="0.3">
      <c r="A37" s="733" t="s">
        <v>642</v>
      </c>
      <c r="B37" s="710" t="s">
        <v>642</v>
      </c>
      <c r="C37" s="710" t="s">
        <v>642</v>
      </c>
      <c r="D37" s="710" t="s">
        <v>642</v>
      </c>
      <c r="E37" s="712" t="s">
        <v>642</v>
      </c>
    </row>
    <row r="38" spans="1:5" x14ac:dyDescent="0.3">
      <c r="A38" s="733" t="s">
        <v>921</v>
      </c>
      <c r="B38" s="710" t="s">
        <v>642</v>
      </c>
      <c r="C38" s="710" t="s">
        <v>642</v>
      </c>
      <c r="D38" s="710" t="s">
        <v>642</v>
      </c>
      <c r="E38" s="712" t="s">
        <v>642</v>
      </c>
    </row>
    <row r="39" spans="1:5" x14ac:dyDescent="0.3">
      <c r="A39" s="735" t="s">
        <v>922</v>
      </c>
      <c r="B39" s="752">
        <v>0</v>
      </c>
      <c r="C39" s="715">
        <v>0</v>
      </c>
      <c r="D39" s="715">
        <v>0</v>
      </c>
      <c r="E39" s="717" t="s">
        <v>642</v>
      </c>
    </row>
    <row r="40" spans="1:5" x14ac:dyDescent="0.3">
      <c r="A40" s="735" t="s">
        <v>923</v>
      </c>
      <c r="B40" s="752">
        <v>-969.2</v>
      </c>
      <c r="C40" s="715">
        <v>-491.1</v>
      </c>
      <c r="D40" s="715">
        <v>29.6</v>
      </c>
      <c r="E40" s="718">
        <v>-2730.5</v>
      </c>
    </row>
    <row r="41" spans="1:5" x14ac:dyDescent="0.3">
      <c r="A41" s="735" t="s">
        <v>924</v>
      </c>
      <c r="B41" s="752">
        <v>-27.5</v>
      </c>
      <c r="C41" s="715">
        <v>266.39999999999998</v>
      </c>
      <c r="D41" s="715">
        <v>832.6</v>
      </c>
      <c r="E41" s="718">
        <v>-1148.9000000000001</v>
      </c>
    </row>
    <row r="42" spans="1:5" x14ac:dyDescent="0.3">
      <c r="A42" s="735" t="s">
        <v>925</v>
      </c>
      <c r="B42" s="753">
        <v>1231.0999999999999</v>
      </c>
      <c r="C42" s="716">
        <v>1546.6</v>
      </c>
      <c r="D42" s="716">
        <v>1537.2</v>
      </c>
      <c r="E42" s="717">
        <v>431.6</v>
      </c>
    </row>
    <row r="43" spans="1:5" x14ac:dyDescent="0.3">
      <c r="A43" s="735" t="s">
        <v>926</v>
      </c>
      <c r="B43" s="753">
        <v>-2172.8000000000002</v>
      </c>
      <c r="C43" s="716">
        <v>-2304.1</v>
      </c>
      <c r="D43" s="716">
        <v>-2340.1999999999998</v>
      </c>
      <c r="E43" s="718">
        <v>-2013.3</v>
      </c>
    </row>
    <row r="44" spans="1:5" x14ac:dyDescent="0.3">
      <c r="A44" s="735" t="s">
        <v>927</v>
      </c>
      <c r="B44" s="752">
        <v>0</v>
      </c>
      <c r="C44" s="715">
        <v>0</v>
      </c>
      <c r="D44" s="715">
        <v>0</v>
      </c>
      <c r="E44" s="717">
        <v>274.3</v>
      </c>
    </row>
    <row r="45" spans="1:5" x14ac:dyDescent="0.3">
      <c r="A45" s="735" t="s">
        <v>928</v>
      </c>
      <c r="B45" s="752">
        <v>0</v>
      </c>
      <c r="C45" s="715">
        <v>0</v>
      </c>
      <c r="D45" s="715">
        <v>0</v>
      </c>
      <c r="E45" s="717" t="s">
        <v>642</v>
      </c>
    </row>
    <row r="46" spans="1:5" x14ac:dyDescent="0.3">
      <c r="A46" s="735" t="s">
        <v>929</v>
      </c>
      <c r="B46" s="752">
        <v>0</v>
      </c>
      <c r="C46" s="715">
        <v>0</v>
      </c>
      <c r="D46" s="715">
        <v>0</v>
      </c>
      <c r="E46" s="717" t="s">
        <v>642</v>
      </c>
    </row>
    <row r="47" spans="1:5" x14ac:dyDescent="0.3">
      <c r="A47" s="735" t="s">
        <v>930</v>
      </c>
      <c r="B47" s="752">
        <v>0</v>
      </c>
      <c r="C47" s="715">
        <v>0</v>
      </c>
      <c r="D47" s="715">
        <v>0</v>
      </c>
      <c r="E47" s="717">
        <v>0</v>
      </c>
    </row>
    <row r="48" spans="1:5" x14ac:dyDescent="0.3">
      <c r="A48" s="735" t="s">
        <v>904</v>
      </c>
      <c r="B48" s="752">
        <v>0</v>
      </c>
      <c r="C48" s="715">
        <v>0</v>
      </c>
      <c r="D48" s="715">
        <v>0</v>
      </c>
      <c r="E48" s="717">
        <v>0</v>
      </c>
    </row>
    <row r="49" spans="1:5" x14ac:dyDescent="0.3">
      <c r="A49" s="733" t="s">
        <v>921</v>
      </c>
      <c r="B49" s="750">
        <v>-969.2</v>
      </c>
      <c r="C49" s="710">
        <v>-491.1</v>
      </c>
      <c r="D49" s="710">
        <v>29.6</v>
      </c>
      <c r="E49" s="713">
        <v>-2456.1999999999998</v>
      </c>
    </row>
    <row r="50" spans="1:5" x14ac:dyDescent="0.3">
      <c r="A50" s="733" t="s">
        <v>642</v>
      </c>
      <c r="B50" s="710" t="s">
        <v>642</v>
      </c>
      <c r="C50" s="710" t="s">
        <v>642</v>
      </c>
      <c r="D50" s="710" t="s">
        <v>642</v>
      </c>
      <c r="E50" s="712" t="s">
        <v>642</v>
      </c>
    </row>
    <row r="51" spans="1:5" x14ac:dyDescent="0.3">
      <c r="A51" s="735" t="s">
        <v>931</v>
      </c>
      <c r="B51" s="752">
        <v>39.1</v>
      </c>
      <c r="C51" s="715">
        <v>17.3</v>
      </c>
      <c r="D51" s="715">
        <v>25.1</v>
      </c>
      <c r="E51" s="717">
        <v>19.3</v>
      </c>
    </row>
    <row r="52" spans="1:5" x14ac:dyDescent="0.3">
      <c r="A52" s="733" t="s">
        <v>642</v>
      </c>
      <c r="B52" s="710" t="s">
        <v>642</v>
      </c>
      <c r="C52" s="710" t="s">
        <v>642</v>
      </c>
      <c r="D52" s="710" t="s">
        <v>642</v>
      </c>
      <c r="E52" s="712" t="s">
        <v>642</v>
      </c>
    </row>
    <row r="53" spans="1:5" x14ac:dyDescent="0.3">
      <c r="A53" s="733" t="s">
        <v>304</v>
      </c>
      <c r="B53" s="750">
        <v>616.29999999999995</v>
      </c>
      <c r="C53" s="711">
        <v>-2015.7</v>
      </c>
      <c r="D53" s="710">
        <v>-674.3</v>
      </c>
      <c r="E53" s="712" t="s">
        <v>642</v>
      </c>
    </row>
    <row r="54" spans="1:5" x14ac:dyDescent="0.3">
      <c r="A54" s="733" t="s">
        <v>642</v>
      </c>
      <c r="B54" s="710" t="s">
        <v>642</v>
      </c>
      <c r="C54" s="710" t="s">
        <v>642</v>
      </c>
      <c r="D54" s="710" t="s">
        <v>642</v>
      </c>
      <c r="E54" s="712" t="s">
        <v>642</v>
      </c>
    </row>
    <row r="55" spans="1:5" x14ac:dyDescent="0.3">
      <c r="A55" s="733" t="s">
        <v>932</v>
      </c>
      <c r="B55" s="750">
        <v>78.2</v>
      </c>
      <c r="C55" s="710">
        <v>73.8</v>
      </c>
      <c r="D55" s="710">
        <v>34.5</v>
      </c>
      <c r="E55" s="712" t="s">
        <v>642</v>
      </c>
    </row>
    <row r="56" spans="1:5" x14ac:dyDescent="0.3">
      <c r="A56" s="733" t="s">
        <v>933</v>
      </c>
      <c r="B56" s="750">
        <v>444</v>
      </c>
      <c r="C56" s="710">
        <v>388.4</v>
      </c>
      <c r="D56" s="710">
        <v>295.60000000000002</v>
      </c>
      <c r="E56" s="712" t="s">
        <v>642</v>
      </c>
    </row>
    <row r="57" spans="1:5" x14ac:dyDescent="0.3">
      <c r="A57" s="733" t="s">
        <v>642</v>
      </c>
      <c r="B57" s="710" t="s">
        <v>642</v>
      </c>
      <c r="C57" s="710" t="s">
        <v>642</v>
      </c>
      <c r="D57" s="710" t="s">
        <v>642</v>
      </c>
      <c r="E57" s="712" t="s">
        <v>642</v>
      </c>
    </row>
    <row r="58" spans="1:5" x14ac:dyDescent="0.3">
      <c r="A58" s="733" t="s">
        <v>799</v>
      </c>
      <c r="B58" s="710" t="s">
        <v>642</v>
      </c>
      <c r="C58" s="710" t="s">
        <v>642</v>
      </c>
      <c r="D58" s="710" t="s">
        <v>642</v>
      </c>
      <c r="E58" s="712" t="s">
        <v>642</v>
      </c>
    </row>
    <row r="59" spans="1:5" x14ac:dyDescent="0.3">
      <c r="A59" s="735" t="s">
        <v>216</v>
      </c>
      <c r="B59" s="753">
        <v>6875.4</v>
      </c>
      <c r="C59" s="716">
        <v>3086.1</v>
      </c>
      <c r="D59" s="715">
        <v>853.5</v>
      </c>
      <c r="E59" s="717" t="s">
        <v>642</v>
      </c>
    </row>
    <row r="60" spans="1:5" x14ac:dyDescent="0.3">
      <c r="A60" s="735" t="s">
        <v>934</v>
      </c>
      <c r="B60" s="752">
        <v>43.35</v>
      </c>
      <c r="C60" s="715">
        <v>24.89</v>
      </c>
      <c r="D60" s="715">
        <v>8.67</v>
      </c>
      <c r="E60" s="717" t="s">
        <v>642</v>
      </c>
    </row>
    <row r="61" spans="1:5" x14ac:dyDescent="0.3">
      <c r="A61" s="735" t="s">
        <v>936</v>
      </c>
      <c r="B61" s="752" t="s">
        <v>741</v>
      </c>
      <c r="C61" s="715">
        <v>92.4</v>
      </c>
      <c r="D61" s="715">
        <v>0</v>
      </c>
      <c r="E61" s="717" t="s">
        <v>642</v>
      </c>
    </row>
    <row r="62" spans="1:5" x14ac:dyDescent="0.3">
      <c r="A62" s="735" t="s">
        <v>937</v>
      </c>
      <c r="B62" s="753">
        <v>1575.1</v>
      </c>
      <c r="C62" s="716">
        <v>-1617.6</v>
      </c>
      <c r="D62" s="715">
        <v>-999.4</v>
      </c>
      <c r="E62" s="717" t="s">
        <v>642</v>
      </c>
    </row>
    <row r="63" spans="1:5" x14ac:dyDescent="0.3">
      <c r="A63" s="735" t="s">
        <v>938</v>
      </c>
      <c r="B63" s="753">
        <v>1906.1</v>
      </c>
      <c r="C63" s="715" t="s">
        <v>741</v>
      </c>
      <c r="D63" s="715" t="s">
        <v>741</v>
      </c>
      <c r="E63" s="718">
        <v>2484.3000000000002</v>
      </c>
    </row>
    <row r="64" spans="1:5" x14ac:dyDescent="0.3">
      <c r="A64" s="735" t="s">
        <v>939</v>
      </c>
      <c r="B64" s="752" t="s">
        <v>741</v>
      </c>
      <c r="C64" s="715" t="s">
        <v>741</v>
      </c>
      <c r="D64" s="715" t="s">
        <v>741</v>
      </c>
      <c r="E64" s="717" t="s">
        <v>642</v>
      </c>
    </row>
    <row r="65" spans="1:5" x14ac:dyDescent="0.3">
      <c r="A65" s="735" t="s">
        <v>940</v>
      </c>
      <c r="B65" s="753">
        <v>3043.64</v>
      </c>
      <c r="C65" s="716">
        <v>-3125.72</v>
      </c>
      <c r="D65" s="716">
        <v>-1931.23</v>
      </c>
      <c r="E65" s="717" t="s">
        <v>642</v>
      </c>
    </row>
    <row r="66" spans="1:5" x14ac:dyDescent="0.3">
      <c r="A66" s="735" t="s">
        <v>246</v>
      </c>
      <c r="B66" s="752">
        <v>5.18</v>
      </c>
      <c r="C66" s="715" t="s">
        <v>741</v>
      </c>
      <c r="D66" s="715" t="s">
        <v>741</v>
      </c>
      <c r="E66" s="717">
        <v>1.72</v>
      </c>
    </row>
    <row r="67" spans="1:5" x14ac:dyDescent="0.3">
      <c r="A67" s="741" t="s">
        <v>811</v>
      </c>
      <c r="B67" s="723" t="s">
        <v>642</v>
      </c>
      <c r="C67" s="723" t="s">
        <v>642</v>
      </c>
      <c r="D67" s="723" t="s">
        <v>642</v>
      </c>
      <c r="E67" s="723" t="s">
        <v>642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9CB92-5331-4E6D-BCCA-3ED810C77402}">
  <ds:schemaRefs>
    <ds:schemaRef ds:uri="6ba73c8a-1af7-4183-b158-1cd1291da2b6"/>
    <ds:schemaRef ds:uri="http://schemas.microsoft.com/office/2006/metadata/properties"/>
    <ds:schemaRef ds:uri="http://schemas.microsoft.com/office/2006/documentManagement/types"/>
    <ds:schemaRef ds:uri="http://schemas.openxmlformats.org/package/2006/metadata/core-properties"/>
    <ds:schemaRef ds:uri="8c89d0e4-a8d9-42ba-a773-c59a56f7723e"/>
    <ds:schemaRef ds:uri="http://purl.org/dc/dcmitype/"/>
    <ds:schemaRef ds:uri="http://purl.org/dc/terms/"/>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BF949B8D-E3C6-4017-9340-D0E0185A6C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BB988D-8D01-4A93-B497-E21446BB3F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Summary</vt:lpstr>
      <vt:lpstr>Segments</vt:lpstr>
      <vt:lpstr>Industry</vt:lpstr>
      <vt:lpstr>Peers</vt:lpstr>
      <vt:lpstr>ESG</vt:lpstr>
      <vt:lpstr>ESG Inputs</vt:lpstr>
      <vt:lpstr>DCF</vt:lpstr>
      <vt:lpstr>Inputs</vt:lpstr>
      <vt:lpstr>WACC</vt:lpstr>
      <vt:lpstr>Ratios</vt:lpstr>
      <vt:lpstr>Sensitivity</vt:lpstr>
      <vt:lpstr>CORRELATION</vt:lpstr>
      <vt:lpstr>IMACRO</vt:lpstr>
      <vt:lpstr>IS</vt:lpstr>
      <vt:lpstr>BS</vt:lpstr>
      <vt:lpstr>CF</vt:lpstr>
      <vt:lpstr>DDIS</vt:lpstr>
      <vt:lpstr>SEG</vt:lpstr>
      <vt:lpstr>BOARD</vt:lpstr>
      <vt:lpstr>MICRON SEG</vt:lpstr>
      <vt:lpstr>KIOXIA SEG</vt:lpstr>
      <vt:lpstr>SAMSUNG SEG</vt:lpstr>
      <vt:lpstr>WDC SEG</vt:lpstr>
      <vt:lpstr>WDC IS</vt:lpstr>
      <vt:lpstr>WDC BS</vt:lpstr>
      <vt:lpstr>WDC CF</vt:lpstr>
      <vt:lpstr>Samsung IS</vt:lpstr>
      <vt:lpstr>Samsung BS</vt:lpstr>
      <vt:lpstr>Samsung CF</vt:lpstr>
      <vt:lpstr>Micron IS</vt:lpstr>
      <vt:lpstr>Micron BS</vt:lpstr>
      <vt:lpstr>Micron CF</vt:lpstr>
      <vt:lpstr>Kioxia IS</vt:lpstr>
      <vt:lpstr>Kioxia BS</vt:lpstr>
      <vt:lpstr>Kioxia CF</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Rodrigo Ji</cp:lastModifiedBy>
  <cp:revision/>
  <dcterms:created xsi:type="dcterms:W3CDTF">2025-02-25T16:23:47Z</dcterms:created>
  <dcterms:modified xsi:type="dcterms:W3CDTF">2025-10-10T16:04:14Z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